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4432\AppData\Local\Microsoft\Windows\INetCache\Content.Outlook\M2RFR32P\"/>
    </mc:Choice>
  </mc:AlternateContent>
  <xr:revisionPtr revIDLastSave="0" documentId="13_ncr:1_{F7D83341-9C4D-4FB3-927B-EAAED25B33D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nthly Financial Summary Rpt" sheetId="1" r:id="rId1"/>
  </sheets>
  <definedNames>
    <definedName name="_xlnm.Print_Area" localSheetId="0">'Monthly Financial Summary Rpt'!$A$1:$P$79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77" i="1" l="1"/>
  <c r="K77" i="1"/>
  <c r="J77" i="1"/>
  <c r="I77" i="1"/>
  <c r="K62" i="1"/>
  <c r="K59" i="1"/>
  <c r="I54" i="1"/>
  <c r="J51" i="1"/>
  <c r="I51" i="1"/>
  <c r="J42" i="1"/>
  <c r="I42" i="1"/>
  <c r="J37" i="1"/>
  <c r="J36" i="1"/>
  <c r="I37" i="1"/>
  <c r="I36" i="1"/>
  <c r="J33" i="1"/>
  <c r="I33" i="1"/>
  <c r="J25" i="1"/>
  <c r="I25" i="1"/>
  <c r="C1" i="1"/>
  <c r="B14" i="1" l="1"/>
  <c r="I59" i="1"/>
  <c r="B59" i="1"/>
  <c r="C37" i="1"/>
  <c r="B37" i="1"/>
  <c r="C33" i="1"/>
  <c r="B33" i="1"/>
  <c r="C26" i="1"/>
  <c r="B26" i="1"/>
  <c r="J14" i="1"/>
  <c r="C14" i="1"/>
  <c r="B19" i="1"/>
  <c r="C51" i="1"/>
  <c r="B51" i="1"/>
  <c r="C42" i="1"/>
  <c r="B42" i="1"/>
  <c r="C36" i="1"/>
  <c r="B36" i="1"/>
  <c r="N51" i="1"/>
  <c r="D14" i="1" l="1"/>
  <c r="N42" i="1"/>
  <c r="N37" i="1"/>
  <c r="N33" i="1"/>
  <c r="D30" i="1"/>
  <c r="E30" i="1"/>
  <c r="N26" i="1"/>
  <c r="J27" i="1"/>
  <c r="I27" i="1"/>
  <c r="D12" i="1"/>
  <c r="D8" i="1"/>
  <c r="E8" i="1"/>
  <c r="D58" i="1"/>
  <c r="E50" i="1"/>
  <c r="E51" i="1"/>
  <c r="E41" i="1"/>
  <c r="E42" i="1"/>
  <c r="E31" i="1"/>
  <c r="E32" i="1"/>
  <c r="E7" i="1"/>
  <c r="E9" i="1"/>
  <c r="E10" i="1"/>
  <c r="E11" i="1"/>
  <c r="E12" i="1"/>
  <c r="B15" i="1"/>
  <c r="D45" i="1"/>
  <c r="E24" i="1"/>
  <c r="D24" i="1"/>
  <c r="C15" i="1"/>
  <c r="N52" i="1" l="1"/>
  <c r="J52" i="1" l="1"/>
  <c r="I52" i="1"/>
  <c r="C52" i="1"/>
  <c r="K58" i="1"/>
  <c r="P50" i="1"/>
  <c r="O50" i="1"/>
  <c r="K50" i="1"/>
  <c r="L50" i="1"/>
  <c r="N43" i="1"/>
  <c r="N38" i="1"/>
  <c r="N34" i="1"/>
  <c r="N21" i="1"/>
  <c r="N27" i="1"/>
  <c r="N15" i="1"/>
  <c r="N54" i="1" l="1"/>
  <c r="N56" i="1" s="1"/>
  <c r="N62" i="1" s="1"/>
  <c r="D50" i="1"/>
  <c r="B52" i="1"/>
  <c r="D9" i="1" l="1"/>
  <c r="I67" i="1"/>
  <c r="J71" i="1"/>
  <c r="J72" i="1" s="1"/>
  <c r="J67" i="1"/>
  <c r="J66" i="1"/>
  <c r="J65" i="1"/>
  <c r="J68" i="1" l="1"/>
  <c r="L31" i="1" l="1"/>
  <c r="L9" i="1" l="1"/>
  <c r="I71" i="1"/>
  <c r="I72" i="1" s="1"/>
  <c r="P9" i="1"/>
  <c r="O9" i="1"/>
  <c r="K9" i="1"/>
  <c r="J15" i="1" l="1"/>
  <c r="J17" i="1"/>
  <c r="J21" i="1"/>
  <c r="J34" i="1"/>
  <c r="J38" i="1"/>
  <c r="J43" i="1"/>
  <c r="J54" i="1" l="1"/>
  <c r="K51" i="1"/>
  <c r="K42" i="1"/>
  <c r="K41" i="1"/>
  <c r="K20" i="1"/>
  <c r="J56" i="1" l="1"/>
  <c r="K14" i="1"/>
  <c r="J62" i="1" l="1"/>
  <c r="K49" i="1"/>
  <c r="K52" i="1" s="1"/>
  <c r="K47" i="1"/>
  <c r="K45" i="1"/>
  <c r="L41" i="1"/>
  <c r="K40" i="1"/>
  <c r="K43" i="1" s="1"/>
  <c r="K37" i="1"/>
  <c r="K36" i="1"/>
  <c r="K33" i="1"/>
  <c r="K32" i="1"/>
  <c r="K31" i="1"/>
  <c r="K30" i="1"/>
  <c r="K29" i="1"/>
  <c r="K26" i="1"/>
  <c r="K25" i="1"/>
  <c r="K23" i="1"/>
  <c r="K19" i="1"/>
  <c r="K21" i="1" s="1"/>
  <c r="K13" i="1"/>
  <c r="K11" i="1"/>
  <c r="K10" i="1"/>
  <c r="K8" i="1"/>
  <c r="K12" i="1" l="1"/>
  <c r="I66" i="1"/>
  <c r="K7" i="1"/>
  <c r="I65" i="1"/>
  <c r="K34" i="1"/>
  <c r="L24" i="1"/>
  <c r="K24" i="1"/>
  <c r="K27" i="1" s="1"/>
  <c r="K38" i="1"/>
  <c r="D51" i="1"/>
  <c r="E49" i="1"/>
  <c r="D49" i="1"/>
  <c r="E47" i="1"/>
  <c r="D47" i="1"/>
  <c r="E45" i="1"/>
  <c r="I43" i="1"/>
  <c r="C43" i="1"/>
  <c r="B43" i="1"/>
  <c r="D41" i="1"/>
  <c r="E40" i="1"/>
  <c r="D40" i="1"/>
  <c r="C38" i="1"/>
  <c r="B38" i="1"/>
  <c r="I38" i="1"/>
  <c r="E37" i="1"/>
  <c r="D37" i="1"/>
  <c r="E36" i="1"/>
  <c r="D36" i="1"/>
  <c r="C34" i="1"/>
  <c r="B34" i="1"/>
  <c r="I34" i="1"/>
  <c r="E33" i="1"/>
  <c r="D33" i="1"/>
  <c r="D32" i="1"/>
  <c r="D31" i="1"/>
  <c r="E29" i="1"/>
  <c r="D29" i="1"/>
  <c r="D26" i="1"/>
  <c r="C27" i="1"/>
  <c r="B27" i="1"/>
  <c r="E25" i="1"/>
  <c r="D25" i="1"/>
  <c r="E23" i="1"/>
  <c r="D23" i="1"/>
  <c r="I21" i="1"/>
  <c r="C21" i="1"/>
  <c r="B21" i="1"/>
  <c r="E20" i="1"/>
  <c r="D20" i="1"/>
  <c r="E19" i="1"/>
  <c r="D19" i="1"/>
  <c r="I17" i="1"/>
  <c r="B17" i="1"/>
  <c r="I15" i="1"/>
  <c r="E13" i="1"/>
  <c r="D13" i="1"/>
  <c r="D11" i="1"/>
  <c r="D10" i="1"/>
  <c r="D7" i="1"/>
  <c r="C54" i="1" l="1"/>
  <c r="C56" i="1" s="1"/>
  <c r="C62" i="1" s="1"/>
  <c r="B54" i="1"/>
  <c r="I68" i="1"/>
  <c r="K15" i="1"/>
  <c r="E34" i="1"/>
  <c r="E38" i="1"/>
  <c r="E21" i="1"/>
  <c r="E27" i="1"/>
  <c r="D27" i="1"/>
  <c r="E15" i="1"/>
  <c r="D52" i="1"/>
  <c r="E52" i="1"/>
  <c r="E43" i="1"/>
  <c r="D43" i="1"/>
  <c r="D42" i="1"/>
  <c r="E14" i="1"/>
  <c r="D34" i="1"/>
  <c r="D38" i="1"/>
  <c r="D21" i="1"/>
  <c r="E26" i="1"/>
  <c r="D15" i="1"/>
  <c r="L49" i="1"/>
  <c r="L47" i="1"/>
  <c r="L45" i="1"/>
  <c r="L40" i="1"/>
  <c r="L36" i="1"/>
  <c r="L32" i="1"/>
  <c r="L30" i="1"/>
  <c r="L29" i="1"/>
  <c r="L25" i="1"/>
  <c r="L23" i="1"/>
  <c r="L21" i="1"/>
  <c r="L20" i="1"/>
  <c r="L19" i="1"/>
  <c r="L13" i="1"/>
  <c r="L12" i="1"/>
  <c r="L11" i="1"/>
  <c r="L10" i="1"/>
  <c r="L8" i="1"/>
  <c r="L7" i="1"/>
  <c r="I56" i="1" l="1"/>
  <c r="I62" i="1" s="1"/>
  <c r="I75" i="1" s="1"/>
  <c r="B56" i="1"/>
  <c r="B62" i="1" s="1"/>
  <c r="E54" i="1"/>
  <c r="D54" i="1"/>
  <c r="L14" i="1"/>
  <c r="L52" i="1"/>
  <c r="L38" i="1"/>
  <c r="L34" i="1"/>
  <c r="L43" i="1"/>
  <c r="L26" i="1"/>
  <c r="L33" i="1"/>
  <c r="L37" i="1"/>
  <c r="L42" i="1"/>
  <c r="L51" i="1"/>
  <c r="E56" i="1" l="1"/>
  <c r="D56" i="1"/>
  <c r="L56" i="1"/>
  <c r="K56" i="1"/>
  <c r="K54" i="1"/>
  <c r="L27" i="1"/>
  <c r="L15" i="1"/>
  <c r="J75" i="1" l="1"/>
  <c r="L54" i="1"/>
  <c r="P41" i="1"/>
  <c r="P40" i="1"/>
  <c r="P24" i="1"/>
  <c r="P23" i="1"/>
  <c r="O54" i="1" l="1"/>
  <c r="P49" i="1"/>
  <c r="P47" i="1"/>
  <c r="P45" i="1"/>
  <c r="P36" i="1"/>
  <c r="P32" i="1"/>
  <c r="P31" i="1"/>
  <c r="P30" i="1"/>
  <c r="P29" i="1"/>
  <c r="P25" i="1"/>
  <c r="P20" i="1"/>
  <c r="P19" i="1"/>
  <c r="P12" i="1"/>
  <c r="P11" i="1"/>
  <c r="P10" i="1"/>
  <c r="P8" i="1"/>
  <c r="P7" i="1"/>
  <c r="O47" i="1"/>
  <c r="O45" i="1"/>
  <c r="O49" i="1"/>
  <c r="O41" i="1"/>
  <c r="O40" i="1"/>
  <c r="O36" i="1"/>
  <c r="O32" i="1"/>
  <c r="O31" i="1"/>
  <c r="O30" i="1"/>
  <c r="O29" i="1"/>
  <c r="O25" i="1"/>
  <c r="O24" i="1"/>
  <c r="O23" i="1"/>
  <c r="O20" i="1"/>
  <c r="O19" i="1"/>
  <c r="O12" i="1"/>
  <c r="O11" i="1"/>
  <c r="O10" i="1"/>
  <c r="O8" i="1"/>
  <c r="O7" i="1"/>
  <c r="O56" i="1" l="1"/>
  <c r="P56" i="1"/>
  <c r="O21" i="1"/>
  <c r="O14" i="1" l="1"/>
  <c r="P14" i="1"/>
  <c r="P52" i="1"/>
  <c r="P51" i="1"/>
  <c r="O51" i="1"/>
  <c r="O52" i="1" s="1"/>
  <c r="P42" i="1"/>
  <c r="O42" i="1"/>
  <c r="O43" i="1" s="1"/>
  <c r="P33" i="1"/>
  <c r="O33" i="1"/>
  <c r="O34" i="1" s="1"/>
  <c r="O26" i="1"/>
  <c r="O27" i="1" s="1"/>
  <c r="P26" i="1"/>
  <c r="P13" i="1"/>
  <c r="O13" i="1"/>
  <c r="O37" i="1"/>
  <c r="O38" i="1" s="1"/>
  <c r="P37" i="1"/>
  <c r="P34" i="1"/>
  <c r="P27" i="1"/>
  <c r="P21" i="1"/>
  <c r="P15" i="1"/>
  <c r="O15" i="1" l="1"/>
  <c r="P43" i="1"/>
  <c r="P38" i="1"/>
  <c r="P54" i="1" l="1"/>
</calcChain>
</file>

<file path=xl/sharedStrings.xml><?xml version="1.0" encoding="utf-8"?>
<sst xmlns="http://schemas.openxmlformats.org/spreadsheetml/2006/main" count="85" uniqueCount="71">
  <si>
    <t>Budget</t>
  </si>
  <si>
    <t>$OverBud</t>
  </si>
  <si>
    <t>Transfer Tax</t>
  </si>
  <si>
    <t>Accommodation Tax</t>
  </si>
  <si>
    <t>Business Licenses</t>
  </si>
  <si>
    <t>Total Fines</t>
  </si>
  <si>
    <t>All Other Revenue</t>
  </si>
  <si>
    <t>Expenses</t>
  </si>
  <si>
    <t>Total Expense</t>
  </si>
  <si>
    <t xml:space="preserve"> </t>
  </si>
  <si>
    <t>% of Budget</t>
  </si>
  <si>
    <t>Building Permits</t>
  </si>
  <si>
    <t>Annual Budget</t>
  </si>
  <si>
    <t>Monthly</t>
  </si>
  <si>
    <t xml:space="preserve">Town Administrative Expenses </t>
  </si>
  <si>
    <t>Town Operating Expenses</t>
  </si>
  <si>
    <t>Admin Operating</t>
  </si>
  <si>
    <t>All Other Admin Expense</t>
  </si>
  <si>
    <t>Total Town Expenses</t>
  </si>
  <si>
    <t>Total Administration Expenses</t>
  </si>
  <si>
    <t>Total Police Expenses</t>
  </si>
  <si>
    <t>All Other Police Expenses</t>
  </si>
  <si>
    <t>All Other Maintenance Expenses</t>
  </si>
  <si>
    <t>Total Maintenance Expenses</t>
  </si>
  <si>
    <t>Total Code Enforcement Expenses</t>
  </si>
  <si>
    <t>Total Alderman Court Expenses</t>
  </si>
  <si>
    <t>All Other Lifeguard &amp; LSS Expense</t>
  </si>
  <si>
    <t>Total Lifeguard &amp; LSS Expenses</t>
  </si>
  <si>
    <t>Parking Permits &amp; Meters</t>
  </si>
  <si>
    <t>Police Operating</t>
  </si>
  <si>
    <t>YTD Budget</t>
  </si>
  <si>
    <t>% of Annual Budget</t>
  </si>
  <si>
    <t>Admin Employee Expenses</t>
  </si>
  <si>
    <t>Seasonal Admin Employee Expenses</t>
  </si>
  <si>
    <t>Police Employee Expenses</t>
  </si>
  <si>
    <t>Police Admin Employee Expenses</t>
  </si>
  <si>
    <t>Seasonal Police Employee Expenses</t>
  </si>
  <si>
    <t>Maintenance Employee Expenses</t>
  </si>
  <si>
    <t>Lifeguard Employee Expenses</t>
  </si>
  <si>
    <t>Set Asides:</t>
  </si>
  <si>
    <t>UNAUDITED</t>
  </si>
  <si>
    <t>Revenue</t>
  </si>
  <si>
    <t>Total Revenue</t>
  </si>
  <si>
    <t>Differential</t>
  </si>
  <si>
    <t>Net Operations</t>
  </si>
  <si>
    <t>Hotel Tax</t>
  </si>
  <si>
    <t>Hotel Tax (50%)</t>
  </si>
  <si>
    <t>Transfer to Streets / Infrastructure</t>
  </si>
  <si>
    <t>3% Transfer Tax</t>
  </si>
  <si>
    <t>Total to Streets / Infrastructure</t>
  </si>
  <si>
    <t>Capital Improvements</t>
  </si>
  <si>
    <t>Total for Captial Improvements</t>
  </si>
  <si>
    <t>20% Building Permits</t>
  </si>
  <si>
    <t>5% Daily &amp; Seasonal Permits</t>
  </si>
  <si>
    <t>Total BuildingOfficial Expenses</t>
  </si>
  <si>
    <t>Set Asides</t>
  </si>
  <si>
    <t>Other Expenses</t>
  </si>
  <si>
    <t>Other Income</t>
  </si>
  <si>
    <t>Income Before Set Asides, Depreciation &amp; Other Incomes / Expenses</t>
  </si>
  <si>
    <t>YTD FY 2023</t>
  </si>
  <si>
    <t>Annual FY23</t>
  </si>
  <si>
    <t>Seasonal Lifeguard Employee Expenses</t>
  </si>
  <si>
    <t>Parking Enforcement Employee Expenses</t>
  </si>
  <si>
    <t>Seasonal Parking Employee Expenses</t>
  </si>
  <si>
    <t>All Other Parking Enforcement Expenses</t>
  </si>
  <si>
    <t>% of  YTD Budget</t>
  </si>
  <si>
    <t>General Fund Financial Overview: June 2023</t>
  </si>
  <si>
    <t>Updated</t>
  </si>
  <si>
    <t>Total Employee Related</t>
  </si>
  <si>
    <t>Note</t>
  </si>
  <si>
    <t>Expense category currently includes architectual fees that will be transferred to the Cap Exp - TownHall.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</si>
</sst>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[$-409]m/d/yy\ h:mm\ AM/PM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i/>
      <sz val="9"/>
      <color theme="1"/>
      <name val="Arial"/>
      <family val="2"/>
    </font>
    <font>
      <b/>
      <u/>
      <sz val="9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164" fontId="3" fillId="0" borderId="0" xfId="2" applyNumberFormat="1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165" fontId="4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2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" fontId="4" fillId="0" borderId="1" xfId="0" applyNumberFormat="1" applyFont="1" applyBorder="1" applyAlignment="1">
      <alignment horizontal="center"/>
    </xf>
    <xf numFmtId="164" fontId="3" fillId="0" borderId="2" xfId="2" applyNumberFormat="1" applyFont="1" applyBorder="1"/>
    <xf numFmtId="9" fontId="3" fillId="0" borderId="0" xfId="1" applyFont="1" applyAlignment="1">
      <alignment horizontal="center"/>
    </xf>
    <xf numFmtId="164" fontId="4" fillId="2" borderId="2" xfId="2" applyNumberFormat="1" applyFont="1" applyFill="1" applyBorder="1"/>
    <xf numFmtId="0" fontId="4" fillId="2" borderId="0" xfId="0" applyFont="1" applyFill="1"/>
    <xf numFmtId="0" fontId="3" fillId="0" borderId="0" xfId="0" applyFont="1" applyAlignment="1">
      <alignment horizontal="center"/>
    </xf>
    <xf numFmtId="165" fontId="7" fillId="0" borderId="0" xfId="0" quotePrefix="1" applyNumberFormat="1" applyFont="1" applyAlignment="1">
      <alignment horizontal="center"/>
    </xf>
    <xf numFmtId="0" fontId="7" fillId="0" borderId="0" xfId="0" applyFont="1"/>
    <xf numFmtId="164" fontId="4" fillId="0" borderId="1" xfId="2" applyNumberFormat="1" applyFont="1" applyBorder="1"/>
    <xf numFmtId="9" fontId="4" fillId="0" borderId="0" xfId="1" applyFont="1" applyAlignment="1">
      <alignment horizontal="center"/>
    </xf>
    <xf numFmtId="164" fontId="4" fillId="3" borderId="2" xfId="2" applyNumberFormat="1" applyFont="1" applyFill="1" applyBorder="1"/>
    <xf numFmtId="164" fontId="4" fillId="0" borderId="0" xfId="2" applyNumberFormat="1" applyFont="1" applyFill="1" applyBorder="1"/>
    <xf numFmtId="9" fontId="3" fillId="0" borderId="0" xfId="1" applyFont="1"/>
    <xf numFmtId="0" fontId="8" fillId="0" borderId="0" xfId="0" applyFont="1"/>
    <xf numFmtId="164" fontId="8" fillId="0" borderId="0" xfId="2" applyNumberFormat="1" applyFont="1" applyFill="1"/>
    <xf numFmtId="0" fontId="8" fillId="0" borderId="0" xfId="0" applyFont="1" applyAlignment="1">
      <alignment wrapText="1"/>
    </xf>
    <xf numFmtId="164" fontId="8" fillId="0" borderId="0" xfId="2" applyNumberFormat="1" applyFont="1"/>
    <xf numFmtId="49" fontId="8" fillId="0" borderId="0" xfId="2" applyNumberFormat="1" applyFont="1" applyAlignment="1">
      <alignment wrapText="1"/>
    </xf>
    <xf numFmtId="164" fontId="2" fillId="0" borderId="0" xfId="2" applyNumberFormat="1" applyFont="1" applyFill="1"/>
    <xf numFmtId="164" fontId="4" fillId="0" borderId="0" xfId="2" applyNumberFormat="1" applyFont="1"/>
    <xf numFmtId="0" fontId="4" fillId="0" borderId="0" xfId="0" applyFont="1" applyAlignment="1">
      <alignment horizontal="center" wrapText="1"/>
    </xf>
    <xf numFmtId="16" fontId="4" fillId="0" borderId="1" xfId="0" quotePrefix="1" applyNumberFormat="1" applyFont="1" applyBorder="1" applyAlignment="1">
      <alignment horizontal="center"/>
    </xf>
    <xf numFmtId="9" fontId="3" fillId="0" borderId="0" xfId="1" applyFont="1" applyBorder="1" applyAlignment="1">
      <alignment horizontal="center"/>
    </xf>
    <xf numFmtId="3" fontId="4" fillId="0" borderId="0" xfId="0" applyNumberFormat="1" applyFont="1"/>
    <xf numFmtId="9" fontId="8" fillId="0" borderId="0" xfId="1" applyFont="1"/>
    <xf numFmtId="164" fontId="8" fillId="0" borderId="0" xfId="2" applyNumberFormat="1" applyFont="1" applyFill="1" applyAlignment="1">
      <alignment vertical="top"/>
    </xf>
    <xf numFmtId="0" fontId="8" fillId="4" borderId="0" xfId="0" applyFont="1" applyFill="1"/>
    <xf numFmtId="0" fontId="8" fillId="4" borderId="0" xfId="0" applyFont="1" applyFill="1" applyAlignment="1">
      <alignment wrapText="1"/>
    </xf>
    <xf numFmtId="164" fontId="8" fillId="4" borderId="0" xfId="2" applyNumberFormat="1" applyFont="1" applyFill="1"/>
    <xf numFmtId="164" fontId="8" fillId="4" borderId="0" xfId="0" applyNumberFormat="1" applyFont="1" applyFill="1"/>
    <xf numFmtId="164" fontId="2" fillId="0" borderId="0" xfId="0" applyNumberFormat="1" applyFont="1"/>
    <xf numFmtId="9" fontId="3" fillId="0" borderId="0" xfId="0" applyNumberFormat="1" applyFont="1"/>
    <xf numFmtId="164" fontId="3" fillId="0" borderId="0" xfId="0" applyNumberFormat="1" applyFont="1"/>
    <xf numFmtId="49" fontId="8" fillId="0" borderId="0" xfId="2" applyNumberFormat="1" applyFont="1" applyAlignment="1"/>
    <xf numFmtId="0" fontId="4" fillId="2" borderId="0" xfId="0" applyFont="1" applyFill="1" applyAlignment="1">
      <alignment wrapText="1"/>
    </xf>
    <xf numFmtId="43" fontId="3" fillId="0" borderId="0" xfId="0" applyNumberFormat="1" applyFont="1"/>
    <xf numFmtId="166" fontId="3" fillId="0" borderId="0" xfId="0" applyNumberFormat="1" applyFont="1"/>
    <xf numFmtId="164" fontId="3" fillId="5" borderId="2" xfId="2" applyNumberFormat="1" applyFont="1" applyFill="1" applyBorder="1"/>
    <xf numFmtId="0" fontId="3" fillId="6" borderId="0" xfId="0" applyFont="1" applyFill="1"/>
    <xf numFmtId="164" fontId="3" fillId="6" borderId="2" xfId="2" applyNumberFormat="1" applyFont="1" applyFill="1" applyBorder="1"/>
    <xf numFmtId="9" fontId="3" fillId="7" borderId="0" xfId="1" applyFont="1" applyFill="1" applyAlignment="1">
      <alignment horizontal="center"/>
    </xf>
    <xf numFmtId="0" fontId="3" fillId="5" borderId="0" xfId="0" applyFont="1" applyFill="1"/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Comma" xfId="2" builtinId="3"/>
    <cellStyle name="Normal" xfId="0" builtinId="0"/>
    <cellStyle name="Normal 2" xfId="3" xr:uid="{DD4825BE-FF99-4543-BB4C-9E2E4975D1CF}"/>
    <cellStyle name="Percent" xfId="1" builtinId="5"/>
  </cellStyles>
  <dxfs count="0"/>
  <tableStyles count="0" defaultTableStyle="TableStyleMedium9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2"/>
  <sheetViews>
    <sheetView tabSelected="1" topLeftCell="A51" zoomScale="90" zoomScaleNormal="90" workbookViewId="0">
      <selection activeCell="P79" sqref="A1:P79"/>
    </sheetView>
  </sheetViews>
  <sheetFormatPr defaultColWidth="15.6640625" defaultRowHeight="11.4" x14ac:dyDescent="0.2"/>
  <cols>
    <col min="1" max="1" width="1.6640625" style="2" customWidth="1"/>
    <col min="2" max="2" width="13" style="2" customWidth="1"/>
    <col min="3" max="3" width="13.33203125" style="2" bestFit="1" customWidth="1"/>
    <col min="4" max="4" width="12.88671875" style="3" bestFit="1" customWidth="1"/>
    <col min="5" max="5" width="8.44140625" style="2" bestFit="1" customWidth="1"/>
    <col min="6" max="6" width="1.6640625" style="2" customWidth="1"/>
    <col min="7" max="7" width="38" style="2" bestFit="1" customWidth="1"/>
    <col min="8" max="8" width="1.6640625" style="2" customWidth="1"/>
    <col min="9" max="9" width="14.109375" style="2" customWidth="1"/>
    <col min="10" max="10" width="14.6640625" style="2" bestFit="1" customWidth="1"/>
    <col min="11" max="11" width="14.33203125" style="3" bestFit="1" customWidth="1"/>
    <col min="12" max="12" width="10.6640625" style="2" bestFit="1" customWidth="1"/>
    <col min="13" max="13" width="2.6640625" style="2" customWidth="1"/>
    <col min="14" max="14" width="14.6640625" style="2" bestFit="1" customWidth="1"/>
    <col min="15" max="15" width="14.33203125" style="3" bestFit="1" customWidth="1"/>
    <col min="16" max="16" width="13.5546875" style="2" bestFit="1" customWidth="1"/>
    <col min="17" max="16384" width="15.6640625" style="2"/>
  </cols>
  <sheetData>
    <row r="1" spans="2:18" ht="12" x14ac:dyDescent="0.25">
      <c r="B1" s="2" t="s">
        <v>67</v>
      </c>
      <c r="C1" s="49">
        <f ca="1">NOW()</f>
        <v>45141.654088078707</v>
      </c>
      <c r="D1" s="58" t="s">
        <v>66</v>
      </c>
      <c r="E1" s="58"/>
      <c r="F1" s="58"/>
      <c r="G1" s="58"/>
      <c r="H1" s="58"/>
      <c r="I1" s="58"/>
    </row>
    <row r="2" spans="2:18" s="4" customFormat="1" ht="12" x14ac:dyDescent="0.25">
      <c r="H2" s="5"/>
      <c r="I2" s="57" t="s">
        <v>40</v>
      </c>
      <c r="J2" s="57"/>
      <c r="K2" s="57"/>
      <c r="L2" s="57"/>
      <c r="M2" s="57"/>
      <c r="N2" s="57"/>
      <c r="O2" s="57"/>
      <c r="P2" s="57"/>
    </row>
    <row r="3" spans="2:18" x14ac:dyDescent="0.2">
      <c r="B3" s="6"/>
    </row>
    <row r="4" spans="2:18" ht="12" x14ac:dyDescent="0.25">
      <c r="B4" s="58" t="s">
        <v>13</v>
      </c>
      <c r="C4" s="58"/>
      <c r="D4" s="58"/>
      <c r="E4" s="58"/>
      <c r="I4" s="58" t="s">
        <v>60</v>
      </c>
      <c r="J4" s="58"/>
      <c r="K4" s="58"/>
      <c r="L4" s="58"/>
      <c r="M4" s="58"/>
      <c r="N4" s="58"/>
      <c r="O4" s="58"/>
      <c r="P4" s="58"/>
    </row>
    <row r="5" spans="2:18" s="4" customFormat="1" ht="24" x14ac:dyDescent="0.25">
      <c r="B5" s="7">
        <v>45077</v>
      </c>
      <c r="C5" s="8" t="s">
        <v>0</v>
      </c>
      <c r="D5" s="9" t="s">
        <v>1</v>
      </c>
      <c r="E5" s="10" t="s">
        <v>10</v>
      </c>
      <c r="F5" s="11"/>
      <c r="G5" s="12" t="s">
        <v>41</v>
      </c>
      <c r="H5" s="11"/>
      <c r="I5" s="13" t="s">
        <v>59</v>
      </c>
      <c r="J5" s="10" t="s">
        <v>30</v>
      </c>
      <c r="K5" s="9" t="s">
        <v>1</v>
      </c>
      <c r="L5" s="10" t="s">
        <v>65</v>
      </c>
      <c r="M5" s="33"/>
      <c r="N5" s="10" t="s">
        <v>12</v>
      </c>
      <c r="O5" s="9" t="s">
        <v>1</v>
      </c>
      <c r="P5" s="10" t="s">
        <v>31</v>
      </c>
    </row>
    <row r="7" spans="2:18" x14ac:dyDescent="0.2">
      <c r="B7" s="14">
        <v>109822.5</v>
      </c>
      <c r="C7" s="14">
        <v>45828.02</v>
      </c>
      <c r="D7" s="14">
        <f>B7-C7</f>
        <v>63994.48</v>
      </c>
      <c r="E7" s="15">
        <f t="shared" ref="E7:E15" si="0">+B7/C7</f>
        <v>2.3964050814327131</v>
      </c>
      <c r="G7" s="2" t="s">
        <v>2</v>
      </c>
      <c r="H7" s="2" t="s">
        <v>9</v>
      </c>
      <c r="I7" s="14">
        <v>181963.5</v>
      </c>
      <c r="J7" s="14">
        <v>123760.47</v>
      </c>
      <c r="K7" s="14">
        <f t="shared" ref="K7:K14" si="1">I7-J7</f>
        <v>58203.03</v>
      </c>
      <c r="L7" s="15">
        <f t="shared" ref="L7:L15" si="2">+I7/J7</f>
        <v>1.4702877259596703</v>
      </c>
      <c r="M7" s="15"/>
      <c r="N7" s="14">
        <v>500000</v>
      </c>
      <c r="O7" s="14">
        <f>I7-N7</f>
        <v>-318036.5</v>
      </c>
      <c r="P7" s="15">
        <f t="shared" ref="P7:P15" si="3">+I7/N7</f>
        <v>0.363927</v>
      </c>
    </row>
    <row r="8" spans="2:18" x14ac:dyDescent="0.2">
      <c r="B8" s="14">
        <v>2760.75</v>
      </c>
      <c r="C8" s="14">
        <v>2513.04</v>
      </c>
      <c r="D8" s="14">
        <f t="shared" ref="D8:D14" si="4">B8-C8</f>
        <v>247.71000000000004</v>
      </c>
      <c r="E8" s="15">
        <f t="shared" si="0"/>
        <v>1.0985698596122624</v>
      </c>
      <c r="G8" s="2" t="s">
        <v>3</v>
      </c>
      <c r="I8" s="14">
        <v>36424.199999999997</v>
      </c>
      <c r="J8" s="14">
        <v>65754.460000000006</v>
      </c>
      <c r="K8" s="14">
        <f t="shared" si="1"/>
        <v>-29330.260000000009</v>
      </c>
      <c r="L8" s="15">
        <f t="shared" si="2"/>
        <v>0.55394265271131404</v>
      </c>
      <c r="M8" s="15"/>
      <c r="N8" s="14">
        <v>775000</v>
      </c>
      <c r="O8" s="14">
        <f t="shared" ref="O8:O14" si="5">I8-N8</f>
        <v>-738575.8</v>
      </c>
      <c r="P8" s="15">
        <f t="shared" si="3"/>
        <v>4.6998967741935481E-2</v>
      </c>
    </row>
    <row r="9" spans="2:18" x14ac:dyDescent="0.2">
      <c r="B9" s="14">
        <v>37258.28</v>
      </c>
      <c r="C9" s="14">
        <v>4500</v>
      </c>
      <c r="D9" s="14">
        <f t="shared" ref="D9" si="6">B9-C9</f>
        <v>32758.28</v>
      </c>
      <c r="E9" s="15">
        <f t="shared" si="0"/>
        <v>8.2796177777777782</v>
      </c>
      <c r="G9" s="2" t="s">
        <v>45</v>
      </c>
      <c r="I9" s="14">
        <v>56931.64</v>
      </c>
      <c r="J9" s="14">
        <v>40500</v>
      </c>
      <c r="K9" s="14">
        <f t="shared" si="1"/>
        <v>16431.64</v>
      </c>
      <c r="L9" s="15">
        <f t="shared" si="2"/>
        <v>1.4057195061728396</v>
      </c>
      <c r="M9" s="15"/>
      <c r="N9" s="14">
        <v>450000</v>
      </c>
      <c r="O9" s="14">
        <f t="shared" si="5"/>
        <v>-393068.36</v>
      </c>
      <c r="P9" s="15">
        <f t="shared" si="3"/>
        <v>0.12651475555555555</v>
      </c>
    </row>
    <row r="10" spans="2:18" x14ac:dyDescent="0.2">
      <c r="B10" s="14">
        <v>51723</v>
      </c>
      <c r="C10" s="14">
        <v>59754</v>
      </c>
      <c r="D10" s="14">
        <f t="shared" si="4"/>
        <v>-8031</v>
      </c>
      <c r="E10" s="15">
        <f t="shared" si="0"/>
        <v>0.86559895571844558</v>
      </c>
      <c r="G10" s="2" t="s">
        <v>4</v>
      </c>
      <c r="I10" s="14">
        <v>384013.04</v>
      </c>
      <c r="J10" s="14">
        <v>399360</v>
      </c>
      <c r="K10" s="14">
        <f t="shared" si="1"/>
        <v>-15346.960000000021</v>
      </c>
      <c r="L10" s="15">
        <f t="shared" si="2"/>
        <v>0.96157111378205118</v>
      </c>
      <c r="M10" s="15"/>
      <c r="N10" s="14">
        <v>399360</v>
      </c>
      <c r="O10" s="14">
        <f t="shared" si="5"/>
        <v>-15346.960000000021</v>
      </c>
      <c r="P10" s="15">
        <f t="shared" si="3"/>
        <v>0.96157111378205118</v>
      </c>
    </row>
    <row r="11" spans="2:18" x14ac:dyDescent="0.2">
      <c r="B11" s="14">
        <v>167407.21</v>
      </c>
      <c r="C11" s="14">
        <v>283000</v>
      </c>
      <c r="D11" s="14">
        <f t="shared" si="4"/>
        <v>-115592.79000000001</v>
      </c>
      <c r="E11" s="15">
        <f t="shared" si="0"/>
        <v>0.59154491166077738</v>
      </c>
      <c r="G11" s="2" t="s">
        <v>28</v>
      </c>
      <c r="I11" s="14">
        <v>520390.57</v>
      </c>
      <c r="J11" s="14">
        <v>631250</v>
      </c>
      <c r="K11" s="14">
        <f t="shared" si="1"/>
        <v>-110859.43</v>
      </c>
      <c r="L11" s="15">
        <f t="shared" si="2"/>
        <v>0.82438110099009898</v>
      </c>
      <c r="M11" s="15"/>
      <c r="N11" s="14">
        <v>1415000</v>
      </c>
      <c r="O11" s="14">
        <f t="shared" si="5"/>
        <v>-894609.42999999993</v>
      </c>
      <c r="P11" s="15">
        <f t="shared" si="3"/>
        <v>0.36776718727915197</v>
      </c>
    </row>
    <row r="12" spans="2:18" x14ac:dyDescent="0.2">
      <c r="B12" s="14">
        <v>22400.46</v>
      </c>
      <c r="C12" s="14">
        <v>25180.79</v>
      </c>
      <c r="D12" s="14">
        <f t="shared" si="4"/>
        <v>-2780.3300000000017</v>
      </c>
      <c r="E12" s="15">
        <f t="shared" si="0"/>
        <v>0.88958527512441021</v>
      </c>
      <c r="G12" s="2" t="s">
        <v>11</v>
      </c>
      <c r="I12" s="14">
        <v>127104.61</v>
      </c>
      <c r="J12" s="14">
        <v>116608.15</v>
      </c>
      <c r="K12" s="14">
        <f t="shared" si="1"/>
        <v>10496.460000000006</v>
      </c>
      <c r="L12" s="15">
        <f t="shared" si="2"/>
        <v>1.090014805997694</v>
      </c>
      <c r="M12" s="15"/>
      <c r="N12" s="14">
        <v>550000</v>
      </c>
      <c r="O12" s="14">
        <f t="shared" si="5"/>
        <v>-422895.39</v>
      </c>
      <c r="P12" s="15">
        <f t="shared" si="3"/>
        <v>0.2310992909090909</v>
      </c>
    </row>
    <row r="13" spans="2:18" x14ac:dyDescent="0.2">
      <c r="B13" s="14">
        <v>48185.37</v>
      </c>
      <c r="C13" s="14">
        <v>34975.67</v>
      </c>
      <c r="D13" s="14">
        <f t="shared" si="4"/>
        <v>13209.700000000004</v>
      </c>
      <c r="E13" s="15">
        <f t="shared" si="0"/>
        <v>1.3776825433222581</v>
      </c>
      <c r="G13" s="2" t="s">
        <v>5</v>
      </c>
      <c r="I13" s="14">
        <v>65746.850000000006</v>
      </c>
      <c r="J13" s="14">
        <v>58842.47</v>
      </c>
      <c r="K13" s="14">
        <f t="shared" si="1"/>
        <v>6904.3800000000047</v>
      </c>
      <c r="L13" s="15">
        <f t="shared" si="2"/>
        <v>1.1173366787628052</v>
      </c>
      <c r="M13" s="15"/>
      <c r="N13" s="14">
        <v>267500</v>
      </c>
      <c r="O13" s="14">
        <f t="shared" si="5"/>
        <v>-201753.15</v>
      </c>
      <c r="P13" s="15">
        <f t="shared" si="3"/>
        <v>0.24578261682242994</v>
      </c>
    </row>
    <row r="14" spans="2:18" x14ac:dyDescent="0.2">
      <c r="B14" s="14">
        <f>484495.54-439558</f>
        <v>44937.539999999979</v>
      </c>
      <c r="C14" s="14">
        <f>497087.52-455752</f>
        <v>41335.520000000019</v>
      </c>
      <c r="D14" s="14">
        <f t="shared" si="4"/>
        <v>3602.0199999999604</v>
      </c>
      <c r="E14" s="15">
        <f t="shared" si="0"/>
        <v>1.0871410351194315</v>
      </c>
      <c r="G14" s="2" t="s">
        <v>6</v>
      </c>
      <c r="I14" s="14">
        <v>156849.82</v>
      </c>
      <c r="J14" s="14">
        <f>1529729.55-1409076</f>
        <v>120653.55000000005</v>
      </c>
      <c r="K14" s="14">
        <f t="shared" si="1"/>
        <v>36196.26999999996</v>
      </c>
      <c r="L14" s="15">
        <f t="shared" si="2"/>
        <v>1.3000016990797199</v>
      </c>
      <c r="M14" s="15"/>
      <c r="N14" s="14">
        <v>568000</v>
      </c>
      <c r="O14" s="14">
        <f t="shared" si="5"/>
        <v>-411150.18</v>
      </c>
      <c r="P14" s="15">
        <f t="shared" si="3"/>
        <v>0.27614404929577469</v>
      </c>
    </row>
    <row r="15" spans="2:18" ht="12" x14ac:dyDescent="0.25">
      <c r="B15" s="16">
        <f>SUM(B7:B14)</f>
        <v>484495.11</v>
      </c>
      <c r="C15" s="16">
        <f>SUM(C7:C14)</f>
        <v>497087.04</v>
      </c>
      <c r="D15" s="16">
        <f>SUM(D7:D14)</f>
        <v>-12591.930000000044</v>
      </c>
      <c r="E15" s="15">
        <f t="shared" si="0"/>
        <v>0.97466856106326971</v>
      </c>
      <c r="F15" s="4"/>
      <c r="G15" s="17" t="s">
        <v>42</v>
      </c>
      <c r="H15" s="4"/>
      <c r="I15" s="16">
        <f>SUM(I7:I14)</f>
        <v>1529424.2300000002</v>
      </c>
      <c r="J15" s="16">
        <f>SUM(J7:J14)</f>
        <v>1556729.0999999999</v>
      </c>
      <c r="K15" s="16">
        <f>SUM(K7:K14)</f>
        <v>-27304.870000000054</v>
      </c>
      <c r="L15" s="15">
        <f t="shared" si="2"/>
        <v>0.98246010176080112</v>
      </c>
      <c r="M15" s="15"/>
      <c r="N15" s="16">
        <f>SUM(N7:N14)</f>
        <v>4924860</v>
      </c>
      <c r="O15" s="16">
        <f>SUM(O7:O14)</f>
        <v>-3395435.77</v>
      </c>
      <c r="P15" s="15">
        <f t="shared" si="3"/>
        <v>0.31055181873190307</v>
      </c>
      <c r="R15" s="45"/>
    </row>
    <row r="16" spans="2:18" x14ac:dyDescent="0.2">
      <c r="E16" s="15"/>
      <c r="L16" s="18"/>
      <c r="M16" s="18"/>
      <c r="P16" s="18"/>
      <c r="R16" s="45"/>
    </row>
    <row r="17" spans="1:18" s="4" customFormat="1" ht="24" x14ac:dyDescent="0.25">
      <c r="B17" s="19">
        <f>+B5</f>
        <v>45077</v>
      </c>
      <c r="C17" s="20" t="s">
        <v>0</v>
      </c>
      <c r="D17" s="21" t="s">
        <v>1</v>
      </c>
      <c r="E17" s="22"/>
      <c r="G17" s="12" t="s">
        <v>7</v>
      </c>
      <c r="I17" s="34" t="str">
        <f>I5</f>
        <v>YTD FY 2023</v>
      </c>
      <c r="J17" s="10" t="str">
        <f>J5</f>
        <v>YTD Budget</v>
      </c>
      <c r="K17" s="9" t="s">
        <v>1</v>
      </c>
      <c r="L17" s="10" t="s">
        <v>10</v>
      </c>
      <c r="M17" s="33"/>
      <c r="N17" s="10" t="s">
        <v>12</v>
      </c>
      <c r="O17" s="9" t="s">
        <v>1</v>
      </c>
      <c r="P17" s="10" t="s">
        <v>31</v>
      </c>
      <c r="R17" s="45"/>
    </row>
    <row r="18" spans="1:18" x14ac:dyDescent="0.2">
      <c r="E18" s="15"/>
      <c r="L18" s="18"/>
      <c r="M18" s="18"/>
      <c r="P18" s="18"/>
      <c r="R18" s="45"/>
    </row>
    <row r="19" spans="1:18" x14ac:dyDescent="0.2">
      <c r="B19" s="14">
        <f>46937.34-500.76</f>
        <v>46436.579999999994</v>
      </c>
      <c r="C19" s="14">
        <v>26624.95</v>
      </c>
      <c r="D19" s="14">
        <f>B19-C19</f>
        <v>19811.629999999994</v>
      </c>
      <c r="E19" s="15">
        <f>+B19/C19</f>
        <v>1.7441001767139466</v>
      </c>
      <c r="G19" s="2" t="s">
        <v>14</v>
      </c>
      <c r="I19" s="14">
        <v>91243.46</v>
      </c>
      <c r="J19" s="14">
        <v>77237.56</v>
      </c>
      <c r="K19" s="14">
        <f>I19-J19</f>
        <v>14005.900000000009</v>
      </c>
      <c r="L19" s="15">
        <f>+I19/J19</f>
        <v>1.1813353503140183</v>
      </c>
      <c r="M19" s="15"/>
      <c r="N19" s="14">
        <v>384000</v>
      </c>
      <c r="O19" s="14">
        <f>I19-N19</f>
        <v>-292756.53999999998</v>
      </c>
      <c r="P19" s="15">
        <f>+I19/N19</f>
        <v>0.23761317708333335</v>
      </c>
      <c r="R19" s="45"/>
    </row>
    <row r="20" spans="1:18" x14ac:dyDescent="0.2">
      <c r="B20" s="14">
        <v>16694.169999999998</v>
      </c>
      <c r="C20" s="14">
        <v>11291.67</v>
      </c>
      <c r="D20" s="14">
        <f>B20-C20</f>
        <v>5402.4999999999982</v>
      </c>
      <c r="E20" s="15">
        <f>+B20/C20</f>
        <v>1.4784500432619796</v>
      </c>
      <c r="G20" s="2" t="s">
        <v>15</v>
      </c>
      <c r="I20" s="14">
        <v>46586.77</v>
      </c>
      <c r="J20" s="14">
        <v>33874.97</v>
      </c>
      <c r="K20" s="14">
        <f>I20-J20</f>
        <v>12711.799999999996</v>
      </c>
      <c r="L20" s="15">
        <f>+I20/J20</f>
        <v>1.3752564208912952</v>
      </c>
      <c r="M20" s="15"/>
      <c r="N20" s="14">
        <v>135500</v>
      </c>
      <c r="O20" s="14">
        <f>I20-N20</f>
        <v>-88913.23000000001</v>
      </c>
      <c r="P20" s="15">
        <f>+I20/N20</f>
        <v>0.34381380073800738</v>
      </c>
      <c r="R20" s="45"/>
    </row>
    <row r="21" spans="1:18" s="4" customFormat="1" ht="12" x14ac:dyDescent="0.25">
      <c r="B21" s="23">
        <f>SUM(B19:B20)</f>
        <v>63130.749999999993</v>
      </c>
      <c r="C21" s="23">
        <f>SUM(C19:C20)</f>
        <v>37916.620000000003</v>
      </c>
      <c r="D21" s="23">
        <f>+B21-C21</f>
        <v>25214.12999999999</v>
      </c>
      <c r="E21" s="15">
        <f>+B21/C21</f>
        <v>1.6649888624038742</v>
      </c>
      <c r="G21" s="4" t="s">
        <v>18</v>
      </c>
      <c r="I21" s="23">
        <f>SUM(I19:I20)</f>
        <v>137830.23000000001</v>
      </c>
      <c r="J21" s="23">
        <f>SUM(J19:J20)</f>
        <v>111112.53</v>
      </c>
      <c r="K21" s="23">
        <f>SUM(K19:K20)</f>
        <v>26717.700000000004</v>
      </c>
      <c r="L21" s="15">
        <f>+I21/J21</f>
        <v>1.2404562293739509</v>
      </c>
      <c r="M21" s="15"/>
      <c r="N21" s="23">
        <f>SUM(N19:N20)</f>
        <v>519500</v>
      </c>
      <c r="O21" s="23">
        <f>SUM(O19:O20)</f>
        <v>-381669.77</v>
      </c>
      <c r="P21" s="15">
        <f>+I21/N21</f>
        <v>0.26531324350336866</v>
      </c>
      <c r="R21" s="45"/>
    </row>
    <row r="22" spans="1:18" x14ac:dyDescent="0.2">
      <c r="B22" s="3"/>
      <c r="C22" s="3"/>
      <c r="E22" s="15"/>
      <c r="I22" s="3"/>
      <c r="J22" s="3"/>
      <c r="L22" s="18"/>
      <c r="M22" s="18"/>
      <c r="N22" s="3"/>
      <c r="P22" s="18"/>
      <c r="R22" s="45"/>
    </row>
    <row r="23" spans="1:18" x14ac:dyDescent="0.2">
      <c r="B23" s="14">
        <v>36101.96</v>
      </c>
      <c r="C23" s="14">
        <v>35162.46</v>
      </c>
      <c r="D23" s="14">
        <f>B23-C23</f>
        <v>939.5</v>
      </c>
      <c r="E23" s="15">
        <f>+B23/C23</f>
        <v>1.0267188359403749</v>
      </c>
      <c r="G23" s="2" t="s">
        <v>32</v>
      </c>
      <c r="I23" s="14">
        <v>108731.49</v>
      </c>
      <c r="J23" s="14">
        <v>105487.38</v>
      </c>
      <c r="K23" s="14">
        <f>I23-J23</f>
        <v>3244.1100000000006</v>
      </c>
      <c r="L23" s="15">
        <f>+I23/J23</f>
        <v>1.0307535365841867</v>
      </c>
      <c r="M23" s="15"/>
      <c r="N23" s="14">
        <v>452011</v>
      </c>
      <c r="O23" s="14">
        <f>I23-N23</f>
        <v>-343279.51</v>
      </c>
      <c r="P23" s="15">
        <f>+I23/N23</f>
        <v>0.24055053969925511</v>
      </c>
      <c r="R23" s="45"/>
    </row>
    <row r="24" spans="1:18" x14ac:dyDescent="0.2">
      <c r="B24" s="14">
        <v>895.94</v>
      </c>
      <c r="C24" s="14">
        <v>1091.25</v>
      </c>
      <c r="D24" s="14">
        <f>B24-C24</f>
        <v>-195.30999999999995</v>
      </c>
      <c r="E24" s="15">
        <f>+B24/C24</f>
        <v>0.82102176403207339</v>
      </c>
      <c r="G24" s="2" t="s">
        <v>33</v>
      </c>
      <c r="I24" s="14">
        <v>1327.29</v>
      </c>
      <c r="J24" s="14">
        <v>1638.75</v>
      </c>
      <c r="K24" s="14">
        <f>I24-J24</f>
        <v>-311.46000000000004</v>
      </c>
      <c r="L24" s="15">
        <f>+I24/J24</f>
        <v>0.80994050343249424</v>
      </c>
      <c r="M24" s="15"/>
      <c r="N24" s="14">
        <v>5465</v>
      </c>
      <c r="O24" s="14">
        <f>I24-N24</f>
        <v>-4137.71</v>
      </c>
      <c r="P24" s="15">
        <f>+I24/N24</f>
        <v>0.24287099725526073</v>
      </c>
      <c r="R24" s="45"/>
    </row>
    <row r="25" spans="1:18" x14ac:dyDescent="0.2">
      <c r="B25" s="14">
        <v>13746.2</v>
      </c>
      <c r="C25" s="14">
        <v>15345.83</v>
      </c>
      <c r="D25" s="14">
        <f>B25-C25</f>
        <v>-1599.6299999999992</v>
      </c>
      <c r="E25" s="15">
        <f>+B25/C25</f>
        <v>0.89576125892180491</v>
      </c>
      <c r="G25" s="2" t="s">
        <v>16</v>
      </c>
      <c r="I25" s="50">
        <f>64606.78+1354.78</f>
        <v>65961.56</v>
      </c>
      <c r="J25" s="14">
        <f>1750.03+46037.53</f>
        <v>47787.56</v>
      </c>
      <c r="K25" s="14">
        <f>I25-J25</f>
        <v>18174</v>
      </c>
      <c r="L25" s="15">
        <f>+I25/J25</f>
        <v>1.3803081806227395</v>
      </c>
      <c r="M25" s="15"/>
      <c r="N25" s="14">
        <v>184150</v>
      </c>
      <c r="O25" s="14">
        <f>I25-N25</f>
        <v>-118188.44</v>
      </c>
      <c r="P25" s="15">
        <f>+I25/N25</f>
        <v>0.35819473255498235</v>
      </c>
      <c r="R25" s="45"/>
    </row>
    <row r="26" spans="1:18" x14ac:dyDescent="0.2">
      <c r="B26" s="14">
        <f>60013.45-50744</f>
        <v>9269.4499999999971</v>
      </c>
      <c r="C26" s="14">
        <f>54400.62-51600</f>
        <v>2800.6200000000026</v>
      </c>
      <c r="D26" s="14">
        <f>B26-C26</f>
        <v>6468.8299999999945</v>
      </c>
      <c r="E26" s="15">
        <f>+B26/C26</f>
        <v>3.3097849761838409</v>
      </c>
      <c r="G26" s="2" t="s">
        <v>17</v>
      </c>
      <c r="I26" s="14">
        <v>12574.36</v>
      </c>
      <c r="J26" s="14">
        <v>6653.25</v>
      </c>
      <c r="K26" s="14">
        <f>I26-J26</f>
        <v>5921.1100000000006</v>
      </c>
      <c r="L26" s="15">
        <f>+I26/J26</f>
        <v>1.8899575395483412</v>
      </c>
      <c r="M26" s="15"/>
      <c r="N26" s="14">
        <f>675739-641626</f>
        <v>34113</v>
      </c>
      <c r="O26" s="14">
        <f>I26-N26</f>
        <v>-21538.639999999999</v>
      </c>
      <c r="P26" s="15">
        <f>+I26/N26</f>
        <v>0.36860903467886147</v>
      </c>
      <c r="R26" s="45"/>
    </row>
    <row r="27" spans="1:18" s="4" customFormat="1" ht="12" x14ac:dyDescent="0.25">
      <c r="B27" s="23">
        <f>SUM(B23:B26)</f>
        <v>60013.55</v>
      </c>
      <c r="C27" s="23">
        <f>SUM(C23:C26)</f>
        <v>54400.160000000003</v>
      </c>
      <c r="D27" s="23">
        <f>+B27-C27</f>
        <v>5613.3899999999994</v>
      </c>
      <c r="E27" s="15">
        <f>+B27/C27</f>
        <v>1.1031870126852568</v>
      </c>
      <c r="G27" s="4" t="s">
        <v>19</v>
      </c>
      <c r="I27" s="23">
        <f>SUM(I23:I26)</f>
        <v>188594.7</v>
      </c>
      <c r="J27" s="23">
        <f>SUM(J23:J26)</f>
        <v>161566.94</v>
      </c>
      <c r="K27" s="23">
        <f>SUM(K23:K26)</f>
        <v>27027.760000000002</v>
      </c>
      <c r="L27" s="15">
        <f>+I27/J27</f>
        <v>1.1672852131754183</v>
      </c>
      <c r="M27" s="15"/>
      <c r="N27" s="23">
        <f>SUM(N23:N26)</f>
        <v>675739</v>
      </c>
      <c r="O27" s="23">
        <f>SUM(O23:O26)</f>
        <v>-487144.30000000005</v>
      </c>
      <c r="P27" s="15">
        <f>+I27/N27</f>
        <v>0.27909399931038464</v>
      </c>
      <c r="R27" s="45"/>
    </row>
    <row r="28" spans="1:18" x14ac:dyDescent="0.2">
      <c r="B28" s="3"/>
      <c r="C28" s="3"/>
      <c r="E28" s="15"/>
      <c r="I28" s="3"/>
      <c r="J28" s="3"/>
      <c r="L28" s="18"/>
      <c r="M28" s="18"/>
      <c r="N28" s="3"/>
      <c r="P28" s="18"/>
      <c r="R28" s="45"/>
    </row>
    <row r="29" spans="1:18" x14ac:dyDescent="0.2">
      <c r="A29" s="2" t="s">
        <v>9</v>
      </c>
      <c r="B29" s="14">
        <v>116762.34</v>
      </c>
      <c r="C29" s="14">
        <v>103464.25</v>
      </c>
      <c r="D29" s="14">
        <f>B29-C29</f>
        <v>13298.089999999997</v>
      </c>
      <c r="E29" s="15">
        <f t="shared" ref="E29:E34" si="7">+B29/C29</f>
        <v>1.1285283564129638</v>
      </c>
      <c r="G29" s="2" t="s">
        <v>34</v>
      </c>
      <c r="I29" s="14">
        <v>357337.8</v>
      </c>
      <c r="J29" s="14">
        <v>343892.61</v>
      </c>
      <c r="K29" s="14">
        <f>I29-J29</f>
        <v>13445.190000000002</v>
      </c>
      <c r="L29" s="15">
        <f t="shared" ref="L29:L34" si="8">+I29/J29</f>
        <v>1.0390970599804399</v>
      </c>
      <c r="M29" s="15"/>
      <c r="N29" s="14">
        <v>1469541</v>
      </c>
      <c r="O29" s="14">
        <f>I29-N29</f>
        <v>-1112203.2</v>
      </c>
      <c r="P29" s="15">
        <f t="shared" ref="P29:P34" si="9">+I29/N29</f>
        <v>0.24316286513952315</v>
      </c>
      <c r="R29" s="45"/>
    </row>
    <row r="30" spans="1:18" x14ac:dyDescent="0.2">
      <c r="B30" s="14">
        <v>22011.87</v>
      </c>
      <c r="C30" s="14">
        <v>20573.259999999998</v>
      </c>
      <c r="D30" s="14">
        <f>B30-C30</f>
        <v>1438.6100000000006</v>
      </c>
      <c r="E30" s="15">
        <f t="shared" si="7"/>
        <v>1.0699262051809</v>
      </c>
      <c r="G30" s="2" t="s">
        <v>35</v>
      </c>
      <c r="I30" s="14">
        <v>54933.39</v>
      </c>
      <c r="J30" s="14">
        <v>61719.74</v>
      </c>
      <c r="K30" s="14">
        <f>I30-J30</f>
        <v>-6786.3499999999985</v>
      </c>
      <c r="L30" s="15">
        <f t="shared" si="8"/>
        <v>0.89004571308952374</v>
      </c>
      <c r="M30" s="15"/>
      <c r="N30" s="14">
        <v>261158</v>
      </c>
      <c r="O30" s="14">
        <f>I30-N30</f>
        <v>-206224.61</v>
      </c>
      <c r="P30" s="15">
        <f t="shared" si="9"/>
        <v>0.21034542307721762</v>
      </c>
      <c r="R30" s="45"/>
    </row>
    <row r="31" spans="1:18" x14ac:dyDescent="0.2">
      <c r="B31" s="14">
        <v>49860.11</v>
      </c>
      <c r="C31" s="14">
        <v>49825</v>
      </c>
      <c r="D31" s="14">
        <f>B31-C31</f>
        <v>35.110000000000582</v>
      </c>
      <c r="E31" s="15">
        <f t="shared" si="7"/>
        <v>1.0007046663321626</v>
      </c>
      <c r="G31" s="2" t="s">
        <v>36</v>
      </c>
      <c r="I31" s="14">
        <v>77011.89</v>
      </c>
      <c r="J31" s="14">
        <v>79900</v>
      </c>
      <c r="K31" s="14">
        <f>I31-J31</f>
        <v>-2888.1100000000006</v>
      </c>
      <c r="L31" s="15">
        <f t="shared" si="8"/>
        <v>0.96385344180225285</v>
      </c>
      <c r="M31" s="15"/>
      <c r="N31" s="14">
        <v>307600</v>
      </c>
      <c r="O31" s="14">
        <f>I31-N31</f>
        <v>-230588.11</v>
      </c>
      <c r="P31" s="15">
        <f t="shared" si="9"/>
        <v>0.25036375162548763</v>
      </c>
      <c r="R31" s="45"/>
    </row>
    <row r="32" spans="1:18" x14ac:dyDescent="0.2">
      <c r="B32" s="14">
        <v>24894.25</v>
      </c>
      <c r="C32" s="14">
        <v>17291.66</v>
      </c>
      <c r="D32" s="14">
        <f>B32-C32</f>
        <v>7602.59</v>
      </c>
      <c r="E32" s="15">
        <f t="shared" si="7"/>
        <v>1.4396680249322507</v>
      </c>
      <c r="G32" s="2" t="s">
        <v>29</v>
      </c>
      <c r="I32" s="14">
        <v>60088.87</v>
      </c>
      <c r="J32" s="14">
        <v>51875.06</v>
      </c>
      <c r="K32" s="14">
        <f>I32-J32</f>
        <v>8213.8100000000049</v>
      </c>
      <c r="L32" s="15">
        <f t="shared" si="8"/>
        <v>1.1583383228857953</v>
      </c>
      <c r="M32" s="15"/>
      <c r="N32" s="14">
        <v>207500</v>
      </c>
      <c r="O32" s="14">
        <f>I32-N32</f>
        <v>-147411.13</v>
      </c>
      <c r="P32" s="15">
        <f t="shared" si="9"/>
        <v>0.2895849156626506</v>
      </c>
      <c r="R32" s="45"/>
    </row>
    <row r="33" spans="2:18" x14ac:dyDescent="0.2">
      <c r="B33" s="14">
        <f>224922.53-213529</f>
        <v>11393.529999999999</v>
      </c>
      <c r="C33" s="14">
        <f>199954.83-191154</f>
        <v>8800.8299999999872</v>
      </c>
      <c r="D33" s="14">
        <f>B33-C33</f>
        <v>2592.7000000000116</v>
      </c>
      <c r="E33" s="15">
        <f t="shared" si="7"/>
        <v>1.2945972141263966</v>
      </c>
      <c r="G33" s="2" t="s">
        <v>21</v>
      </c>
      <c r="I33" s="14">
        <f>10270.89+20479.73</f>
        <v>30750.62</v>
      </c>
      <c r="J33" s="14">
        <f>7262.06+19140</f>
        <v>26402.06</v>
      </c>
      <c r="K33" s="14">
        <f>I33-J33</f>
        <v>4348.5599999999977</v>
      </c>
      <c r="L33" s="15">
        <f t="shared" si="8"/>
        <v>1.1647053298113859</v>
      </c>
      <c r="M33" s="15"/>
      <c r="N33" s="14">
        <f>2351907-2245799</f>
        <v>106108</v>
      </c>
      <c r="O33" s="14">
        <f>I33-N33</f>
        <v>-75357.38</v>
      </c>
      <c r="P33" s="15">
        <f t="shared" si="9"/>
        <v>0.2898049157462208</v>
      </c>
      <c r="R33" s="45"/>
    </row>
    <row r="34" spans="2:18" s="4" customFormat="1" ht="12" x14ac:dyDescent="0.25">
      <c r="B34" s="23">
        <f>SUM(B29:B33)</f>
        <v>224922.1</v>
      </c>
      <c r="C34" s="23">
        <f>SUM(C29:C33)</f>
        <v>199955</v>
      </c>
      <c r="D34" s="23">
        <f>+B34-C34</f>
        <v>24967.100000000006</v>
      </c>
      <c r="E34" s="15">
        <f t="shared" si="7"/>
        <v>1.1248635943087195</v>
      </c>
      <c r="G34" s="4" t="s">
        <v>20</v>
      </c>
      <c r="I34" s="23">
        <f>SUM(I29:I33)</f>
        <v>580122.57000000007</v>
      </c>
      <c r="J34" s="23">
        <f>SUM(J29:J33)</f>
        <v>563789.47</v>
      </c>
      <c r="K34" s="23">
        <f>SUM(K29:K33)</f>
        <v>16333.100000000006</v>
      </c>
      <c r="L34" s="15">
        <f t="shared" si="8"/>
        <v>1.0289702111676546</v>
      </c>
      <c r="M34" s="15"/>
      <c r="N34" s="23">
        <f>SUM(N29:N33)</f>
        <v>2351907</v>
      </c>
      <c r="O34" s="23">
        <f>SUM(O29:O33)</f>
        <v>-1771784.4299999997</v>
      </c>
      <c r="P34" s="15">
        <f t="shared" si="9"/>
        <v>0.24666050570877168</v>
      </c>
      <c r="R34" s="45"/>
    </row>
    <row r="35" spans="2:18" x14ac:dyDescent="0.2">
      <c r="B35" s="3"/>
      <c r="C35" s="3"/>
      <c r="E35" s="15"/>
      <c r="I35" s="3"/>
      <c r="J35" s="3"/>
      <c r="L35" s="18"/>
      <c r="M35" s="18"/>
      <c r="N35" s="3"/>
      <c r="P35" s="18"/>
      <c r="R35" s="45"/>
    </row>
    <row r="36" spans="2:18" x14ac:dyDescent="0.2">
      <c r="B36" s="14">
        <f>11996.34+1795</f>
        <v>13791.34</v>
      </c>
      <c r="C36" s="14">
        <f>12929.19+1816.67</f>
        <v>14745.86</v>
      </c>
      <c r="D36" s="14">
        <f>B36-C36</f>
        <v>-954.52000000000044</v>
      </c>
      <c r="E36" s="15">
        <f>+B36/C36</f>
        <v>0.93526861098640568</v>
      </c>
      <c r="G36" s="2" t="s">
        <v>37</v>
      </c>
      <c r="I36" s="14">
        <f>48914.12+2244.07</f>
        <v>51158.19</v>
      </c>
      <c r="J36" s="14">
        <f>38787.53+2725</f>
        <v>41512.53</v>
      </c>
      <c r="K36" s="14">
        <f>I36-J36</f>
        <v>9645.6600000000035</v>
      </c>
      <c r="L36" s="15">
        <f>+I36/J36</f>
        <v>1.232355387638383</v>
      </c>
      <c r="M36" s="15"/>
      <c r="N36" s="14">
        <v>164042</v>
      </c>
      <c r="O36" s="14">
        <f>I36-N36</f>
        <v>-112883.81</v>
      </c>
      <c r="P36" s="15">
        <f>+I36/N36</f>
        <v>0.31186031626046989</v>
      </c>
      <c r="R36" s="45"/>
    </row>
    <row r="37" spans="2:18" x14ac:dyDescent="0.2">
      <c r="B37" s="14">
        <f>17151.59-13791</f>
        <v>3360.59</v>
      </c>
      <c r="C37" s="14">
        <f>16418.68-14746</f>
        <v>1672.6800000000003</v>
      </c>
      <c r="D37" s="14">
        <f>B37-C37</f>
        <v>1687.9099999999999</v>
      </c>
      <c r="E37" s="15">
        <f>+B37/C37</f>
        <v>2.0091051486237652</v>
      </c>
      <c r="G37" s="2" t="s">
        <v>22</v>
      </c>
      <c r="I37" s="14">
        <f>1456.44+2731.83-2326.21</f>
        <v>1862.0600000000004</v>
      </c>
      <c r="J37" s="14">
        <f>875.06+2231.06+1912.5</f>
        <v>5018.62</v>
      </c>
      <c r="K37" s="14">
        <f>I37-J37</f>
        <v>-3156.5599999999995</v>
      </c>
      <c r="L37" s="15">
        <f>+I37/J37</f>
        <v>0.37103028322526921</v>
      </c>
      <c r="M37" s="15"/>
      <c r="N37" s="14">
        <f>195016-164042</f>
        <v>30974</v>
      </c>
      <c r="O37" s="14">
        <f>I37-N37</f>
        <v>-29111.94</v>
      </c>
      <c r="P37" s="15">
        <f>+I37/N37</f>
        <v>6.0116872215406486E-2</v>
      </c>
      <c r="R37" s="45"/>
    </row>
    <row r="38" spans="2:18" s="4" customFormat="1" ht="12" x14ac:dyDescent="0.25">
      <c r="B38" s="23">
        <f>B37+B36</f>
        <v>17151.93</v>
      </c>
      <c r="C38" s="23">
        <f>C37+C36</f>
        <v>16418.54</v>
      </c>
      <c r="D38" s="23">
        <f>+B38-C38</f>
        <v>733.38999999999942</v>
      </c>
      <c r="E38" s="15">
        <f>+B38/C38</f>
        <v>1.0446684053515112</v>
      </c>
      <c r="G38" s="4" t="s">
        <v>23</v>
      </c>
      <c r="I38" s="23">
        <f>I37+I36</f>
        <v>53020.25</v>
      </c>
      <c r="J38" s="23">
        <f>J37+J36</f>
        <v>46531.15</v>
      </c>
      <c r="K38" s="23">
        <f>K37+K36</f>
        <v>6489.100000000004</v>
      </c>
      <c r="L38" s="15">
        <f>+I38/J38</f>
        <v>1.139457116361835</v>
      </c>
      <c r="M38" s="15"/>
      <c r="N38" s="23">
        <f>SUM(N36:N37)</f>
        <v>195016</v>
      </c>
      <c r="O38" s="23">
        <f>O37+O36</f>
        <v>-141995.75</v>
      </c>
      <c r="P38" s="15">
        <f>+I38/N38</f>
        <v>0.2718764101407064</v>
      </c>
      <c r="R38" s="45"/>
    </row>
    <row r="39" spans="2:18" x14ac:dyDescent="0.2">
      <c r="B39" s="3"/>
      <c r="C39" s="3"/>
      <c r="E39" s="15"/>
      <c r="I39" s="3"/>
      <c r="J39" s="3"/>
      <c r="L39" s="18"/>
      <c r="M39" s="18"/>
      <c r="N39" s="3"/>
      <c r="P39" s="18"/>
      <c r="R39" s="45"/>
    </row>
    <row r="40" spans="2:18" x14ac:dyDescent="0.2">
      <c r="B40" s="14">
        <v>10229.69</v>
      </c>
      <c r="C40" s="14">
        <v>8475.9599999999991</v>
      </c>
      <c r="D40" s="14">
        <f>B40-C40</f>
        <v>1753.7300000000014</v>
      </c>
      <c r="E40" s="15">
        <f>+B40/C40</f>
        <v>1.2069063563301385</v>
      </c>
      <c r="G40" s="2" t="s">
        <v>62</v>
      </c>
      <c r="I40" s="14">
        <v>29197.86</v>
      </c>
      <c r="J40" s="14">
        <v>25427.82</v>
      </c>
      <c r="K40" s="14">
        <f>I40-J40</f>
        <v>3770.0400000000009</v>
      </c>
      <c r="L40" s="15">
        <f>+I40/J40</f>
        <v>1.148264381295762</v>
      </c>
      <c r="M40" s="15"/>
      <c r="N40" s="14">
        <v>107569</v>
      </c>
      <c r="O40" s="14">
        <f>I40-N40</f>
        <v>-78371.14</v>
      </c>
      <c r="P40" s="15">
        <f>+I40/N40</f>
        <v>0.27143377738939656</v>
      </c>
      <c r="R40" s="45"/>
    </row>
    <row r="41" spans="2:18" x14ac:dyDescent="0.2">
      <c r="B41" s="14">
        <v>15585.71</v>
      </c>
      <c r="C41" s="14">
        <v>17022.87</v>
      </c>
      <c r="D41" s="14">
        <f>B41-C41</f>
        <v>-1437.1599999999999</v>
      </c>
      <c r="E41" s="15">
        <f t="shared" ref="E41:E42" si="10">+B41/C41</f>
        <v>0.91557475325841065</v>
      </c>
      <c r="G41" s="2" t="s">
        <v>63</v>
      </c>
      <c r="I41" s="14">
        <v>24004</v>
      </c>
      <c r="J41" s="14">
        <v>28596.77</v>
      </c>
      <c r="K41" s="14">
        <f>I41-J41</f>
        <v>-4592.7700000000004</v>
      </c>
      <c r="L41" s="15">
        <f>+I41/J41</f>
        <v>0.83939549816290437</v>
      </c>
      <c r="M41" s="15"/>
      <c r="N41" s="14">
        <v>88406</v>
      </c>
      <c r="O41" s="14">
        <f>I41-N41</f>
        <v>-64402</v>
      </c>
      <c r="P41" s="15">
        <f>+I41/N41</f>
        <v>0.27152003257697443</v>
      </c>
      <c r="R41" s="45"/>
    </row>
    <row r="42" spans="2:18" x14ac:dyDescent="0.2">
      <c r="B42" s="14">
        <f>29186.5-25815</f>
        <v>3371.5</v>
      </c>
      <c r="C42" s="14">
        <f>27562.16-25499</f>
        <v>2063.16</v>
      </c>
      <c r="D42" s="14">
        <f>B42-C42</f>
        <v>1308.3400000000001</v>
      </c>
      <c r="E42" s="15">
        <f t="shared" si="10"/>
        <v>1.6341437406696524</v>
      </c>
      <c r="G42" s="2" t="s">
        <v>64</v>
      </c>
      <c r="I42" s="14">
        <f>3595.26+3414.08-36.56</f>
        <v>6972.78</v>
      </c>
      <c r="J42" s="14">
        <f>3502.5+437.53+2250</f>
        <v>6190.03</v>
      </c>
      <c r="K42" s="14">
        <f>I42-J42</f>
        <v>782.75</v>
      </c>
      <c r="L42" s="15">
        <f>+I42/J42</f>
        <v>1.1264533451372611</v>
      </c>
      <c r="M42" s="15"/>
      <c r="N42" s="14">
        <f>220735-195975</f>
        <v>24760</v>
      </c>
      <c r="O42" s="14">
        <f>I42-N42</f>
        <v>-17787.22</v>
      </c>
      <c r="P42" s="15">
        <f>+I42/N42</f>
        <v>0.28161470113085618</v>
      </c>
      <c r="R42" s="45"/>
    </row>
    <row r="43" spans="2:18" s="4" customFormat="1" ht="12" x14ac:dyDescent="0.25">
      <c r="B43" s="23">
        <f>SUM(B40:B42)</f>
        <v>29186.9</v>
      </c>
      <c r="C43" s="23">
        <f>SUM(C40:C42)</f>
        <v>27561.989999999998</v>
      </c>
      <c r="D43" s="23">
        <f>+B43-C43</f>
        <v>1624.9100000000035</v>
      </c>
      <c r="E43" s="15">
        <f>+B43/C43</f>
        <v>1.0589547416568978</v>
      </c>
      <c r="G43" s="4" t="s">
        <v>24</v>
      </c>
      <c r="I43" s="23">
        <f>SUM(I40:I42)</f>
        <v>60174.64</v>
      </c>
      <c r="J43" s="23">
        <f>SUM(J40:J42)</f>
        <v>60214.619999999995</v>
      </c>
      <c r="K43" s="23">
        <f>SUM(K40:K42)</f>
        <v>-39.979999999999563</v>
      </c>
      <c r="L43" s="15">
        <f>+I43/J43</f>
        <v>0.99933604164570011</v>
      </c>
      <c r="M43" s="15"/>
      <c r="N43" s="23">
        <f>SUM(N40:N42)</f>
        <v>220735</v>
      </c>
      <c r="O43" s="23">
        <f>SUM(O40:O42)</f>
        <v>-160560.36000000002</v>
      </c>
      <c r="P43" s="15">
        <f>+I43/N43</f>
        <v>0.27261032459736789</v>
      </c>
      <c r="R43" s="45"/>
    </row>
    <row r="44" spans="2:18" x14ac:dyDescent="0.2">
      <c r="B44" s="3"/>
      <c r="C44" s="3"/>
      <c r="E44" s="15"/>
      <c r="I44" s="3"/>
      <c r="J44" s="3"/>
      <c r="L44" s="18"/>
      <c r="M44" s="18"/>
      <c r="N44" s="3"/>
      <c r="P44" s="18"/>
      <c r="R44" s="45"/>
    </row>
    <row r="45" spans="2:18" s="4" customFormat="1" ht="12" x14ac:dyDescent="0.25">
      <c r="B45" s="23">
        <v>8879.9599999999991</v>
      </c>
      <c r="C45" s="23">
        <v>8743.69</v>
      </c>
      <c r="D45" s="23">
        <f>+B45-C45</f>
        <v>136.26999999999862</v>
      </c>
      <c r="E45" s="15">
        <f>+B45/C45</f>
        <v>1.0155849532634389</v>
      </c>
      <c r="G45" s="4" t="s">
        <v>54</v>
      </c>
      <c r="I45" s="23">
        <v>25220.3</v>
      </c>
      <c r="J45" s="23">
        <v>26231.17</v>
      </c>
      <c r="K45" s="23">
        <f>I45-J45</f>
        <v>-1010.869999999999</v>
      </c>
      <c r="L45" s="15">
        <f>+I45/J45</f>
        <v>0.96146302280836127</v>
      </c>
      <c r="M45" s="15"/>
      <c r="N45" s="23">
        <v>111728</v>
      </c>
      <c r="O45" s="23">
        <f>I45-N45</f>
        <v>-86507.7</v>
      </c>
      <c r="P45" s="15">
        <f>+I45/N45</f>
        <v>0.22572945009308321</v>
      </c>
      <c r="R45" s="45"/>
    </row>
    <row r="46" spans="2:18" x14ac:dyDescent="0.2">
      <c r="B46" s="3"/>
      <c r="C46" s="3"/>
      <c r="E46" s="15"/>
      <c r="I46" s="3"/>
      <c r="J46" s="3"/>
      <c r="L46" s="18"/>
      <c r="M46" s="18"/>
      <c r="N46" s="3"/>
      <c r="P46" s="18"/>
      <c r="R46" s="45"/>
    </row>
    <row r="47" spans="2:18" s="4" customFormat="1" ht="12" x14ac:dyDescent="0.25">
      <c r="B47" s="23">
        <v>4853.84</v>
      </c>
      <c r="C47" s="23">
        <v>5224.43</v>
      </c>
      <c r="D47" s="23">
        <f>+B47-C47</f>
        <v>-370.59000000000015</v>
      </c>
      <c r="E47" s="15">
        <f>+B47/C47</f>
        <v>0.92906594595008452</v>
      </c>
      <c r="G47" s="4" t="s">
        <v>25</v>
      </c>
      <c r="I47" s="23">
        <v>9959.77</v>
      </c>
      <c r="J47" s="23">
        <v>15673.45</v>
      </c>
      <c r="K47" s="23">
        <f>I47-J47</f>
        <v>-5713.68</v>
      </c>
      <c r="L47" s="15">
        <f>+I47/J47</f>
        <v>0.63545486156525843</v>
      </c>
      <c r="M47" s="15"/>
      <c r="N47" s="23">
        <v>67707</v>
      </c>
      <c r="O47" s="23">
        <f>I47-N47</f>
        <v>-57747.229999999996</v>
      </c>
      <c r="P47" s="15">
        <f>+I47/N47</f>
        <v>0.14710103829736956</v>
      </c>
      <c r="R47" s="45"/>
    </row>
    <row r="48" spans="2:18" x14ac:dyDescent="0.2">
      <c r="B48" s="3"/>
      <c r="C48" s="3"/>
      <c r="E48" s="15"/>
      <c r="I48" s="3"/>
      <c r="J48" s="3"/>
      <c r="L48" s="18"/>
      <c r="M48" s="18"/>
      <c r="N48" s="3"/>
      <c r="P48" s="18"/>
      <c r="R48" s="45"/>
    </row>
    <row r="49" spans="1:18" x14ac:dyDescent="0.2">
      <c r="B49" s="14">
        <v>2043.63</v>
      </c>
      <c r="C49" s="14">
        <v>2005.77</v>
      </c>
      <c r="D49" s="14">
        <f>B49-C49</f>
        <v>37.860000000000127</v>
      </c>
      <c r="E49" s="15">
        <f>+B49/C49</f>
        <v>1.0188755440554003</v>
      </c>
      <c r="G49" s="2" t="s">
        <v>38</v>
      </c>
      <c r="I49" s="14">
        <v>6150.24</v>
      </c>
      <c r="J49" s="14">
        <v>6017.29</v>
      </c>
      <c r="K49" s="14">
        <f>I49-J49</f>
        <v>132.94999999999982</v>
      </c>
      <c r="L49" s="15">
        <f>+I49/J49</f>
        <v>1.0220946638769279</v>
      </c>
      <c r="M49" s="15"/>
      <c r="N49" s="14">
        <v>26008</v>
      </c>
      <c r="O49" s="14">
        <f>I49-N49</f>
        <v>-19857.760000000002</v>
      </c>
      <c r="P49" s="15">
        <f>+I49/N49</f>
        <v>0.23647493079052598</v>
      </c>
      <c r="R49" s="45"/>
    </row>
    <row r="50" spans="1:18" x14ac:dyDescent="0.2">
      <c r="B50" s="14">
        <v>110955.46</v>
      </c>
      <c r="C50" s="14">
        <v>83782.7</v>
      </c>
      <c r="D50" s="14">
        <f>B50-C50</f>
        <v>27172.760000000009</v>
      </c>
      <c r="E50" s="15">
        <f t="shared" ref="E50:E51" si="11">+B50/C50</f>
        <v>1.3243242340005754</v>
      </c>
      <c r="G50" s="2" t="s">
        <v>61</v>
      </c>
      <c r="I50" s="14">
        <v>113942.14</v>
      </c>
      <c r="J50" s="14">
        <v>137174.04</v>
      </c>
      <c r="K50" s="14">
        <f>I50-J50</f>
        <v>-23231.900000000009</v>
      </c>
      <c r="L50" s="15">
        <f>+I50/J50</f>
        <v>0.83063923757002411</v>
      </c>
      <c r="M50" s="15"/>
      <c r="N50" s="14">
        <v>435913.5</v>
      </c>
      <c r="O50" s="14">
        <f>I50-N50</f>
        <v>-321971.36</v>
      </c>
      <c r="P50" s="15">
        <f>+I50/N50</f>
        <v>0.26138704123639206</v>
      </c>
      <c r="R50" s="45"/>
    </row>
    <row r="51" spans="1:18" x14ac:dyDescent="0.2">
      <c r="B51" s="14">
        <f>114009.14-112999</f>
        <v>1010.1399999999994</v>
      </c>
      <c r="C51" s="14">
        <f>88790.46-85788</f>
        <v>3002.4600000000064</v>
      </c>
      <c r="D51" s="14">
        <f>B51-C51</f>
        <v>-1992.320000000007</v>
      </c>
      <c r="E51" s="15">
        <f t="shared" si="11"/>
        <v>0.33643745462054359</v>
      </c>
      <c r="G51" s="2" t="s">
        <v>26</v>
      </c>
      <c r="I51" s="14">
        <f>7071.01+1347.18+4366.01</f>
        <v>12784.2</v>
      </c>
      <c r="J51" s="14">
        <f>6250.09+400+3156</f>
        <v>9806.09</v>
      </c>
      <c r="K51" s="14">
        <f>I51-J51</f>
        <v>2978.1100000000006</v>
      </c>
      <c r="L51" s="15">
        <f>+I51/J51</f>
        <v>1.3037000476234668</v>
      </c>
      <c r="M51" s="15"/>
      <c r="N51" s="14">
        <f>499045.5-461922</f>
        <v>37123.5</v>
      </c>
      <c r="O51" s="14">
        <f>I51-N51</f>
        <v>-24339.3</v>
      </c>
      <c r="P51" s="15">
        <f>+I51/N51</f>
        <v>0.3443694694735141</v>
      </c>
      <c r="R51" s="45"/>
    </row>
    <row r="52" spans="1:18" s="4" customFormat="1" ht="12" x14ac:dyDescent="0.25">
      <c r="B52" s="23">
        <f>B51+B50+B49</f>
        <v>114009.23000000001</v>
      </c>
      <c r="C52" s="23">
        <f>C51+C50+C49</f>
        <v>88790.930000000008</v>
      </c>
      <c r="D52" s="23">
        <f>+B52-C52</f>
        <v>25218.300000000003</v>
      </c>
      <c r="E52" s="15">
        <f>+B52/C52</f>
        <v>1.284018874450352</v>
      </c>
      <c r="G52" s="4" t="s">
        <v>27</v>
      </c>
      <c r="I52" s="23">
        <f>I51+I50+I49</f>
        <v>132876.57999999999</v>
      </c>
      <c r="J52" s="23">
        <f>J51+J50+J49</f>
        <v>152997.42000000001</v>
      </c>
      <c r="K52" s="23">
        <f>K51+K50+K49</f>
        <v>-20120.840000000007</v>
      </c>
      <c r="L52" s="15">
        <f>+I52/J52</f>
        <v>0.86848902419400265</v>
      </c>
      <c r="M52" s="15"/>
      <c r="N52" s="23">
        <f>N51+N50+N49</f>
        <v>499045</v>
      </c>
      <c r="O52" s="23">
        <f>O51+O50+O49</f>
        <v>-366168.42</v>
      </c>
      <c r="P52" s="15">
        <f>+I52/N52</f>
        <v>0.26626171988498026</v>
      </c>
      <c r="R52" s="45"/>
    </row>
    <row r="53" spans="1:18" s="1" customFormat="1" ht="13.8" x14ac:dyDescent="0.25">
      <c r="A53" s="2"/>
      <c r="B53" s="3"/>
      <c r="C53" s="3"/>
      <c r="D53" s="3"/>
      <c r="E53" s="15"/>
      <c r="F53" s="2"/>
      <c r="G53" s="2"/>
      <c r="H53" s="2"/>
      <c r="I53" s="3"/>
      <c r="J53" s="3"/>
      <c r="K53" s="3"/>
      <c r="L53" s="18"/>
      <c r="R53" s="45"/>
    </row>
    <row r="54" spans="1:18" ht="12" x14ac:dyDescent="0.25">
      <c r="B54" s="16">
        <f>+B52+B47+B45+B43+B38+B34+B27+B21</f>
        <v>522148.25999999995</v>
      </c>
      <c r="C54" s="16">
        <f>+C52+C47+C45+C43+C38+C34+C27+C21</f>
        <v>439011.36</v>
      </c>
      <c r="D54" s="16">
        <f>B54-C54</f>
        <v>83136.899999999965</v>
      </c>
      <c r="E54" s="15">
        <f>+B54/C54</f>
        <v>1.1893730039240897</v>
      </c>
      <c r="F54" s="4"/>
      <c r="G54" s="17" t="s">
        <v>8</v>
      </c>
      <c r="H54" s="4"/>
      <c r="I54" s="16">
        <f>+I52+I47+I45+I43+I38+I34+I27+I21</f>
        <v>1187799.04</v>
      </c>
      <c r="J54" s="16">
        <f>+J52+J47+J45+J43+J38+J34+J27+J21</f>
        <v>1138116.75</v>
      </c>
      <c r="K54" s="16">
        <f>I54-J54</f>
        <v>49682.290000000037</v>
      </c>
      <c r="L54" s="15">
        <f>+I54/J54</f>
        <v>1.0436530698629995</v>
      </c>
      <c r="M54" s="35"/>
      <c r="N54" s="16">
        <f>+N52+N47+N45+N43+N38+N34+N27+N21</f>
        <v>4641377</v>
      </c>
      <c r="O54" s="16">
        <f>I54-N54</f>
        <v>-3453577.96</v>
      </c>
      <c r="P54" s="15">
        <f>+I54/N54</f>
        <v>0.25591522515839588</v>
      </c>
      <c r="R54" s="45"/>
    </row>
    <row r="55" spans="1:18" s="1" customFormat="1" ht="13.8" x14ac:dyDescent="0.25">
      <c r="A55" s="2"/>
      <c r="B55" s="3"/>
      <c r="C55" s="3"/>
      <c r="D55" s="3"/>
      <c r="E55" s="15"/>
      <c r="F55" s="2"/>
      <c r="G55" s="2"/>
      <c r="H55" s="2"/>
      <c r="I55" s="3"/>
      <c r="J55" s="3"/>
      <c r="K55" s="3"/>
      <c r="L55" s="18"/>
      <c r="R55" s="45"/>
    </row>
    <row r="56" spans="1:18" ht="24" x14ac:dyDescent="0.25">
      <c r="B56" s="16">
        <f>+B15-B54</f>
        <v>-37653.149999999965</v>
      </c>
      <c r="C56" s="16">
        <f>+C15-C54</f>
        <v>58075.679999999993</v>
      </c>
      <c r="D56" s="16">
        <f>B56-C56</f>
        <v>-95728.829999999958</v>
      </c>
      <c r="E56" s="15">
        <f>+B56/C56</f>
        <v>-0.64834626129216166</v>
      </c>
      <c r="F56" s="4"/>
      <c r="G56" s="47" t="s">
        <v>58</v>
      </c>
      <c r="H56" s="4"/>
      <c r="I56" s="16">
        <f>+I15-I54</f>
        <v>341625.19000000018</v>
      </c>
      <c r="J56" s="16">
        <f>+J15-J54</f>
        <v>418612.34999999986</v>
      </c>
      <c r="K56" s="16">
        <f>I56-J56</f>
        <v>-76987.159999999683</v>
      </c>
      <c r="L56" s="15">
        <f>+I56/J56</f>
        <v>0.81608961130745494</v>
      </c>
      <c r="M56" s="35"/>
      <c r="N56" s="16">
        <f>+N15-N54</f>
        <v>283483</v>
      </c>
      <c r="O56" s="16">
        <f>I56-N56</f>
        <v>58142.190000000177</v>
      </c>
      <c r="P56" s="15">
        <f>+I56/N56</f>
        <v>1.2050993886758647</v>
      </c>
      <c r="R56" s="45"/>
    </row>
    <row r="57" spans="1:18" s="1" customFormat="1" ht="13.8" x14ac:dyDescent="0.25">
      <c r="A57" s="2"/>
      <c r="B57" s="3"/>
      <c r="C57" s="3"/>
      <c r="D57" s="3"/>
      <c r="E57" s="15"/>
      <c r="F57" s="2"/>
      <c r="G57" s="2"/>
      <c r="H57" s="2"/>
      <c r="I57" s="3"/>
      <c r="J57" s="3"/>
      <c r="K57" s="3"/>
      <c r="L57" s="18"/>
    </row>
    <row r="58" spans="1:18" s="1" customFormat="1" ht="13.8" x14ac:dyDescent="0.25">
      <c r="A58" s="2"/>
      <c r="B58" s="3">
        <v>38458.46</v>
      </c>
      <c r="C58" s="3">
        <v>21252.400000000001</v>
      </c>
      <c r="D58" s="3">
        <f>-C58+B58</f>
        <v>17206.059999999998</v>
      </c>
      <c r="E58" s="15"/>
      <c r="F58" s="2"/>
      <c r="G58" s="17" t="s">
        <v>55</v>
      </c>
      <c r="H58" s="2"/>
      <c r="I58" s="3">
        <v>99203.89</v>
      </c>
      <c r="J58" s="3">
        <v>66722.460000000006</v>
      </c>
      <c r="K58" s="3">
        <f>+I58-J58</f>
        <v>32481.429999999993</v>
      </c>
      <c r="L58" s="18"/>
      <c r="N58" s="3">
        <v>426500</v>
      </c>
    </row>
    <row r="59" spans="1:18" s="1" customFormat="1" ht="13.8" x14ac:dyDescent="0.25">
      <c r="A59" s="2"/>
      <c r="B59" s="3">
        <f>22637.89+135981.01</f>
        <v>158618.90000000002</v>
      </c>
      <c r="C59" s="3">
        <v>127500</v>
      </c>
      <c r="D59" s="3"/>
      <c r="E59" s="15"/>
      <c r="F59" s="2"/>
      <c r="G59" s="17" t="s">
        <v>56</v>
      </c>
      <c r="H59" s="2"/>
      <c r="I59" s="3">
        <f>69028.07+297932.35</f>
        <v>366960.42</v>
      </c>
      <c r="J59" s="3">
        <v>275000</v>
      </c>
      <c r="K59" s="3">
        <f>+I59-J59</f>
        <v>91960.419999999984</v>
      </c>
      <c r="L59" s="18"/>
      <c r="N59" s="3">
        <v>355000</v>
      </c>
    </row>
    <row r="60" spans="1:18" s="1" customFormat="1" ht="13.8" x14ac:dyDescent="0.25">
      <c r="A60" s="2"/>
      <c r="B60" s="3">
        <v>0</v>
      </c>
      <c r="C60" s="3"/>
      <c r="D60" s="3"/>
      <c r="E60" s="15"/>
      <c r="F60" s="2"/>
      <c r="G60" s="17" t="s">
        <v>57</v>
      </c>
      <c r="H60" s="2"/>
      <c r="I60" s="3"/>
      <c r="J60" s="3"/>
      <c r="K60" s="3"/>
      <c r="L60" s="18"/>
    </row>
    <row r="61" spans="1:18" s="1" customFormat="1" ht="13.8" x14ac:dyDescent="0.25">
      <c r="A61" s="2"/>
      <c r="B61" s="3"/>
      <c r="C61" s="3"/>
      <c r="D61" s="3"/>
      <c r="E61" s="15"/>
      <c r="F61" s="2"/>
      <c r="G61" s="2"/>
      <c r="H61" s="2"/>
      <c r="I61" s="3"/>
      <c r="J61" s="3"/>
      <c r="K61" s="3"/>
      <c r="L61" s="18"/>
    </row>
    <row r="62" spans="1:18" ht="12" x14ac:dyDescent="0.25">
      <c r="B62" s="16">
        <f>+B56-B58-B59+B60</f>
        <v>-234730.50999999998</v>
      </c>
      <c r="C62" s="16">
        <f>+C56-C58-C59+C60</f>
        <v>-90676.72</v>
      </c>
      <c r="D62" s="32"/>
      <c r="E62" s="25"/>
      <c r="F62" s="4"/>
      <c r="G62" s="17" t="s">
        <v>43</v>
      </c>
      <c r="H62" s="4"/>
      <c r="I62" s="16">
        <f>+I56-I58-I59+I60</f>
        <v>-124539.11999999982</v>
      </c>
      <c r="J62" s="16">
        <f>+J56-J58-J59+J60</f>
        <v>76889.889999999839</v>
      </c>
      <c r="K62" s="16">
        <f>+K56-K58-K59+K60</f>
        <v>-201429.00999999966</v>
      </c>
      <c r="L62" s="36"/>
      <c r="M62" s="36"/>
      <c r="N62" s="16">
        <f>+N56-N58-N59+N60</f>
        <v>-498017</v>
      </c>
      <c r="O62" s="24"/>
      <c r="P62" s="36"/>
    </row>
    <row r="64" spans="1:18" s="26" customFormat="1" ht="13.8" hidden="1" x14ac:dyDescent="0.25">
      <c r="A64" s="1"/>
      <c r="D64" s="27" t="s">
        <v>39</v>
      </c>
      <c r="F64" s="56" t="s">
        <v>47</v>
      </c>
      <c r="G64" s="56"/>
      <c r="H64" s="56"/>
      <c r="I64" s="56"/>
      <c r="J64" s="56"/>
      <c r="K64" s="56"/>
      <c r="L64" s="56"/>
      <c r="M64" s="56"/>
      <c r="N64" s="56"/>
    </row>
    <row r="65" spans="1:14" s="26" customFormat="1" ht="10.199999999999999" hidden="1" x14ac:dyDescent="0.2">
      <c r="C65" s="27"/>
      <c r="G65" s="28" t="s">
        <v>48</v>
      </c>
      <c r="I65" s="29">
        <f>-I7*0.03</f>
        <v>-5458.9049999999997</v>
      </c>
      <c r="J65" s="29">
        <f>-J7*0.03</f>
        <v>-3712.8141000000001</v>
      </c>
      <c r="L65" s="26" t="s">
        <v>48</v>
      </c>
      <c r="N65" s="29">
        <v>-23100</v>
      </c>
    </row>
    <row r="66" spans="1:14" s="26" customFormat="1" ht="10.199999999999999" hidden="1" x14ac:dyDescent="0.2">
      <c r="B66" s="27"/>
      <c r="C66" s="27"/>
      <c r="D66" s="27"/>
      <c r="G66" s="28" t="s">
        <v>52</v>
      </c>
      <c r="I66" s="29">
        <f>-0.2*I12</f>
        <v>-25420.922000000002</v>
      </c>
      <c r="J66" s="29">
        <f>-0.2*J12</f>
        <v>-23321.63</v>
      </c>
      <c r="L66" s="26" t="s">
        <v>52</v>
      </c>
      <c r="N66" s="29">
        <v>-38500</v>
      </c>
    </row>
    <row r="67" spans="1:14" s="26" customFormat="1" ht="10.199999999999999" hidden="1" x14ac:dyDescent="0.2">
      <c r="B67" s="27"/>
      <c r="C67" s="27"/>
      <c r="D67" s="27"/>
      <c r="G67" s="28" t="s">
        <v>53</v>
      </c>
      <c r="I67" s="29">
        <f>995729*-0.05</f>
        <v>-49786.450000000004</v>
      </c>
      <c r="J67" s="29">
        <f>-0.05*(755000)</f>
        <v>-37750</v>
      </c>
      <c r="L67" s="26" t="s">
        <v>53</v>
      </c>
      <c r="N67" s="29">
        <v>-37750</v>
      </c>
    </row>
    <row r="68" spans="1:14" s="26" customFormat="1" ht="10.199999999999999" hidden="1" x14ac:dyDescent="0.2">
      <c r="B68" s="27"/>
      <c r="C68" s="27"/>
      <c r="D68" s="27"/>
      <c r="F68" s="39" t="s">
        <v>49</v>
      </c>
      <c r="G68" s="40"/>
      <c r="H68" s="39"/>
      <c r="I68" s="41">
        <f>-SUM(I65:I67)</f>
        <v>80666.277000000002</v>
      </c>
      <c r="J68" s="41">
        <f>-SUM(J65:J67)</f>
        <v>64784.444100000001</v>
      </c>
      <c r="K68" s="39"/>
      <c r="L68" s="39"/>
      <c r="M68" s="39"/>
      <c r="N68" s="41">
        <v>99350</v>
      </c>
    </row>
    <row r="69" spans="1:14" s="26" customFormat="1" ht="10.199999999999999" hidden="1" x14ac:dyDescent="0.2">
      <c r="B69" s="27"/>
      <c r="C69" s="27"/>
      <c r="D69" s="27"/>
      <c r="G69" s="28"/>
      <c r="I69" s="29"/>
      <c r="J69" s="29"/>
    </row>
    <row r="70" spans="1:14" s="1" customFormat="1" ht="13.8" hidden="1" x14ac:dyDescent="0.25">
      <c r="A70" s="26"/>
      <c r="B70" s="26"/>
      <c r="C70" s="26"/>
      <c r="D70" s="27"/>
      <c r="E70" s="26"/>
      <c r="F70" s="56" t="s">
        <v>50</v>
      </c>
      <c r="G70" s="56"/>
      <c r="H70" s="56"/>
      <c r="I70" s="56"/>
      <c r="J70" s="56"/>
      <c r="K70" s="56"/>
      <c r="L70" s="56"/>
      <c r="M70" s="56"/>
      <c r="N70" s="56"/>
    </row>
    <row r="71" spans="1:14" s="1" customFormat="1" ht="13.8" hidden="1" x14ac:dyDescent="0.25">
      <c r="A71" s="26"/>
      <c r="B71" s="26"/>
      <c r="C71" s="26"/>
      <c r="D71" s="38"/>
      <c r="E71" s="26"/>
      <c r="F71" s="26"/>
      <c r="G71" s="30" t="s">
        <v>46</v>
      </c>
      <c r="H71" s="26"/>
      <c r="I71" s="29">
        <f>-I9*0.5</f>
        <v>-28465.82</v>
      </c>
      <c r="J71" s="29">
        <f>-J9*0.5</f>
        <v>-20250</v>
      </c>
      <c r="K71" s="26"/>
      <c r="L71" s="46" t="s">
        <v>46</v>
      </c>
      <c r="N71" s="29">
        <v>-50000</v>
      </c>
    </row>
    <row r="72" spans="1:14" s="26" customFormat="1" ht="10.199999999999999" hidden="1" x14ac:dyDescent="0.2">
      <c r="F72" s="39" t="s">
        <v>51</v>
      </c>
      <c r="G72" s="39"/>
      <c r="H72" s="39"/>
      <c r="I72" s="42">
        <f>-I71</f>
        <v>28465.82</v>
      </c>
      <c r="J72" s="42">
        <f>-J71</f>
        <v>20250</v>
      </c>
      <c r="K72" s="39"/>
      <c r="L72" s="39"/>
      <c r="M72" s="39"/>
      <c r="N72" s="42">
        <v>50000</v>
      </c>
    </row>
    <row r="73" spans="1:14" s="26" customFormat="1" ht="10.199999999999999" hidden="1" x14ac:dyDescent="0.2">
      <c r="D73" s="27"/>
      <c r="G73" s="28"/>
      <c r="L73" s="37"/>
    </row>
    <row r="74" spans="1:14" s="26" customFormat="1" ht="13.8" hidden="1" x14ac:dyDescent="0.25">
      <c r="D74" s="27"/>
      <c r="G74" s="1"/>
      <c r="K74" s="29"/>
      <c r="N74" s="1"/>
    </row>
    <row r="75" spans="1:14" s="26" customFormat="1" ht="12" hidden="1" x14ac:dyDescent="0.25">
      <c r="D75" s="27"/>
      <c r="G75" s="17" t="s">
        <v>44</v>
      </c>
      <c r="I75" s="16">
        <f>+I62-I68-I72</f>
        <v>-233671.21699999983</v>
      </c>
      <c r="J75" s="16">
        <f>+J62-J68-J72</f>
        <v>-8144.5541000001613</v>
      </c>
      <c r="K75" s="29"/>
      <c r="N75" s="16">
        <v>-114634</v>
      </c>
    </row>
    <row r="76" spans="1:14" s="26" customFormat="1" ht="13.8" hidden="1" x14ac:dyDescent="0.25">
      <c r="A76" s="1"/>
      <c r="B76" s="1"/>
      <c r="C76" s="1"/>
      <c r="D76" s="31"/>
      <c r="E76" s="1"/>
      <c r="F76" s="1"/>
      <c r="G76" s="1"/>
      <c r="H76" s="1"/>
      <c r="I76" s="1"/>
      <c r="J76" s="1"/>
      <c r="K76" s="29"/>
    </row>
    <row r="77" spans="1:14" ht="13.8" x14ac:dyDescent="0.25">
      <c r="A77" s="1"/>
      <c r="B77" s="1"/>
      <c r="C77" s="1"/>
      <c r="D77" s="31"/>
      <c r="E77" s="1"/>
      <c r="F77" s="1"/>
      <c r="G77" s="51" t="s">
        <v>68</v>
      </c>
      <c r="H77" s="51"/>
      <c r="I77" s="52">
        <f>+I23+I24+I29+I31++I36+I40+I41+I45+I47+I49+I50+I30</f>
        <v>858974.36</v>
      </c>
      <c r="J77" s="52">
        <f>+J23+J24+J29+J31++J36+J40+J41+J45+J47+J49+J50+J30</f>
        <v>873271.55</v>
      </c>
      <c r="K77" s="52">
        <f>I77-J77</f>
        <v>-14297.190000000061</v>
      </c>
      <c r="L77" s="53">
        <f>+I77/J77</f>
        <v>0.98362801353141527</v>
      </c>
      <c r="N77" s="48"/>
    </row>
    <row r="78" spans="1:14" ht="13.8" x14ac:dyDescent="0.25">
      <c r="A78" s="1"/>
      <c r="B78" s="1"/>
      <c r="C78" s="1"/>
      <c r="D78" s="31"/>
      <c r="E78" s="1"/>
      <c r="F78" s="1"/>
      <c r="H78" s="1"/>
      <c r="I78" s="43"/>
      <c r="J78" s="1"/>
      <c r="N78" s="18"/>
    </row>
    <row r="79" spans="1:14" x14ac:dyDescent="0.2">
      <c r="B79" s="55"/>
      <c r="C79" s="55"/>
      <c r="D79" s="55"/>
      <c r="E79" s="44"/>
      <c r="G79" s="54" t="s">
        <v>69</v>
      </c>
      <c r="I79" s="2" t="s">
        <v>70</v>
      </c>
    </row>
    <row r="80" spans="1:14" x14ac:dyDescent="0.2">
      <c r="B80" s="55"/>
      <c r="C80" s="55"/>
      <c r="D80" s="55"/>
      <c r="E80" s="44"/>
    </row>
    <row r="82" spans="7:7" ht="13.8" x14ac:dyDescent="0.25">
      <c r="G82" s="1"/>
    </row>
  </sheetData>
  <mergeCells count="8">
    <mergeCell ref="B80:D80"/>
    <mergeCell ref="F64:N64"/>
    <mergeCell ref="F70:N70"/>
    <mergeCell ref="I2:P2"/>
    <mergeCell ref="D1:I1"/>
    <mergeCell ref="B4:E4"/>
    <mergeCell ref="I4:P4"/>
    <mergeCell ref="B79:D79"/>
  </mergeCells>
  <printOptions horizontalCentered="1"/>
  <pageMargins left="0" right="0" top="0" bottom="0" header="0.05" footer="0.05"/>
  <pageSetup scale="72" orientation="landscape" r:id="rId1"/>
  <headerFooter>
    <oddHeader>&amp;L&amp;8&amp;D
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Monthly Financial Summary Rpt</vt:lpstr>
      <vt:lpstr>'Monthly Financial Summary Rpt'!Print_Area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William Stevens</cp:lastModifiedBy>
  <cp:lastPrinted>2022-07-11T20:12:33Z</cp:lastPrinted>
  <dcterms:created xsi:type="dcterms:W3CDTF">2012-11-05T20:18:57Z</dcterms:created>
  <dcterms:modified xsi:type="dcterms:W3CDTF">2023-08-03T19:41:58Z</dcterms:modified>
</cp:coreProperties>
</file>