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heena\Sheena\FY25 Financials\6 September\"/>
    </mc:Choice>
  </mc:AlternateContent>
  <xr:revisionPtr revIDLastSave="0" documentId="8_{08A20FAA-BCCA-4F67-B0E6-36804BBD77D7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Fin Summary - Operating" sheetId="1" r:id="rId1"/>
    <sheet name="Fin Summary - All Data" sheetId="2" r:id="rId2"/>
    <sheet name="Full Data" sheetId="3" r:id="rId3"/>
    <sheet name="Fund Balances" sheetId="4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'Fin Summary - All Data'!$A$1:$P$81</definedName>
    <definedName name="_xlnm.Print_Area" localSheetId="0">'Fin Summary - Operating'!$A$1:$P$81</definedName>
    <definedName name="_xlnm.Print_Titles" localSheetId="2">'Full Data'!$1:$2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" i="4" l="1"/>
  <c r="E3" i="4"/>
  <c r="J3" i="4"/>
  <c r="O3" i="4"/>
  <c r="B4" i="4"/>
  <c r="E4" i="4" s="1"/>
  <c r="B5" i="4" s="1"/>
  <c r="E5" i="4" s="1"/>
  <c r="B6" i="4" s="1"/>
  <c r="E6" i="4" s="1"/>
  <c r="B7" i="4" s="1"/>
  <c r="E7" i="4" s="1"/>
  <c r="B8" i="4" s="1"/>
  <c r="E8" i="4" s="1"/>
  <c r="B9" i="4" s="1"/>
  <c r="E9" i="4" s="1"/>
  <c r="B10" i="4" s="1"/>
  <c r="E10" i="4" s="1"/>
  <c r="B11" i="4" s="1"/>
  <c r="E11" i="4" s="1"/>
  <c r="B12" i="4" s="1"/>
  <c r="E12" i="4" s="1"/>
  <c r="B13" i="4" s="1"/>
  <c r="E13" i="4" s="1"/>
  <c r="B14" i="4" s="1"/>
  <c r="E14" i="4" s="1"/>
  <c r="P2" i="4" s="1"/>
  <c r="I4" i="4"/>
  <c r="J4" i="4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I13" i="4"/>
  <c r="J13" i="4"/>
  <c r="I14" i="4"/>
  <c r="J14" i="4"/>
  <c r="E19" i="4"/>
  <c r="K19" i="4"/>
  <c r="H20" i="4" s="1"/>
  <c r="K20" i="4" s="1"/>
  <c r="H21" i="4" s="1"/>
  <c r="K21" i="4" s="1"/>
  <c r="H22" i="4" s="1"/>
  <c r="K22" i="4" s="1"/>
  <c r="H23" i="4" s="1"/>
  <c r="K23" i="4" s="1"/>
  <c r="H24" i="4" s="1"/>
  <c r="K24" i="4" s="1"/>
  <c r="H25" i="4" s="1"/>
  <c r="K25" i="4" s="1"/>
  <c r="H26" i="4" s="1"/>
  <c r="K26" i="4" s="1"/>
  <c r="H27" i="4" s="1"/>
  <c r="K27" i="4" s="1"/>
  <c r="H28" i="4" s="1"/>
  <c r="K28" i="4" s="1"/>
  <c r="H29" i="4" s="1"/>
  <c r="K29" i="4" s="1"/>
  <c r="H30" i="4" s="1"/>
  <c r="K30" i="4" s="1"/>
  <c r="R19" i="4"/>
  <c r="B20" i="4"/>
  <c r="E20" i="4" s="1"/>
  <c r="B21" i="4" s="1"/>
  <c r="E21" i="4" s="1"/>
  <c r="B22" i="4" s="1"/>
  <c r="E22" i="4" s="1"/>
  <c r="B23" i="4" s="1"/>
  <c r="E23" i="4" s="1"/>
  <c r="B24" i="4" s="1"/>
  <c r="E24" i="4" s="1"/>
  <c r="B25" i="4" s="1"/>
  <c r="E25" i="4" s="1"/>
  <c r="B26" i="4" s="1"/>
  <c r="E26" i="4" s="1"/>
  <c r="B27" i="4" s="1"/>
  <c r="E27" i="4" s="1"/>
  <c r="B28" i="4" s="1"/>
  <c r="E28" i="4" s="1"/>
  <c r="B29" i="4" s="1"/>
  <c r="E29" i="4" s="1"/>
  <c r="B30" i="4" s="1"/>
  <c r="E30" i="4" s="1"/>
  <c r="O20" i="4"/>
  <c r="R20" i="4" s="1"/>
  <c r="O21" i="4" s="1"/>
  <c r="R21" i="4" s="1"/>
  <c r="O22" i="4" s="1"/>
  <c r="R22" i="4" s="1"/>
  <c r="O23" i="4" s="1"/>
  <c r="R23" i="4" s="1"/>
  <c r="O24" i="4" s="1"/>
  <c r="R24" i="4" s="1"/>
  <c r="O25" i="4" s="1"/>
  <c r="R25" i="4" s="1"/>
  <c r="O26" i="4" s="1"/>
  <c r="R26" i="4" s="1"/>
  <c r="O27" i="4" s="1"/>
  <c r="R27" i="4" s="1"/>
  <c r="O28" i="4" s="1"/>
  <c r="R28" i="4" s="1"/>
  <c r="O29" i="4" s="1"/>
  <c r="R29" i="4" s="1"/>
  <c r="O30" i="4" s="1"/>
  <c r="R30" i="4" s="1"/>
  <c r="D35" i="4"/>
  <c r="E35" i="4" s="1"/>
  <c r="B36" i="4" s="1"/>
  <c r="E36" i="4" s="1"/>
  <c r="B37" i="4" s="1"/>
  <c r="E37" i="4" s="1"/>
  <c r="B38" i="4" s="1"/>
  <c r="E38" i="4" s="1"/>
  <c r="B39" i="4" s="1"/>
  <c r="E39" i="4" s="1"/>
  <c r="B40" i="4" s="1"/>
  <c r="E40" i="4" s="1"/>
  <c r="B41" i="4" s="1"/>
  <c r="E41" i="4" s="1"/>
  <c r="B42" i="4" s="1"/>
  <c r="E42" i="4" s="1"/>
  <c r="B43" i="4" s="1"/>
  <c r="E43" i="4" s="1"/>
  <c r="B44" i="4" s="1"/>
  <c r="E44" i="4" s="1"/>
  <c r="B45" i="4" s="1"/>
  <c r="E45" i="4" s="1"/>
  <c r="B46" i="4" s="1"/>
  <c r="E46" i="4" s="1"/>
  <c r="K35" i="4"/>
  <c r="H36" i="4" s="1"/>
  <c r="K36" i="4" s="1"/>
  <c r="H37" i="4" s="1"/>
  <c r="K37" i="4" s="1"/>
  <c r="H38" i="4" s="1"/>
  <c r="K38" i="4" s="1"/>
  <c r="H39" i="4" s="1"/>
  <c r="K39" i="4" s="1"/>
  <c r="H40" i="4" s="1"/>
  <c r="K40" i="4" s="1"/>
  <c r="H41" i="4" s="1"/>
  <c r="K41" i="4" s="1"/>
  <c r="H42" i="4" s="1"/>
  <c r="K42" i="4" s="1"/>
  <c r="H43" i="4" s="1"/>
  <c r="K43" i="4" s="1"/>
  <c r="H44" i="4" s="1"/>
  <c r="K44" i="4" s="1"/>
  <c r="H45" i="4" s="1"/>
  <c r="K45" i="4" s="1"/>
  <c r="H46" i="4" s="1"/>
  <c r="K46" i="4" s="1"/>
  <c r="R35" i="4"/>
  <c r="O36" i="4" s="1"/>
  <c r="R36" i="4" s="1"/>
  <c r="O37" i="4" s="1"/>
  <c r="R37" i="4" s="1"/>
  <c r="O38" i="4" s="1"/>
  <c r="R38" i="4" s="1"/>
  <c r="O39" i="4" s="1"/>
  <c r="R39" i="4" s="1"/>
  <c r="O40" i="4" s="1"/>
  <c r="R40" i="4" s="1"/>
  <c r="O41" i="4" s="1"/>
  <c r="R41" i="4" s="1"/>
  <c r="O42" i="4" s="1"/>
  <c r="R42" i="4" s="1"/>
  <c r="O43" i="4" s="1"/>
  <c r="R43" i="4" s="1"/>
  <c r="O44" i="4" s="1"/>
  <c r="R44" i="4" s="1"/>
  <c r="O45" i="4" s="1"/>
  <c r="R45" i="4" s="1"/>
  <c r="O46" i="4" s="1"/>
  <c r="R46" i="4" s="1"/>
  <c r="C5" i="3"/>
  <c r="D5" i="3"/>
  <c r="F5" i="3"/>
  <c r="G5" i="3"/>
  <c r="I5" i="3"/>
  <c r="J5" i="3"/>
  <c r="L5" i="3"/>
  <c r="M5" i="3"/>
  <c r="O5" i="3"/>
  <c r="P5" i="3"/>
  <c r="U5" i="3" s="1"/>
  <c r="R5" i="3"/>
  <c r="T5" i="3" s="1"/>
  <c r="S5" i="3"/>
  <c r="W5" i="3"/>
  <c r="Z5" i="3" s="1"/>
  <c r="Z9" i="3" s="1"/>
  <c r="C6" i="3"/>
  <c r="D6" i="3"/>
  <c r="F6" i="3"/>
  <c r="G6" i="3"/>
  <c r="I6" i="3"/>
  <c r="T6" i="3" s="1"/>
  <c r="J6" i="3"/>
  <c r="U6" i="3" s="1"/>
  <c r="L6" i="3"/>
  <c r="L9" i="3" s="1"/>
  <c r="M6" i="3"/>
  <c r="M9" i="3" s="1"/>
  <c r="O6" i="3"/>
  <c r="O9" i="3" s="1"/>
  <c r="P6" i="3"/>
  <c r="R6" i="3"/>
  <c r="S6" i="3"/>
  <c r="W6" i="3"/>
  <c r="Z6" i="3" s="1"/>
  <c r="C7" i="3"/>
  <c r="D7" i="3"/>
  <c r="D9" i="3" s="1"/>
  <c r="F7" i="3"/>
  <c r="F9" i="3" s="1"/>
  <c r="G7" i="3"/>
  <c r="G9" i="3" s="1"/>
  <c r="I7" i="3"/>
  <c r="I9" i="3" s="1"/>
  <c r="J7" i="3"/>
  <c r="L7" i="3"/>
  <c r="M7" i="3"/>
  <c r="O7" i="3"/>
  <c r="P7" i="3"/>
  <c r="R7" i="3"/>
  <c r="S7" i="3"/>
  <c r="W7" i="3"/>
  <c r="W9" i="3" s="1"/>
  <c r="Z7" i="3"/>
  <c r="C9" i="3"/>
  <c r="P9" i="3"/>
  <c r="S9" i="3"/>
  <c r="Y9" i="3"/>
  <c r="T13" i="3"/>
  <c r="U13" i="3"/>
  <c r="Y13" i="3"/>
  <c r="Z13" i="3"/>
  <c r="T14" i="3"/>
  <c r="U14" i="3"/>
  <c r="Y14" i="3"/>
  <c r="Y19" i="3" s="1"/>
  <c r="T15" i="3"/>
  <c r="U15" i="3"/>
  <c r="Y15" i="3"/>
  <c r="Z15" i="3" s="1"/>
  <c r="Z19" i="3" s="1"/>
  <c r="T16" i="3"/>
  <c r="U16" i="3"/>
  <c r="Y16" i="3"/>
  <c r="T17" i="3"/>
  <c r="U17" i="3"/>
  <c r="Y17" i="3"/>
  <c r="C19" i="3"/>
  <c r="D19" i="3"/>
  <c r="F19" i="3"/>
  <c r="G19" i="3"/>
  <c r="I19" i="3"/>
  <c r="J19" i="3"/>
  <c r="L19" i="3"/>
  <c r="M19" i="3"/>
  <c r="O19" i="3"/>
  <c r="P19" i="3"/>
  <c r="R19" i="3"/>
  <c r="S19" i="3"/>
  <c r="T19" i="3"/>
  <c r="U19" i="3"/>
  <c r="W19" i="3"/>
  <c r="T22" i="3"/>
  <c r="U22" i="3"/>
  <c r="Y22" i="3"/>
  <c r="C23" i="3"/>
  <c r="T23" i="3" s="1"/>
  <c r="T34" i="3" s="1"/>
  <c r="U23" i="3"/>
  <c r="U34" i="3" s="1"/>
  <c r="Y23" i="3"/>
  <c r="T24" i="3"/>
  <c r="U24" i="3"/>
  <c r="Y24" i="3"/>
  <c r="Y34" i="3" s="1"/>
  <c r="F25" i="3"/>
  <c r="T25" i="3"/>
  <c r="U25" i="3"/>
  <c r="Y25" i="3"/>
  <c r="T26" i="3"/>
  <c r="U26" i="3"/>
  <c r="Y26" i="3"/>
  <c r="Z26" i="3"/>
  <c r="T27" i="3"/>
  <c r="U27" i="3"/>
  <c r="Y27" i="3"/>
  <c r="Z27" i="3" s="1"/>
  <c r="Z34" i="3" s="1"/>
  <c r="T28" i="3"/>
  <c r="U28" i="3"/>
  <c r="W28" i="3"/>
  <c r="Y28" i="3" s="1"/>
  <c r="T29" i="3"/>
  <c r="U29" i="3"/>
  <c r="Y29" i="3"/>
  <c r="Z29" i="3"/>
  <c r="T30" i="3"/>
  <c r="U30" i="3"/>
  <c r="Y30" i="3"/>
  <c r="T31" i="3"/>
  <c r="U31" i="3"/>
  <c r="Y31" i="3"/>
  <c r="T32" i="3"/>
  <c r="U32" i="3"/>
  <c r="Y32" i="3"/>
  <c r="C34" i="3"/>
  <c r="D34" i="3"/>
  <c r="F34" i="3"/>
  <c r="G34" i="3"/>
  <c r="I34" i="3"/>
  <c r="J34" i="3"/>
  <c r="L34" i="3"/>
  <c r="M34" i="3"/>
  <c r="O34" i="3"/>
  <c r="P34" i="3"/>
  <c r="R34" i="3"/>
  <c r="S34" i="3"/>
  <c r="W34" i="3"/>
  <c r="T37" i="3"/>
  <c r="T45" i="3" s="1"/>
  <c r="U37" i="3"/>
  <c r="U45" i="3" s="1"/>
  <c r="Y37" i="3"/>
  <c r="T38" i="3"/>
  <c r="U38" i="3"/>
  <c r="Y38" i="3"/>
  <c r="T39" i="3"/>
  <c r="U39" i="3"/>
  <c r="Y39" i="3"/>
  <c r="T40" i="3"/>
  <c r="U40" i="3"/>
  <c r="Y40" i="3"/>
  <c r="T41" i="3"/>
  <c r="U41" i="3"/>
  <c r="Y41" i="3"/>
  <c r="T42" i="3"/>
  <c r="U42" i="3"/>
  <c r="Y42" i="3"/>
  <c r="T43" i="3"/>
  <c r="U43" i="3"/>
  <c r="Y43" i="3"/>
  <c r="C45" i="3"/>
  <c r="D45" i="3"/>
  <c r="F45" i="3"/>
  <c r="F100" i="3" s="1"/>
  <c r="G45" i="3"/>
  <c r="I45" i="3"/>
  <c r="J45" i="3"/>
  <c r="L45" i="3"/>
  <c r="M45" i="3"/>
  <c r="O45" i="3"/>
  <c r="P45" i="3"/>
  <c r="R45" i="3"/>
  <c r="S45" i="3"/>
  <c r="W45" i="3"/>
  <c r="W100" i="3" s="1"/>
  <c r="Y45" i="3"/>
  <c r="Z45" i="3"/>
  <c r="T48" i="3"/>
  <c r="U48" i="3"/>
  <c r="U59" i="3" s="1"/>
  <c r="Z48" i="3"/>
  <c r="T49" i="3"/>
  <c r="U49" i="3"/>
  <c r="Z49" i="3"/>
  <c r="T50" i="3"/>
  <c r="U50" i="3"/>
  <c r="Z50" i="3"/>
  <c r="T51" i="3"/>
  <c r="T59" i="3" s="1"/>
  <c r="U51" i="3"/>
  <c r="Z51" i="3"/>
  <c r="T52" i="3"/>
  <c r="U52" i="3"/>
  <c r="T53" i="3"/>
  <c r="U53" i="3"/>
  <c r="Z53" i="3"/>
  <c r="T54" i="3"/>
  <c r="U54" i="3"/>
  <c r="Z54" i="3"/>
  <c r="T55" i="3"/>
  <c r="U55" i="3"/>
  <c r="Z55" i="3"/>
  <c r="T56" i="3"/>
  <c r="U56" i="3"/>
  <c r="Z56" i="3"/>
  <c r="T57" i="3"/>
  <c r="U57" i="3"/>
  <c r="W57" i="3"/>
  <c r="Z57" i="3"/>
  <c r="C59" i="3"/>
  <c r="D59" i="3"/>
  <c r="F59" i="3"/>
  <c r="G59" i="3"/>
  <c r="I59" i="3"/>
  <c r="I100" i="3" s="1"/>
  <c r="J59" i="3"/>
  <c r="L59" i="3"/>
  <c r="M59" i="3"/>
  <c r="O59" i="3"/>
  <c r="P59" i="3"/>
  <c r="R59" i="3"/>
  <c r="S59" i="3"/>
  <c r="W59" i="3"/>
  <c r="Y59" i="3"/>
  <c r="Z59" i="3"/>
  <c r="T62" i="3"/>
  <c r="U62" i="3"/>
  <c r="T63" i="3"/>
  <c r="U63" i="3"/>
  <c r="Z63" i="3"/>
  <c r="T64" i="3"/>
  <c r="U64" i="3"/>
  <c r="Y64" i="3"/>
  <c r="T65" i="3"/>
  <c r="U65" i="3"/>
  <c r="Y65" i="3"/>
  <c r="Y68" i="3" s="1"/>
  <c r="T66" i="3"/>
  <c r="T68" i="3" s="1"/>
  <c r="U66" i="3"/>
  <c r="U68" i="3" s="1"/>
  <c r="Y66" i="3"/>
  <c r="C68" i="3"/>
  <c r="D68" i="3"/>
  <c r="F68" i="3"/>
  <c r="G68" i="3"/>
  <c r="I68" i="3"/>
  <c r="J68" i="3"/>
  <c r="L68" i="3"/>
  <c r="M68" i="3"/>
  <c r="O68" i="3"/>
  <c r="P68" i="3"/>
  <c r="R68" i="3"/>
  <c r="S68" i="3"/>
  <c r="W68" i="3"/>
  <c r="Z68" i="3"/>
  <c r="T71" i="3"/>
  <c r="U71" i="3"/>
  <c r="U75" i="3" s="1"/>
  <c r="Z71" i="3"/>
  <c r="T72" i="3"/>
  <c r="T75" i="3" s="1"/>
  <c r="U72" i="3"/>
  <c r="Z72" i="3"/>
  <c r="Z75" i="3" s="1"/>
  <c r="T73" i="3"/>
  <c r="U73" i="3"/>
  <c r="Z73" i="3"/>
  <c r="C75" i="3"/>
  <c r="D75" i="3"/>
  <c r="F75" i="3"/>
  <c r="G75" i="3"/>
  <c r="I75" i="3"/>
  <c r="J75" i="3"/>
  <c r="L75" i="3"/>
  <c r="L100" i="3" s="1"/>
  <c r="M75" i="3"/>
  <c r="O75" i="3"/>
  <c r="P75" i="3"/>
  <c r="R75" i="3"/>
  <c r="S75" i="3"/>
  <c r="W75" i="3"/>
  <c r="Y75" i="3"/>
  <c r="T78" i="3"/>
  <c r="U78" i="3"/>
  <c r="U81" i="3" s="1"/>
  <c r="Y78" i="3"/>
  <c r="Y81" i="3" s="1"/>
  <c r="T79" i="3"/>
  <c r="U79" i="3"/>
  <c r="C81" i="3"/>
  <c r="D81" i="3"/>
  <c r="F81" i="3"/>
  <c r="G81" i="3"/>
  <c r="I81" i="3"/>
  <c r="J81" i="3"/>
  <c r="L81" i="3"/>
  <c r="M81" i="3"/>
  <c r="O81" i="3"/>
  <c r="O100" i="3" s="1"/>
  <c r="P81" i="3"/>
  <c r="R81" i="3"/>
  <c r="S81" i="3"/>
  <c r="T81" i="3"/>
  <c r="W81" i="3"/>
  <c r="Z81" i="3"/>
  <c r="T84" i="3"/>
  <c r="U84" i="3"/>
  <c r="T85" i="3"/>
  <c r="U85" i="3"/>
  <c r="U87" i="3" s="1"/>
  <c r="C87" i="3"/>
  <c r="C100" i="3" s="1"/>
  <c r="D87" i="3"/>
  <c r="F87" i="3"/>
  <c r="G87" i="3"/>
  <c r="G100" i="3" s="1"/>
  <c r="I87" i="3"/>
  <c r="J87" i="3"/>
  <c r="L87" i="3"/>
  <c r="M87" i="3"/>
  <c r="O87" i="3"/>
  <c r="P87" i="3"/>
  <c r="R87" i="3"/>
  <c r="S87" i="3"/>
  <c r="T87" i="3"/>
  <c r="W87" i="3"/>
  <c r="Y87" i="3"/>
  <c r="Z87" i="3"/>
  <c r="T90" i="3"/>
  <c r="U90" i="3"/>
  <c r="Y90" i="3"/>
  <c r="T91" i="3"/>
  <c r="U91" i="3"/>
  <c r="Y91" i="3"/>
  <c r="Y98" i="3" s="1"/>
  <c r="Z91" i="3"/>
  <c r="Z98" i="3" s="1"/>
  <c r="T92" i="3"/>
  <c r="T98" i="3" s="1"/>
  <c r="U92" i="3"/>
  <c r="Z92" i="3"/>
  <c r="T93" i="3"/>
  <c r="U93" i="3"/>
  <c r="Y93" i="3"/>
  <c r="T94" i="3"/>
  <c r="U94" i="3"/>
  <c r="Z94" i="3"/>
  <c r="T95" i="3"/>
  <c r="U95" i="3"/>
  <c r="T96" i="3"/>
  <c r="U96" i="3"/>
  <c r="U98" i="3" s="1"/>
  <c r="Y96" i="3"/>
  <c r="C98" i="3"/>
  <c r="D98" i="3"/>
  <c r="D100" i="3" s="1"/>
  <c r="D322" i="3" s="1"/>
  <c r="F98" i="3"/>
  <c r="G98" i="3"/>
  <c r="I98" i="3"/>
  <c r="J98" i="3"/>
  <c r="L98" i="3"/>
  <c r="M98" i="3"/>
  <c r="M100" i="3" s="1"/>
  <c r="O98" i="3"/>
  <c r="P98" i="3"/>
  <c r="P100" i="3" s="1"/>
  <c r="R98" i="3"/>
  <c r="R100" i="3" s="1"/>
  <c r="S98" i="3"/>
  <c r="S100" i="3" s="1"/>
  <c r="W98" i="3"/>
  <c r="J100" i="3"/>
  <c r="T104" i="3"/>
  <c r="T130" i="3" s="1"/>
  <c r="U104" i="3"/>
  <c r="U130" i="3" s="1"/>
  <c r="Y104" i="3"/>
  <c r="T105" i="3"/>
  <c r="U105" i="3"/>
  <c r="W105" i="3"/>
  <c r="Y105" i="3" s="1"/>
  <c r="Y130" i="3" s="1"/>
  <c r="T106" i="3"/>
  <c r="U106" i="3"/>
  <c r="Y106" i="3"/>
  <c r="T107" i="3"/>
  <c r="U107" i="3"/>
  <c r="Y107" i="3"/>
  <c r="T108" i="3"/>
  <c r="U108" i="3"/>
  <c r="Y108" i="3"/>
  <c r="T109" i="3"/>
  <c r="U109" i="3"/>
  <c r="Y109" i="3"/>
  <c r="T110" i="3"/>
  <c r="U110" i="3"/>
  <c r="Y110" i="3"/>
  <c r="T111" i="3"/>
  <c r="U111" i="3"/>
  <c r="Y111" i="3"/>
  <c r="T112" i="3"/>
  <c r="U112" i="3"/>
  <c r="Y112" i="3"/>
  <c r="T113" i="3"/>
  <c r="U113" i="3"/>
  <c r="Y113" i="3"/>
  <c r="T114" i="3"/>
  <c r="U114" i="3"/>
  <c r="Y114" i="3"/>
  <c r="T115" i="3"/>
  <c r="U115" i="3"/>
  <c r="Y115" i="3"/>
  <c r="T116" i="3"/>
  <c r="U116" i="3"/>
  <c r="Y116" i="3"/>
  <c r="T117" i="3"/>
  <c r="U117" i="3"/>
  <c r="W117" i="3"/>
  <c r="Z117" i="3"/>
  <c r="T118" i="3"/>
  <c r="U118" i="3"/>
  <c r="Y118" i="3"/>
  <c r="T119" i="3"/>
  <c r="U119" i="3"/>
  <c r="Y119" i="3"/>
  <c r="T120" i="3"/>
  <c r="U120" i="3"/>
  <c r="Y120" i="3"/>
  <c r="T121" i="3"/>
  <c r="U121" i="3"/>
  <c r="Y121" i="3"/>
  <c r="R122" i="3"/>
  <c r="T122" i="3"/>
  <c r="U122" i="3"/>
  <c r="Y122" i="3"/>
  <c r="T123" i="3"/>
  <c r="U123" i="3"/>
  <c r="Y123" i="3"/>
  <c r="T124" i="3"/>
  <c r="U124" i="3"/>
  <c r="Y124" i="3"/>
  <c r="T125" i="3"/>
  <c r="U125" i="3"/>
  <c r="Y125" i="3"/>
  <c r="T126" i="3"/>
  <c r="U126" i="3"/>
  <c r="Y126" i="3"/>
  <c r="T127" i="3"/>
  <c r="U127" i="3"/>
  <c r="Y127" i="3"/>
  <c r="T128" i="3"/>
  <c r="U128" i="3"/>
  <c r="Y128" i="3"/>
  <c r="C130" i="3"/>
  <c r="D130" i="3"/>
  <c r="F130" i="3"/>
  <c r="G130" i="3"/>
  <c r="I130" i="3"/>
  <c r="J130" i="3"/>
  <c r="L130" i="3"/>
  <c r="M130" i="3"/>
  <c r="O130" i="3"/>
  <c r="P130" i="3"/>
  <c r="R130" i="3"/>
  <c r="S130" i="3"/>
  <c r="W130" i="3"/>
  <c r="Z130" i="3"/>
  <c r="T132" i="3"/>
  <c r="T155" i="3" s="1"/>
  <c r="U132" i="3"/>
  <c r="U155" i="3" s="1"/>
  <c r="Y132" i="3"/>
  <c r="T133" i="3"/>
  <c r="U133" i="3"/>
  <c r="Y133" i="3"/>
  <c r="T134" i="3"/>
  <c r="U134" i="3"/>
  <c r="W134" i="3"/>
  <c r="Y134" i="3" s="1"/>
  <c r="T135" i="3"/>
  <c r="U135" i="3"/>
  <c r="Y135" i="3"/>
  <c r="T136" i="3"/>
  <c r="U136" i="3"/>
  <c r="Y136" i="3"/>
  <c r="T137" i="3"/>
  <c r="U137" i="3"/>
  <c r="Y137" i="3"/>
  <c r="T138" i="3"/>
  <c r="U138" i="3"/>
  <c r="Y138" i="3"/>
  <c r="T139" i="3"/>
  <c r="U139" i="3"/>
  <c r="Y139" i="3"/>
  <c r="T140" i="3"/>
  <c r="U140" i="3"/>
  <c r="Y140" i="3"/>
  <c r="T141" i="3"/>
  <c r="U141" i="3"/>
  <c r="Y141" i="3"/>
  <c r="T142" i="3"/>
  <c r="U142" i="3"/>
  <c r="Y142" i="3"/>
  <c r="T143" i="3"/>
  <c r="U143" i="3"/>
  <c r="Y143" i="3"/>
  <c r="T144" i="3"/>
  <c r="U144" i="3"/>
  <c r="Y144" i="3"/>
  <c r="T145" i="3"/>
  <c r="U145" i="3"/>
  <c r="Y145" i="3"/>
  <c r="T146" i="3"/>
  <c r="U146" i="3"/>
  <c r="Z146" i="3"/>
  <c r="T147" i="3"/>
  <c r="U147" i="3"/>
  <c r="Y147" i="3"/>
  <c r="T148" i="3"/>
  <c r="U148" i="3"/>
  <c r="Y148" i="3"/>
  <c r="T149" i="3"/>
  <c r="U149" i="3"/>
  <c r="Y149" i="3"/>
  <c r="T150" i="3"/>
  <c r="U150" i="3"/>
  <c r="Y150" i="3"/>
  <c r="T151" i="3"/>
  <c r="U151" i="3"/>
  <c r="Y151" i="3"/>
  <c r="T152" i="3"/>
  <c r="U152" i="3"/>
  <c r="Y152" i="3"/>
  <c r="T153" i="3"/>
  <c r="U153" i="3"/>
  <c r="Y153" i="3"/>
  <c r="C155" i="3"/>
  <c r="D155" i="3"/>
  <c r="F155" i="3"/>
  <c r="G155" i="3"/>
  <c r="I155" i="3"/>
  <c r="J155" i="3"/>
  <c r="L155" i="3"/>
  <c r="M155" i="3"/>
  <c r="O155" i="3"/>
  <c r="P155" i="3"/>
  <c r="R155" i="3"/>
  <c r="S155" i="3"/>
  <c r="W155" i="3"/>
  <c r="Z155" i="3"/>
  <c r="T157" i="3"/>
  <c r="U157" i="3"/>
  <c r="Y157" i="3"/>
  <c r="T158" i="3"/>
  <c r="U158" i="3"/>
  <c r="W158" i="3"/>
  <c r="Y158" i="3" s="1"/>
  <c r="T159" i="3"/>
  <c r="U159" i="3"/>
  <c r="W159" i="3"/>
  <c r="Y159" i="3"/>
  <c r="T160" i="3"/>
  <c r="U160" i="3"/>
  <c r="Y160" i="3"/>
  <c r="T161" i="3"/>
  <c r="U161" i="3"/>
  <c r="Y161" i="3"/>
  <c r="T162" i="3"/>
  <c r="U162" i="3"/>
  <c r="W162" i="3"/>
  <c r="Y162" i="3"/>
  <c r="T163" i="3"/>
  <c r="U163" i="3"/>
  <c r="Y163" i="3"/>
  <c r="T164" i="3"/>
  <c r="U164" i="3"/>
  <c r="U182" i="3" s="1"/>
  <c r="Y164" i="3"/>
  <c r="T165" i="3"/>
  <c r="U165" i="3"/>
  <c r="Y165" i="3"/>
  <c r="T166" i="3"/>
  <c r="U166" i="3"/>
  <c r="Y166" i="3"/>
  <c r="U167" i="3"/>
  <c r="Y167" i="3"/>
  <c r="T168" i="3"/>
  <c r="U168" i="3"/>
  <c r="Y168" i="3"/>
  <c r="T169" i="3"/>
  <c r="U169" i="3"/>
  <c r="Y169" i="3"/>
  <c r="T170" i="3"/>
  <c r="U170" i="3"/>
  <c r="Y170" i="3"/>
  <c r="T171" i="3"/>
  <c r="U171" i="3"/>
  <c r="Y171" i="3"/>
  <c r="T172" i="3"/>
  <c r="U172" i="3"/>
  <c r="Y172" i="3"/>
  <c r="T173" i="3"/>
  <c r="U173" i="3"/>
  <c r="Y173" i="3"/>
  <c r="T174" i="3"/>
  <c r="U174" i="3"/>
  <c r="Y174" i="3"/>
  <c r="T175" i="3"/>
  <c r="U175" i="3"/>
  <c r="Y175" i="3"/>
  <c r="T176" i="3"/>
  <c r="U176" i="3"/>
  <c r="Y176" i="3"/>
  <c r="T177" i="3"/>
  <c r="U177" i="3"/>
  <c r="Y177" i="3"/>
  <c r="T178" i="3"/>
  <c r="U178" i="3"/>
  <c r="Y178" i="3"/>
  <c r="T179" i="3"/>
  <c r="U179" i="3"/>
  <c r="T180" i="3"/>
  <c r="U180" i="3"/>
  <c r="C182" i="3"/>
  <c r="C210" i="3" s="1"/>
  <c r="C319" i="3" s="1"/>
  <c r="D182" i="3"/>
  <c r="F182" i="3"/>
  <c r="G182" i="3"/>
  <c r="I182" i="3"/>
  <c r="J182" i="3"/>
  <c r="L182" i="3"/>
  <c r="M182" i="3"/>
  <c r="O182" i="3"/>
  <c r="P182" i="3"/>
  <c r="R182" i="3"/>
  <c r="S182" i="3"/>
  <c r="T182" i="3"/>
  <c r="W182" i="3"/>
  <c r="Z182" i="3"/>
  <c r="T184" i="3"/>
  <c r="T198" i="3" s="1"/>
  <c r="U184" i="3"/>
  <c r="Y184" i="3"/>
  <c r="T185" i="3"/>
  <c r="U185" i="3"/>
  <c r="Y185" i="3"/>
  <c r="T186" i="3"/>
  <c r="U186" i="3"/>
  <c r="U198" i="3" s="1"/>
  <c r="Y186" i="3"/>
  <c r="Y198" i="3" s="1"/>
  <c r="T187" i="3"/>
  <c r="U187" i="3"/>
  <c r="Y187" i="3"/>
  <c r="T188" i="3"/>
  <c r="U188" i="3"/>
  <c r="Y188" i="3"/>
  <c r="T189" i="3"/>
  <c r="U189" i="3"/>
  <c r="Y189" i="3"/>
  <c r="T190" i="3"/>
  <c r="U190" i="3"/>
  <c r="Y190" i="3"/>
  <c r="T191" i="3"/>
  <c r="U191" i="3"/>
  <c r="Y191" i="3"/>
  <c r="T192" i="3"/>
  <c r="U192" i="3"/>
  <c r="T193" i="3"/>
  <c r="U193" i="3"/>
  <c r="Y193" i="3"/>
  <c r="T194" i="3"/>
  <c r="U194" i="3"/>
  <c r="Y194" i="3"/>
  <c r="T195" i="3"/>
  <c r="U195" i="3"/>
  <c r="Y195" i="3"/>
  <c r="T196" i="3"/>
  <c r="U196" i="3"/>
  <c r="Y196" i="3"/>
  <c r="C198" i="3"/>
  <c r="D198" i="3"/>
  <c r="F198" i="3"/>
  <c r="G198" i="3"/>
  <c r="I198" i="3"/>
  <c r="J198" i="3"/>
  <c r="L198" i="3"/>
  <c r="L210" i="3" s="1"/>
  <c r="M198" i="3"/>
  <c r="O198" i="3"/>
  <c r="P198" i="3"/>
  <c r="R198" i="3"/>
  <c r="S198" i="3"/>
  <c r="W198" i="3"/>
  <c r="Z198" i="3"/>
  <c r="T200" i="3"/>
  <c r="T208" i="3" s="1"/>
  <c r="T210" i="3" s="1"/>
  <c r="U200" i="3"/>
  <c r="U208" i="3" s="1"/>
  <c r="Y200" i="3"/>
  <c r="T201" i="3"/>
  <c r="U201" i="3"/>
  <c r="Y201" i="3"/>
  <c r="T202" i="3"/>
  <c r="U202" i="3"/>
  <c r="Y202" i="3"/>
  <c r="T203" i="3"/>
  <c r="U203" i="3"/>
  <c r="Y203" i="3"/>
  <c r="T204" i="3"/>
  <c r="U204" i="3"/>
  <c r="Y204" i="3"/>
  <c r="T205" i="3"/>
  <c r="U205" i="3"/>
  <c r="Y205" i="3"/>
  <c r="T206" i="3"/>
  <c r="U206" i="3"/>
  <c r="Y206" i="3"/>
  <c r="C208" i="3"/>
  <c r="D208" i="3"/>
  <c r="D210" i="3" s="1"/>
  <c r="D319" i="3" s="1"/>
  <c r="F208" i="3"/>
  <c r="G208" i="3"/>
  <c r="G210" i="3" s="1"/>
  <c r="I208" i="3"/>
  <c r="I210" i="3" s="1"/>
  <c r="J208" i="3"/>
  <c r="J210" i="3" s="1"/>
  <c r="L208" i="3"/>
  <c r="M208" i="3"/>
  <c r="M210" i="3" s="1"/>
  <c r="O208" i="3"/>
  <c r="O210" i="3" s="1"/>
  <c r="O319" i="3" s="1"/>
  <c r="P208" i="3"/>
  <c r="P210" i="3" s="1"/>
  <c r="R208" i="3"/>
  <c r="S208" i="3"/>
  <c r="W208" i="3"/>
  <c r="Y208" i="3"/>
  <c r="Z208" i="3"/>
  <c r="Z210" i="3" s="1"/>
  <c r="F210" i="3"/>
  <c r="R210" i="3"/>
  <c r="S210" i="3"/>
  <c r="W210" i="3"/>
  <c r="T213" i="3"/>
  <c r="U213" i="3"/>
  <c r="Y213" i="3"/>
  <c r="T214" i="3"/>
  <c r="U214" i="3"/>
  <c r="Y214" i="3"/>
  <c r="T215" i="3"/>
  <c r="T253" i="3" s="1"/>
  <c r="U215" i="3"/>
  <c r="U253" i="3" s="1"/>
  <c r="W215" i="3"/>
  <c r="Y215" i="3"/>
  <c r="T216" i="3"/>
  <c r="U216" i="3"/>
  <c r="W216" i="3"/>
  <c r="Y216" i="3"/>
  <c r="T217" i="3"/>
  <c r="U217" i="3"/>
  <c r="W217" i="3"/>
  <c r="Y217" i="3"/>
  <c r="T218" i="3"/>
  <c r="U218" i="3"/>
  <c r="Y218" i="3"/>
  <c r="T219" i="3"/>
  <c r="U219" i="3"/>
  <c r="W219" i="3"/>
  <c r="Y219" i="3" s="1"/>
  <c r="T220" i="3"/>
  <c r="U220" i="3"/>
  <c r="W220" i="3"/>
  <c r="Y220" i="3" s="1"/>
  <c r="T221" i="3"/>
  <c r="U221" i="3"/>
  <c r="W221" i="3"/>
  <c r="Y221" i="3" s="1"/>
  <c r="T222" i="3"/>
  <c r="U222" i="3"/>
  <c r="W222" i="3"/>
  <c r="Y222" i="3" s="1"/>
  <c r="T223" i="3"/>
  <c r="U223" i="3"/>
  <c r="W223" i="3"/>
  <c r="Y223" i="3" s="1"/>
  <c r="T224" i="3"/>
  <c r="U224" i="3"/>
  <c r="T225" i="3"/>
  <c r="U225" i="3"/>
  <c r="W225" i="3"/>
  <c r="Y225" i="3"/>
  <c r="T226" i="3"/>
  <c r="U226" i="3"/>
  <c r="Y226" i="3"/>
  <c r="T227" i="3"/>
  <c r="U227" i="3"/>
  <c r="Y227" i="3"/>
  <c r="T228" i="3"/>
  <c r="U228" i="3"/>
  <c r="Y228" i="3"/>
  <c r="T229" i="3"/>
  <c r="U229" i="3"/>
  <c r="Y229" i="3"/>
  <c r="T230" i="3"/>
  <c r="U230" i="3"/>
  <c r="Y230" i="3"/>
  <c r="T231" i="3"/>
  <c r="U231" i="3"/>
  <c r="Y231" i="3"/>
  <c r="T232" i="3"/>
  <c r="U232" i="3"/>
  <c r="Y232" i="3"/>
  <c r="T233" i="3"/>
  <c r="U233" i="3"/>
  <c r="Y233" i="3"/>
  <c r="T234" i="3"/>
  <c r="U234" i="3"/>
  <c r="Y234" i="3"/>
  <c r="T235" i="3"/>
  <c r="U235" i="3"/>
  <c r="T236" i="3"/>
  <c r="U236" i="3"/>
  <c r="Y236" i="3"/>
  <c r="T237" i="3"/>
  <c r="U237" i="3"/>
  <c r="Y237" i="3"/>
  <c r="T238" i="3"/>
  <c r="U238" i="3"/>
  <c r="Y238" i="3"/>
  <c r="T239" i="3"/>
  <c r="U239" i="3"/>
  <c r="Y239" i="3"/>
  <c r="T240" i="3"/>
  <c r="U240" i="3"/>
  <c r="Y240" i="3"/>
  <c r="T241" i="3"/>
  <c r="U241" i="3"/>
  <c r="T242" i="3"/>
  <c r="U242" i="3"/>
  <c r="T243" i="3"/>
  <c r="U243" i="3"/>
  <c r="Y243" i="3"/>
  <c r="T244" i="3"/>
  <c r="U244" i="3"/>
  <c r="Y244" i="3"/>
  <c r="T245" i="3"/>
  <c r="U245" i="3"/>
  <c r="Y245" i="3"/>
  <c r="T246" i="3"/>
  <c r="U246" i="3"/>
  <c r="T247" i="3"/>
  <c r="U247" i="3"/>
  <c r="Y247" i="3"/>
  <c r="T248" i="3"/>
  <c r="U248" i="3"/>
  <c r="Y248" i="3"/>
  <c r="T249" i="3"/>
  <c r="U249" i="3"/>
  <c r="Y249" i="3"/>
  <c r="T250" i="3"/>
  <c r="U250" i="3"/>
  <c r="Z250" i="3"/>
  <c r="T251" i="3"/>
  <c r="U251" i="3"/>
  <c r="Y251" i="3"/>
  <c r="C253" i="3"/>
  <c r="D253" i="3"/>
  <c r="F253" i="3"/>
  <c r="G253" i="3"/>
  <c r="I253" i="3"/>
  <c r="J253" i="3"/>
  <c r="L253" i="3"/>
  <c r="M253" i="3"/>
  <c r="O253" i="3"/>
  <c r="P253" i="3"/>
  <c r="R253" i="3"/>
  <c r="S253" i="3"/>
  <c r="W253" i="3"/>
  <c r="Z253" i="3"/>
  <c r="T256" i="3"/>
  <c r="T265" i="3" s="1"/>
  <c r="U256" i="3"/>
  <c r="Y256" i="3"/>
  <c r="T257" i="3"/>
  <c r="U257" i="3"/>
  <c r="Y257" i="3"/>
  <c r="T258" i="3"/>
  <c r="U258" i="3"/>
  <c r="Y258" i="3"/>
  <c r="T259" i="3"/>
  <c r="U259" i="3"/>
  <c r="Y259" i="3"/>
  <c r="Y265" i="3" s="1"/>
  <c r="T260" i="3"/>
  <c r="U260" i="3"/>
  <c r="Y260" i="3"/>
  <c r="T261" i="3"/>
  <c r="U261" i="3"/>
  <c r="Z261" i="3"/>
  <c r="Z265" i="3" s="1"/>
  <c r="T262" i="3"/>
  <c r="U262" i="3"/>
  <c r="T263" i="3"/>
  <c r="U263" i="3"/>
  <c r="C265" i="3"/>
  <c r="D265" i="3"/>
  <c r="F265" i="3"/>
  <c r="F288" i="3" s="1"/>
  <c r="F319" i="3" s="1"/>
  <c r="G265" i="3"/>
  <c r="I265" i="3"/>
  <c r="J265" i="3"/>
  <c r="L265" i="3"/>
  <c r="M265" i="3"/>
  <c r="O265" i="3"/>
  <c r="P265" i="3"/>
  <c r="R265" i="3"/>
  <c r="S265" i="3"/>
  <c r="U265" i="3"/>
  <c r="W265" i="3"/>
  <c r="T267" i="3"/>
  <c r="T286" i="3" s="1"/>
  <c r="T288" i="3" s="1"/>
  <c r="U267" i="3"/>
  <c r="U286" i="3" s="1"/>
  <c r="U288" i="3" s="1"/>
  <c r="Y267" i="3"/>
  <c r="T268" i="3"/>
  <c r="U268" i="3"/>
  <c r="Y268" i="3"/>
  <c r="T269" i="3"/>
  <c r="U269" i="3"/>
  <c r="W269" i="3"/>
  <c r="W286" i="3" s="1"/>
  <c r="W288" i="3" s="1"/>
  <c r="W319" i="3" s="1"/>
  <c r="Y269" i="3"/>
  <c r="Y286" i="3" s="1"/>
  <c r="T270" i="3"/>
  <c r="U270" i="3"/>
  <c r="Y270" i="3"/>
  <c r="T271" i="3"/>
  <c r="U271" i="3"/>
  <c r="Y271" i="3"/>
  <c r="T272" i="3"/>
  <c r="U272" i="3"/>
  <c r="Y272" i="3"/>
  <c r="T273" i="3"/>
  <c r="U273" i="3"/>
  <c r="Y273" i="3"/>
  <c r="T274" i="3"/>
  <c r="U274" i="3"/>
  <c r="Y274" i="3"/>
  <c r="T275" i="3"/>
  <c r="U275" i="3"/>
  <c r="T276" i="3"/>
  <c r="U276" i="3"/>
  <c r="Y276" i="3"/>
  <c r="T277" i="3"/>
  <c r="U277" i="3"/>
  <c r="Y277" i="3"/>
  <c r="T278" i="3"/>
  <c r="U278" i="3"/>
  <c r="Y278" i="3"/>
  <c r="T279" i="3"/>
  <c r="U279" i="3"/>
  <c r="Y279" i="3"/>
  <c r="T280" i="3"/>
  <c r="U280" i="3"/>
  <c r="Y280" i="3"/>
  <c r="T281" i="3"/>
  <c r="U281" i="3"/>
  <c r="Y281" i="3"/>
  <c r="T282" i="3"/>
  <c r="U282" i="3"/>
  <c r="Y282" i="3"/>
  <c r="T283" i="3"/>
  <c r="U283" i="3"/>
  <c r="Z283" i="3"/>
  <c r="Z286" i="3" s="1"/>
  <c r="C286" i="3"/>
  <c r="D286" i="3"/>
  <c r="F286" i="3"/>
  <c r="G286" i="3"/>
  <c r="G288" i="3" s="1"/>
  <c r="I286" i="3"/>
  <c r="J286" i="3"/>
  <c r="J288" i="3" s="1"/>
  <c r="L286" i="3"/>
  <c r="L288" i="3" s="1"/>
  <c r="M286" i="3"/>
  <c r="M288" i="3" s="1"/>
  <c r="O286" i="3"/>
  <c r="P286" i="3"/>
  <c r="P288" i="3" s="1"/>
  <c r="R286" i="3"/>
  <c r="R288" i="3" s="1"/>
  <c r="S286" i="3"/>
  <c r="S288" i="3" s="1"/>
  <c r="C288" i="3"/>
  <c r="D288" i="3"/>
  <c r="I288" i="3"/>
  <c r="O288" i="3"/>
  <c r="T291" i="3"/>
  <c r="T317" i="3" s="1"/>
  <c r="U291" i="3"/>
  <c r="Y291" i="3"/>
  <c r="T292" i="3"/>
  <c r="U292" i="3"/>
  <c r="Y292" i="3"/>
  <c r="T293" i="3"/>
  <c r="U293" i="3"/>
  <c r="U317" i="3" s="1"/>
  <c r="Y293" i="3"/>
  <c r="Y317" i="3" s="1"/>
  <c r="T294" i="3"/>
  <c r="U294" i="3"/>
  <c r="Y294" i="3"/>
  <c r="T295" i="3"/>
  <c r="U295" i="3"/>
  <c r="Y295" i="3"/>
  <c r="T296" i="3"/>
  <c r="U296" i="3"/>
  <c r="Y296" i="3"/>
  <c r="T297" i="3"/>
  <c r="U297" i="3"/>
  <c r="Y297" i="3"/>
  <c r="T298" i="3"/>
  <c r="U298" i="3"/>
  <c r="Y298" i="3"/>
  <c r="T299" i="3"/>
  <c r="U299" i="3"/>
  <c r="Y299" i="3"/>
  <c r="T300" i="3"/>
  <c r="U300" i="3"/>
  <c r="Y300" i="3"/>
  <c r="T301" i="3"/>
  <c r="U301" i="3"/>
  <c r="Y301" i="3"/>
  <c r="T302" i="3"/>
  <c r="U302" i="3"/>
  <c r="Y302" i="3"/>
  <c r="T303" i="3"/>
  <c r="U303" i="3"/>
  <c r="Y303" i="3"/>
  <c r="T304" i="3"/>
  <c r="U304" i="3"/>
  <c r="Y304" i="3"/>
  <c r="T305" i="3"/>
  <c r="U305" i="3"/>
  <c r="Y305" i="3"/>
  <c r="T306" i="3"/>
  <c r="U306" i="3"/>
  <c r="Y306" i="3"/>
  <c r="T307" i="3"/>
  <c r="U307" i="3"/>
  <c r="Y307" i="3"/>
  <c r="T308" i="3"/>
  <c r="U308" i="3"/>
  <c r="Y308" i="3"/>
  <c r="T309" i="3"/>
  <c r="U309" i="3"/>
  <c r="Y309" i="3"/>
  <c r="T310" i="3"/>
  <c r="U310" i="3"/>
  <c r="Y310" i="3"/>
  <c r="T311" i="3"/>
  <c r="U311" i="3"/>
  <c r="Y311" i="3"/>
  <c r="T312" i="3"/>
  <c r="U312" i="3"/>
  <c r="Z312" i="3"/>
  <c r="Z317" i="3" s="1"/>
  <c r="T313" i="3"/>
  <c r="U313" i="3"/>
  <c r="Y313" i="3"/>
  <c r="T314" i="3"/>
  <c r="U314" i="3"/>
  <c r="Y314" i="3"/>
  <c r="T315" i="3"/>
  <c r="U315" i="3"/>
  <c r="C317" i="3"/>
  <c r="D317" i="3"/>
  <c r="F317" i="3"/>
  <c r="G317" i="3"/>
  <c r="G319" i="3" s="1"/>
  <c r="I317" i="3"/>
  <c r="J317" i="3"/>
  <c r="L317" i="3"/>
  <c r="L319" i="3" s="1"/>
  <c r="M317" i="3"/>
  <c r="M319" i="3" s="1"/>
  <c r="O317" i="3"/>
  <c r="P317" i="3"/>
  <c r="R317" i="3"/>
  <c r="R319" i="3" s="1"/>
  <c r="S317" i="3"/>
  <c r="S319" i="3" s="1"/>
  <c r="W317" i="3"/>
  <c r="D6" i="2"/>
  <c r="D14" i="2" s="1"/>
  <c r="E6" i="2"/>
  <c r="K6" i="2"/>
  <c r="L6" i="2"/>
  <c r="O6" i="2"/>
  <c r="P6" i="2"/>
  <c r="D7" i="2"/>
  <c r="K7" i="2"/>
  <c r="L7" i="2"/>
  <c r="O7" i="2"/>
  <c r="P7" i="2"/>
  <c r="D8" i="2"/>
  <c r="E8" i="2"/>
  <c r="K8" i="2"/>
  <c r="K14" i="2" s="1"/>
  <c r="L8" i="2"/>
  <c r="O8" i="2"/>
  <c r="P8" i="2"/>
  <c r="D9" i="2"/>
  <c r="E9" i="2"/>
  <c r="K9" i="2"/>
  <c r="L9" i="2"/>
  <c r="O9" i="2"/>
  <c r="P9" i="2"/>
  <c r="D10" i="2"/>
  <c r="E10" i="2"/>
  <c r="K10" i="2"/>
  <c r="L10" i="2"/>
  <c r="O10" i="2"/>
  <c r="P10" i="2"/>
  <c r="D11" i="2"/>
  <c r="E11" i="2"/>
  <c r="K11" i="2"/>
  <c r="L11" i="2"/>
  <c r="O11" i="2"/>
  <c r="P11" i="2"/>
  <c r="D12" i="2"/>
  <c r="E12" i="2"/>
  <c r="K12" i="2"/>
  <c r="L12" i="2"/>
  <c r="O12" i="2"/>
  <c r="P12" i="2"/>
  <c r="B13" i="2"/>
  <c r="B14" i="2" s="1"/>
  <c r="E14" i="2" s="1"/>
  <c r="C13" i="2"/>
  <c r="C14" i="2" s="1"/>
  <c r="D13" i="2"/>
  <c r="E13" i="2"/>
  <c r="I13" i="2"/>
  <c r="J13" i="2"/>
  <c r="J14" i="2" s="1"/>
  <c r="K13" i="2"/>
  <c r="L13" i="2"/>
  <c r="N13" i="2"/>
  <c r="N14" i="2" s="1"/>
  <c r="B16" i="2"/>
  <c r="I16" i="2"/>
  <c r="J16" i="2"/>
  <c r="D18" i="2"/>
  <c r="E18" i="2"/>
  <c r="K18" i="2"/>
  <c r="L18" i="2"/>
  <c r="O18" i="2"/>
  <c r="O20" i="2" s="1"/>
  <c r="P18" i="2"/>
  <c r="D19" i="2"/>
  <c r="E19" i="2"/>
  <c r="K19" i="2"/>
  <c r="L19" i="2"/>
  <c r="O19" i="2"/>
  <c r="P19" i="2"/>
  <c r="B20" i="2"/>
  <c r="C20" i="2"/>
  <c r="D20" i="2"/>
  <c r="E20" i="2"/>
  <c r="I20" i="2"/>
  <c r="P20" i="2" s="1"/>
  <c r="J20" i="2"/>
  <c r="K20" i="2"/>
  <c r="L20" i="2"/>
  <c r="N20" i="2"/>
  <c r="D22" i="2"/>
  <c r="E22" i="2"/>
  <c r="K22" i="2"/>
  <c r="L22" i="2"/>
  <c r="O22" i="2"/>
  <c r="P22" i="2"/>
  <c r="D23" i="2"/>
  <c r="E23" i="2"/>
  <c r="K23" i="2"/>
  <c r="L23" i="2"/>
  <c r="O23" i="2"/>
  <c r="P23" i="2"/>
  <c r="B24" i="2"/>
  <c r="B25" i="2" s="1"/>
  <c r="C24" i="2"/>
  <c r="C25" i="2" s="1"/>
  <c r="D24" i="2"/>
  <c r="E24" i="2"/>
  <c r="I24" i="2"/>
  <c r="O24" i="2" s="1"/>
  <c r="O25" i="2" s="1"/>
  <c r="J24" i="2"/>
  <c r="J25" i="2" s="1"/>
  <c r="K24" i="2"/>
  <c r="K25" i="2" s="1"/>
  <c r="N24" i="2"/>
  <c r="N25" i="2"/>
  <c r="D27" i="2"/>
  <c r="E27" i="2"/>
  <c r="K27" i="2"/>
  <c r="L27" i="2"/>
  <c r="O27" i="2"/>
  <c r="P27" i="2"/>
  <c r="D28" i="2"/>
  <c r="E28" i="2"/>
  <c r="K28" i="2"/>
  <c r="L28" i="2"/>
  <c r="O28" i="2"/>
  <c r="P28" i="2"/>
  <c r="D29" i="2"/>
  <c r="E29" i="2"/>
  <c r="K29" i="2"/>
  <c r="L29" i="2"/>
  <c r="O29" i="2"/>
  <c r="P29" i="2"/>
  <c r="B30" i="2"/>
  <c r="B31" i="2" s="1"/>
  <c r="D31" i="2" s="1"/>
  <c r="C30" i="2"/>
  <c r="C31" i="2" s="1"/>
  <c r="D30" i="2"/>
  <c r="E30" i="2"/>
  <c r="I30" i="2"/>
  <c r="J30" i="2"/>
  <c r="N30" i="2"/>
  <c r="N31" i="2" s="1"/>
  <c r="E31" i="2"/>
  <c r="I31" i="2"/>
  <c r="J31" i="2"/>
  <c r="D33" i="2"/>
  <c r="E33" i="2"/>
  <c r="K33" i="2"/>
  <c r="L33" i="2"/>
  <c r="O33" i="2"/>
  <c r="P33" i="2"/>
  <c r="D34" i="2"/>
  <c r="E34" i="2"/>
  <c r="K34" i="2"/>
  <c r="L34" i="2"/>
  <c r="O34" i="2"/>
  <c r="P34" i="2"/>
  <c r="B35" i="2"/>
  <c r="B36" i="2" s="1"/>
  <c r="C35" i="2"/>
  <c r="C36" i="2" s="1"/>
  <c r="D35" i="2"/>
  <c r="E35" i="2"/>
  <c r="I35" i="2"/>
  <c r="K35" i="2" s="1"/>
  <c r="K36" i="2" s="1"/>
  <c r="J35" i="2"/>
  <c r="N35" i="2"/>
  <c r="N36" i="2" s="1"/>
  <c r="I36" i="2"/>
  <c r="P36" i="2" s="1"/>
  <c r="J36" i="2"/>
  <c r="L36" i="2"/>
  <c r="D38" i="2"/>
  <c r="E38" i="2"/>
  <c r="K38" i="2"/>
  <c r="L38" i="2"/>
  <c r="O38" i="2"/>
  <c r="P38" i="2"/>
  <c r="D39" i="2"/>
  <c r="E39" i="2"/>
  <c r="K39" i="2"/>
  <c r="L39" i="2"/>
  <c r="O39" i="2"/>
  <c r="P39" i="2"/>
  <c r="B40" i="2"/>
  <c r="B41" i="2" s="1"/>
  <c r="B52" i="2" s="1"/>
  <c r="C40" i="2"/>
  <c r="C41" i="2" s="1"/>
  <c r="D40" i="2"/>
  <c r="E40" i="2"/>
  <c r="I40" i="2"/>
  <c r="J40" i="2"/>
  <c r="J41" i="2" s="1"/>
  <c r="N40" i="2"/>
  <c r="N41" i="2"/>
  <c r="D43" i="2"/>
  <c r="E43" i="2"/>
  <c r="K43" i="2"/>
  <c r="L43" i="2"/>
  <c r="O43" i="2"/>
  <c r="P43" i="2"/>
  <c r="D45" i="2"/>
  <c r="E45" i="2"/>
  <c r="K45" i="2"/>
  <c r="L45" i="2"/>
  <c r="O45" i="2"/>
  <c r="P45" i="2"/>
  <c r="D47" i="2"/>
  <c r="E47" i="2"/>
  <c r="K47" i="2"/>
  <c r="L47" i="2"/>
  <c r="O47" i="2"/>
  <c r="P47" i="2"/>
  <c r="D48" i="2"/>
  <c r="E48" i="2"/>
  <c r="K48" i="2"/>
  <c r="L48" i="2"/>
  <c r="O48" i="2"/>
  <c r="P48" i="2"/>
  <c r="B49" i="2"/>
  <c r="B50" i="2" s="1"/>
  <c r="C49" i="2"/>
  <c r="C50" i="2" s="1"/>
  <c r="D49" i="2"/>
  <c r="E49" i="2"/>
  <c r="I49" i="2"/>
  <c r="I50" i="2" s="1"/>
  <c r="J49" i="2"/>
  <c r="J50" i="2" s="1"/>
  <c r="K49" i="2"/>
  <c r="L49" i="2"/>
  <c r="N49" i="2"/>
  <c r="N50" i="2" s="1"/>
  <c r="N52" i="2" s="1"/>
  <c r="O49" i="2"/>
  <c r="O50" i="2" s="1"/>
  <c r="P49" i="2"/>
  <c r="L50" i="2"/>
  <c r="B56" i="2"/>
  <c r="I61" i="2"/>
  <c r="I64" i="2" s="1"/>
  <c r="J61" i="2"/>
  <c r="J64" i="2" s="1"/>
  <c r="I62" i="2"/>
  <c r="J62" i="2"/>
  <c r="I63" i="2"/>
  <c r="J63" i="2"/>
  <c r="I67" i="2"/>
  <c r="J67" i="2"/>
  <c r="I68" i="2"/>
  <c r="J68" i="2"/>
  <c r="B75" i="2"/>
  <c r="C75" i="2"/>
  <c r="I75" i="2"/>
  <c r="J75" i="2"/>
  <c r="N75" i="2"/>
  <c r="B76" i="2"/>
  <c r="B81" i="2" s="1"/>
  <c r="C76" i="2"/>
  <c r="C81" i="2" s="1"/>
  <c r="C56" i="2" s="1"/>
  <c r="D56" i="2" s="1"/>
  <c r="I76" i="2"/>
  <c r="J76" i="2"/>
  <c r="N76" i="2"/>
  <c r="N81" i="2" s="1"/>
  <c r="N56" i="2" s="1"/>
  <c r="B77" i="2"/>
  <c r="C77" i="2"/>
  <c r="I77" i="2"/>
  <c r="J77" i="2"/>
  <c r="N77" i="2"/>
  <c r="B78" i="2"/>
  <c r="C78" i="2"/>
  <c r="I78" i="2"/>
  <c r="J78" i="2"/>
  <c r="N78" i="2"/>
  <c r="B79" i="2"/>
  <c r="C79" i="2"/>
  <c r="I79" i="2"/>
  <c r="J79" i="2"/>
  <c r="N79" i="2"/>
  <c r="Q2" i="4" l="1"/>
  <c r="I3" i="4"/>
  <c r="K3" i="4" s="1"/>
  <c r="H4" i="4" s="1"/>
  <c r="K4" i="4" s="1"/>
  <c r="H5" i="4" s="1"/>
  <c r="K5" i="4" s="1"/>
  <c r="H6" i="4" s="1"/>
  <c r="K6" i="4" s="1"/>
  <c r="H7" i="4" s="1"/>
  <c r="K7" i="4" s="1"/>
  <c r="H8" i="4" s="1"/>
  <c r="K8" i="4" s="1"/>
  <c r="H9" i="4" s="1"/>
  <c r="K9" i="4" s="1"/>
  <c r="H10" i="4" s="1"/>
  <c r="K10" i="4" s="1"/>
  <c r="H11" i="4" s="1"/>
  <c r="K11" i="4" s="1"/>
  <c r="H12" i="4" s="1"/>
  <c r="K12" i="4" s="1"/>
  <c r="H13" i="4" s="1"/>
  <c r="K13" i="4" s="1"/>
  <c r="H14" i="4" s="1"/>
  <c r="K14" i="4" s="1"/>
  <c r="P3" i="4" s="1"/>
  <c r="Q3" i="4" s="1"/>
  <c r="T9" i="3"/>
  <c r="J319" i="3"/>
  <c r="Z288" i="3"/>
  <c r="I319" i="3"/>
  <c r="L322" i="3"/>
  <c r="G322" i="3"/>
  <c r="J322" i="3"/>
  <c r="U210" i="3"/>
  <c r="U319" i="3" s="1"/>
  <c r="O322" i="3"/>
  <c r="Y155" i="3"/>
  <c r="S322" i="3"/>
  <c r="C322" i="3"/>
  <c r="Y288" i="3"/>
  <c r="Y319" i="3" s="1"/>
  <c r="R322" i="3"/>
  <c r="U100" i="3"/>
  <c r="T100" i="3"/>
  <c r="T322" i="3" s="1"/>
  <c r="F322" i="3"/>
  <c r="Z319" i="3"/>
  <c r="P322" i="3"/>
  <c r="Z100" i="3"/>
  <c r="Z322" i="3" s="1"/>
  <c r="I322" i="3"/>
  <c r="T319" i="3"/>
  <c r="Y253" i="3"/>
  <c r="Y100" i="3"/>
  <c r="W322" i="3"/>
  <c r="P319" i="3"/>
  <c r="Y182" i="3"/>
  <c r="Y210" i="3" s="1"/>
  <c r="M322" i="3"/>
  <c r="U7" i="3"/>
  <c r="U9" i="3" s="1"/>
  <c r="T7" i="3"/>
  <c r="J9" i="3"/>
  <c r="R9" i="3"/>
  <c r="D52" i="2"/>
  <c r="B54" i="2"/>
  <c r="N54" i="2"/>
  <c r="N58" i="2" s="1"/>
  <c r="O13" i="2"/>
  <c r="O14" i="2" s="1"/>
  <c r="D36" i="2"/>
  <c r="E36" i="2"/>
  <c r="O31" i="2"/>
  <c r="K50" i="2"/>
  <c r="L40" i="2"/>
  <c r="J52" i="2"/>
  <c r="K40" i="2"/>
  <c r="K41" i="2" s="1"/>
  <c r="D25" i="2"/>
  <c r="E25" i="2"/>
  <c r="J54" i="2"/>
  <c r="J58" i="2" s="1"/>
  <c r="J71" i="2" s="1"/>
  <c r="K30" i="2"/>
  <c r="K31" i="2" s="1"/>
  <c r="L30" i="2"/>
  <c r="O30" i="2"/>
  <c r="P30" i="2"/>
  <c r="O40" i="2"/>
  <c r="O41" i="2" s="1"/>
  <c r="L35" i="2"/>
  <c r="O35" i="2"/>
  <c r="O36" i="2" s="1"/>
  <c r="P35" i="2"/>
  <c r="D41" i="2"/>
  <c r="E41" i="2"/>
  <c r="L31" i="2"/>
  <c r="P31" i="2"/>
  <c r="P50" i="2"/>
  <c r="J81" i="2"/>
  <c r="J56" i="2" s="1"/>
  <c r="C52" i="2"/>
  <c r="C54" i="2" s="1"/>
  <c r="C58" i="2" s="1"/>
  <c r="I81" i="2"/>
  <c r="I56" i="2" s="1"/>
  <c r="K56" i="2" s="1"/>
  <c r="D50" i="2"/>
  <c r="E50" i="2"/>
  <c r="L24" i="2"/>
  <c r="I41" i="2"/>
  <c r="I25" i="2"/>
  <c r="I14" i="2"/>
  <c r="P40" i="2"/>
  <c r="P24" i="2"/>
  <c r="P13" i="2"/>
  <c r="Y322" i="3" l="1"/>
  <c r="U322" i="3"/>
  <c r="P41" i="2"/>
  <c r="L41" i="2"/>
  <c r="I52" i="2"/>
  <c r="P14" i="2"/>
  <c r="I54" i="2"/>
  <c r="L14" i="2"/>
  <c r="D54" i="2"/>
  <c r="E54" i="2"/>
  <c r="B58" i="2"/>
  <c r="P25" i="2"/>
  <c r="L25" i="2"/>
  <c r="E52" i="2"/>
  <c r="K52" i="2" l="1"/>
  <c r="L52" i="2"/>
  <c r="O52" i="2"/>
  <c r="P52" i="2"/>
  <c r="K54" i="2"/>
  <c r="K58" i="2" s="1"/>
  <c r="L54" i="2"/>
  <c r="I58" i="2"/>
  <c r="I71" i="2" s="1"/>
  <c r="P54" i="2"/>
  <c r="O54" i="2"/>
  <c r="B77" i="1" l="1"/>
  <c r="J77" i="1"/>
  <c r="I77" i="1"/>
  <c r="C77" i="1"/>
  <c r="J49" i="1" l="1"/>
  <c r="I49" i="1"/>
  <c r="C49" i="1"/>
  <c r="B49" i="1"/>
  <c r="J40" i="1"/>
  <c r="I40" i="1"/>
  <c r="C40" i="1"/>
  <c r="B40" i="1"/>
  <c r="J35" i="1"/>
  <c r="I35" i="1"/>
  <c r="C35" i="1"/>
  <c r="B35" i="1"/>
  <c r="J30" i="1"/>
  <c r="I30" i="1"/>
  <c r="C30" i="1"/>
  <c r="B30" i="1"/>
  <c r="J24" i="1"/>
  <c r="I24" i="1"/>
  <c r="C24" i="1"/>
  <c r="B24" i="1"/>
  <c r="J13" i="1"/>
  <c r="I13" i="1"/>
  <c r="C13" i="1"/>
  <c r="B13" i="1"/>
  <c r="D11" i="1"/>
  <c r="N77" i="1" l="1"/>
  <c r="D34" i="1"/>
  <c r="K34" i="1"/>
  <c r="L34" i="1"/>
  <c r="E34" i="1"/>
  <c r="L8" i="1"/>
  <c r="L6" i="1"/>
  <c r="E8" i="1"/>
  <c r="E6" i="1"/>
  <c r="N49" i="1"/>
  <c r="D48" i="1"/>
  <c r="E48" i="1"/>
  <c r="N40" i="1"/>
  <c r="O34" i="1"/>
  <c r="N35" i="1"/>
  <c r="N30" i="1"/>
  <c r="K27" i="1"/>
  <c r="N24" i="1"/>
  <c r="N13" i="1"/>
  <c r="P34" i="1" l="1"/>
  <c r="E9" i="1"/>
  <c r="E10" i="1"/>
  <c r="E11" i="1" l="1"/>
  <c r="E12" i="1"/>
  <c r="K30" i="1" l="1"/>
  <c r="D47" i="1"/>
  <c r="C31" i="1" l="1"/>
  <c r="N79" i="1"/>
  <c r="N78" i="1"/>
  <c r="N76" i="1"/>
  <c r="N75" i="1"/>
  <c r="J76" i="1"/>
  <c r="J79" i="1"/>
  <c r="I79" i="1"/>
  <c r="J78" i="1"/>
  <c r="I78" i="1"/>
  <c r="I76" i="1"/>
  <c r="J75" i="1"/>
  <c r="I75" i="1"/>
  <c r="C78" i="1"/>
  <c r="B78" i="1"/>
  <c r="C79" i="1"/>
  <c r="B79" i="1"/>
  <c r="C75" i="1"/>
  <c r="B75" i="1"/>
  <c r="C76" i="1"/>
  <c r="B76" i="1"/>
  <c r="N81" i="1" l="1"/>
  <c r="N56" i="1" s="1"/>
  <c r="C81" i="1"/>
  <c r="C56" i="1" s="1"/>
  <c r="J81" i="1"/>
  <c r="J56" i="1" s="1"/>
  <c r="I81" i="1"/>
  <c r="I56" i="1" s="1"/>
  <c r="B81" i="1"/>
  <c r="B56" i="1" s="1"/>
  <c r="N20" i="1" l="1"/>
  <c r="D13" i="1" l="1"/>
  <c r="D28" i="1"/>
  <c r="E28" i="1"/>
  <c r="J25" i="1"/>
  <c r="I25" i="1"/>
  <c r="D7" i="1"/>
  <c r="D56" i="1"/>
  <c r="E49" i="1"/>
  <c r="E39" i="1"/>
  <c r="E40" i="1"/>
  <c r="E29" i="1"/>
  <c r="B14" i="1"/>
  <c r="D43" i="1"/>
  <c r="E23" i="1"/>
  <c r="D23" i="1"/>
  <c r="C14" i="1"/>
  <c r="N50" i="1" l="1"/>
  <c r="J50" i="1" l="1"/>
  <c r="I50" i="1"/>
  <c r="C50" i="1"/>
  <c r="K56" i="1"/>
  <c r="P48" i="1"/>
  <c r="O48" i="1"/>
  <c r="K48" i="1"/>
  <c r="L48" i="1"/>
  <c r="N41" i="1"/>
  <c r="N36" i="1"/>
  <c r="N31" i="1"/>
  <c r="N25" i="1"/>
  <c r="N14" i="1"/>
  <c r="N52" i="1" l="1"/>
  <c r="N54" i="1" s="1"/>
  <c r="B50" i="1"/>
  <c r="N58" i="1" l="1"/>
  <c r="D8" i="1"/>
  <c r="I63" i="1"/>
  <c r="J67" i="1"/>
  <c r="J68" i="1" s="1"/>
  <c r="J63" i="1"/>
  <c r="J62" i="1"/>
  <c r="J61" i="1"/>
  <c r="J64" i="1" l="1"/>
  <c r="L29" i="1" l="1"/>
  <c r="I67" i="1" l="1"/>
  <c r="I68" i="1" s="1"/>
  <c r="P8" i="1"/>
  <c r="O8" i="1"/>
  <c r="K8" i="1"/>
  <c r="J14" i="1" l="1"/>
  <c r="J16" i="1"/>
  <c r="J20" i="1"/>
  <c r="J31" i="1"/>
  <c r="J36" i="1"/>
  <c r="J41" i="1"/>
  <c r="J52" i="1" l="1"/>
  <c r="K49" i="1"/>
  <c r="K40" i="1"/>
  <c r="K39" i="1"/>
  <c r="K19" i="1"/>
  <c r="J54" i="1" l="1"/>
  <c r="K13" i="1"/>
  <c r="J58" i="1" l="1"/>
  <c r="K47" i="1"/>
  <c r="K50" i="1" s="1"/>
  <c r="K45" i="1"/>
  <c r="K43" i="1"/>
  <c r="L39" i="1"/>
  <c r="K38" i="1"/>
  <c r="K41" i="1" s="1"/>
  <c r="K35" i="1"/>
  <c r="K33" i="1"/>
  <c r="K29" i="1"/>
  <c r="K28" i="1"/>
  <c r="K24" i="1"/>
  <c r="K22" i="1"/>
  <c r="K18" i="1"/>
  <c r="K20" i="1" s="1"/>
  <c r="K12" i="1"/>
  <c r="K10" i="1"/>
  <c r="K9" i="1"/>
  <c r="K7" i="1"/>
  <c r="K11" i="1" l="1"/>
  <c r="I62" i="1"/>
  <c r="K6" i="1"/>
  <c r="I61" i="1"/>
  <c r="K31" i="1"/>
  <c r="L23" i="1"/>
  <c r="K23" i="1"/>
  <c r="K25" i="1" s="1"/>
  <c r="K36" i="1"/>
  <c r="D49" i="1"/>
  <c r="E47" i="1"/>
  <c r="E45" i="1"/>
  <c r="D45" i="1"/>
  <c r="E43" i="1"/>
  <c r="I41" i="1"/>
  <c r="C41" i="1"/>
  <c r="B41" i="1"/>
  <c r="D39" i="1"/>
  <c r="E38" i="1"/>
  <c r="D38" i="1"/>
  <c r="C36" i="1"/>
  <c r="B36" i="1"/>
  <c r="I36" i="1"/>
  <c r="E35" i="1"/>
  <c r="D35" i="1"/>
  <c r="E33" i="1"/>
  <c r="D33" i="1"/>
  <c r="B31" i="1"/>
  <c r="I31" i="1"/>
  <c r="E30" i="1"/>
  <c r="D30" i="1"/>
  <c r="D29" i="1"/>
  <c r="E27" i="1"/>
  <c r="D27" i="1"/>
  <c r="D24" i="1"/>
  <c r="C25" i="1"/>
  <c r="B25" i="1"/>
  <c r="E22" i="1"/>
  <c r="D22" i="1"/>
  <c r="I20" i="1"/>
  <c r="C20" i="1"/>
  <c r="B20" i="1"/>
  <c r="E19" i="1"/>
  <c r="D19" i="1"/>
  <c r="E18" i="1"/>
  <c r="D18" i="1"/>
  <c r="I16" i="1"/>
  <c r="B16" i="1"/>
  <c r="I14" i="1"/>
  <c r="D12" i="1"/>
  <c r="D10" i="1"/>
  <c r="D9" i="1"/>
  <c r="D6" i="1"/>
  <c r="I52" i="1" l="1"/>
  <c r="C52" i="1"/>
  <c r="C54" i="1" s="1"/>
  <c r="B52" i="1"/>
  <c r="I64" i="1"/>
  <c r="K14" i="1"/>
  <c r="E31" i="1"/>
  <c r="E36" i="1"/>
  <c r="E20" i="1"/>
  <c r="E25" i="1"/>
  <c r="D25" i="1"/>
  <c r="E14" i="1"/>
  <c r="D50" i="1"/>
  <c r="E50" i="1"/>
  <c r="E41" i="1"/>
  <c r="D41" i="1"/>
  <c r="D40" i="1"/>
  <c r="E13" i="1"/>
  <c r="D31" i="1"/>
  <c r="D36" i="1"/>
  <c r="D20" i="1"/>
  <c r="E24" i="1"/>
  <c r="D14" i="1"/>
  <c r="L47" i="1"/>
  <c r="L45" i="1"/>
  <c r="L43" i="1"/>
  <c r="L38" i="1"/>
  <c r="L33" i="1"/>
  <c r="L28" i="1"/>
  <c r="L27" i="1"/>
  <c r="L22" i="1"/>
  <c r="L20" i="1"/>
  <c r="L19" i="1"/>
  <c r="L18" i="1"/>
  <c r="L12" i="1"/>
  <c r="L11" i="1"/>
  <c r="L10" i="1"/>
  <c r="L9" i="1"/>
  <c r="L7" i="1"/>
  <c r="C58" i="1" l="1"/>
  <c r="I54" i="1"/>
  <c r="I58" i="1" s="1"/>
  <c r="B54" i="1"/>
  <c r="E52" i="1"/>
  <c r="D52" i="1"/>
  <c r="L13" i="1"/>
  <c r="L50" i="1"/>
  <c r="L36" i="1"/>
  <c r="L31" i="1"/>
  <c r="L41" i="1"/>
  <c r="L24" i="1"/>
  <c r="L30" i="1"/>
  <c r="L35" i="1"/>
  <c r="L40" i="1"/>
  <c r="L49" i="1"/>
  <c r="B58" i="1" l="1"/>
  <c r="E54" i="1"/>
  <c r="D54" i="1"/>
  <c r="L54" i="1"/>
  <c r="K54" i="1"/>
  <c r="K52" i="1"/>
  <c r="L25" i="1"/>
  <c r="L14" i="1"/>
  <c r="K58" i="1" l="1"/>
  <c r="I71" i="1"/>
  <c r="J71" i="1"/>
  <c r="L52" i="1"/>
  <c r="P39" i="1"/>
  <c r="P38" i="1"/>
  <c r="P23" i="1"/>
  <c r="P22" i="1"/>
  <c r="O52" i="1" l="1"/>
  <c r="P47" i="1"/>
  <c r="P45" i="1"/>
  <c r="P43" i="1"/>
  <c r="P33" i="1"/>
  <c r="P29" i="1"/>
  <c r="P28" i="1"/>
  <c r="P27" i="1"/>
  <c r="P19" i="1"/>
  <c r="P18" i="1"/>
  <c r="P11" i="1"/>
  <c r="P10" i="1"/>
  <c r="P9" i="1"/>
  <c r="P7" i="1"/>
  <c r="P6" i="1"/>
  <c r="O45" i="1"/>
  <c r="O43" i="1"/>
  <c r="O47" i="1"/>
  <c r="O39" i="1"/>
  <c r="O38" i="1"/>
  <c r="O33" i="1"/>
  <c r="O29" i="1"/>
  <c r="O28" i="1"/>
  <c r="O27" i="1"/>
  <c r="O23" i="1"/>
  <c r="O22" i="1"/>
  <c r="O19" i="1"/>
  <c r="O18" i="1"/>
  <c r="O11" i="1"/>
  <c r="O10" i="1"/>
  <c r="O9" i="1"/>
  <c r="O7" i="1"/>
  <c r="O6" i="1"/>
  <c r="O54" i="1" l="1"/>
  <c r="P54" i="1"/>
  <c r="O20" i="1"/>
  <c r="O13" i="1" l="1"/>
  <c r="P13" i="1"/>
  <c r="P50" i="1"/>
  <c r="P49" i="1"/>
  <c r="O49" i="1"/>
  <c r="O50" i="1" s="1"/>
  <c r="P40" i="1"/>
  <c r="O40" i="1"/>
  <c r="O41" i="1" s="1"/>
  <c r="P30" i="1"/>
  <c r="O30" i="1"/>
  <c r="O31" i="1" s="1"/>
  <c r="O24" i="1"/>
  <c r="O25" i="1" s="1"/>
  <c r="P24" i="1"/>
  <c r="P12" i="1"/>
  <c r="O12" i="1"/>
  <c r="O35" i="1"/>
  <c r="O36" i="1" s="1"/>
  <c r="P35" i="1"/>
  <c r="P31" i="1"/>
  <c r="P25" i="1"/>
  <c r="P20" i="1"/>
  <c r="P14" i="1"/>
  <c r="O14" i="1" l="1"/>
  <c r="P41" i="1"/>
  <c r="P36" i="1"/>
  <c r="P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W15" authorId="0" shapeId="0" xr:uid="{4372FF81-C986-4F6D-852A-FE1E1FB83C4C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Upped per WS decision</t>
        </r>
      </text>
    </comment>
    <comment ref="W78" authorId="0" shapeId="0" xr:uid="{8FC5F6F2-5229-4A4D-8484-92FD3CCEE74D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Z146" authorId="0" shapeId="0" xr:uid="{4B08EC91-81B2-4D7D-AB2D-BFD59520F046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5G</t>
        </r>
      </text>
    </comment>
    <comment ref="W213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  <comment ref="W230" authorId="0" shapeId="0" xr:uid="{616935AD-B44D-4ED0-8280-70111148A055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W231" authorId="0" shapeId="0" xr:uid="{C05EEF22-62AC-42E0-8BE3-8D158C777FF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W232" authorId="0" shapeId="0" xr:uid="{26289FD0-CA38-4839-BCBE-D5D92B014B7B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W233" authorId="0" shapeId="0" xr:uid="{E85AF46B-8FEB-440A-B28A-B833A3BEE31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</commentList>
</comments>
</file>

<file path=xl/sharedStrings.xml><?xml version="1.0" encoding="utf-8"?>
<sst xmlns="http://schemas.openxmlformats.org/spreadsheetml/2006/main" count="847" uniqueCount="508">
  <si>
    <t>Budget</t>
  </si>
  <si>
    <t>$OverBud</t>
  </si>
  <si>
    <t>Transfer Tax</t>
  </si>
  <si>
    <t>Accommodation Tax</t>
  </si>
  <si>
    <t>Business Licenses</t>
  </si>
  <si>
    <t>Total Fines</t>
  </si>
  <si>
    <t>All Other Revenue</t>
  </si>
  <si>
    <t>Expenses</t>
  </si>
  <si>
    <t>Total Expense</t>
  </si>
  <si>
    <t xml:space="preserve"> </t>
  </si>
  <si>
    <t>% of Budget</t>
  </si>
  <si>
    <t>Building Permits</t>
  </si>
  <si>
    <t>Annual Budget</t>
  </si>
  <si>
    <t>Monthly</t>
  </si>
  <si>
    <t xml:space="preserve">Town Administrative Expenses </t>
  </si>
  <si>
    <t>Town Operating Expenses</t>
  </si>
  <si>
    <t>All Other Admin Expense</t>
  </si>
  <si>
    <t>Total Town Expenses</t>
  </si>
  <si>
    <t>Total Administration Expenses</t>
  </si>
  <si>
    <t>Total Police Expenses</t>
  </si>
  <si>
    <t>All Other Police Expenses</t>
  </si>
  <si>
    <t>All Other Maintenance Expenses</t>
  </si>
  <si>
    <t>Total Maintenance Expenses</t>
  </si>
  <si>
    <t>Total Code Enforcement Expenses</t>
  </si>
  <si>
    <t>Total Alderman Court Expenses</t>
  </si>
  <si>
    <t>All Other Lifeguard &amp; LSS Expense</t>
  </si>
  <si>
    <t>Total Lifeguard &amp; LSS Expenses</t>
  </si>
  <si>
    <t>Parking Permits &amp; Meters</t>
  </si>
  <si>
    <t>% of Annual Budget</t>
  </si>
  <si>
    <t>Admin Employee Expenses</t>
  </si>
  <si>
    <t>Seasonal Admin Employee Expenses</t>
  </si>
  <si>
    <t>Police Employee Expenses</t>
  </si>
  <si>
    <t>Police Admin Employee Expenses</t>
  </si>
  <si>
    <t>Seasonal Police Employee Expenses</t>
  </si>
  <si>
    <t>Maintenance Employee Expenses</t>
  </si>
  <si>
    <t>Lifeguard Employee Expenses</t>
  </si>
  <si>
    <t>Set Asides:</t>
  </si>
  <si>
    <t>UNAUDITED</t>
  </si>
  <si>
    <t>Revenue</t>
  </si>
  <si>
    <t>Total Revenue</t>
  </si>
  <si>
    <t>Net Operations</t>
  </si>
  <si>
    <t>Hotel Tax</t>
  </si>
  <si>
    <t>Hotel Tax (50%)</t>
  </si>
  <si>
    <t>Transfer to Streets / Infrastructure</t>
  </si>
  <si>
    <t>3% Transfer Tax</t>
  </si>
  <si>
    <t>Total to Streets / Infrastructure</t>
  </si>
  <si>
    <t>Capital Improvements</t>
  </si>
  <si>
    <t>Total for Captial Improvements</t>
  </si>
  <si>
    <t>20% Building Permits</t>
  </si>
  <si>
    <t>5% Daily &amp; Seasonal Permits</t>
  </si>
  <si>
    <t>Total BuildingOfficial Expenses</t>
  </si>
  <si>
    <t>Seasonal Lifeguard Employee Expenses</t>
  </si>
  <si>
    <t>Parking Enforcement Employee Expenses</t>
  </si>
  <si>
    <t>Seasonal Parking Employee Expenses</t>
  </si>
  <si>
    <t>All Other Parking Enforcement Expenses</t>
  </si>
  <si>
    <t>% of  YTD Budget</t>
  </si>
  <si>
    <t>Income Before Set Asides</t>
  </si>
  <si>
    <t>Allocations to Set Asides</t>
  </si>
  <si>
    <t>Net Operating Budget Performance</t>
  </si>
  <si>
    <t>Building Permints - to Streets &amp; Infrastructure</t>
  </si>
  <si>
    <t>Hotel Tax - to Capital Improvements - Town Hall</t>
  </si>
  <si>
    <t>Daily &amp; Seasonal Parking - to Streets &amp; Infrastructure</t>
  </si>
  <si>
    <t>Tranfer Tax - to Streets &amp; Infrastructure</t>
  </si>
  <si>
    <t>Tranfer Tax - to Rainy Day</t>
  </si>
  <si>
    <t>Annual FY25</t>
  </si>
  <si>
    <t>Seasonal Maintenance Employee Expenses</t>
  </si>
  <si>
    <t>General Fund Financial Overview: September 2024 - OPERATING</t>
  </si>
  <si>
    <t>Actual April - September 2024</t>
  </si>
  <si>
    <t>Budgeted April - September 2024</t>
  </si>
  <si>
    <t>General Fund Financial Overview: September 2024 - ALL DATA</t>
  </si>
  <si>
    <t>NET INCOME (LOSS)</t>
  </si>
  <si>
    <t>Group Total [7200] Expenditures</t>
  </si>
  <si>
    <t>All Funds Presented</t>
  </si>
  <si>
    <t>Subtotal - Beach Safety</t>
  </si>
  <si>
    <t/>
  </si>
  <si>
    <t>Equipment / Asset - Depreciable</t>
  </si>
  <si>
    <t>Equip / Asset Purchase</t>
  </si>
  <si>
    <t>Equipment Maintenance</t>
  </si>
  <si>
    <t>6081900</t>
  </si>
  <si>
    <t>Donation Purchases</t>
  </si>
  <si>
    <t>6081800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</si>
  <si>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</si>
  <si>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</si>
  <si>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</si>
  <si>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</si>
  <si>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</si>
  <si>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</si>
  <si>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</si>
  <si>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</si>
  <si>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</si>
  <si>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</si>
  <si>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</si>
  <si>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</si>
  <si>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</si>
  <si>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</si>
  <si>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</si>
  <si>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</si>
  <si>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Landhold Lease - LSS</t>
  </si>
  <si>
    <t>6080550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</si>
  <si>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</si>
  <si>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</si>
  <si>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</si>
  <si>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</si>
  <si>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</si>
  <si>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</si>
  <si>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</si>
  <si>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</si>
  <si>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Local Taxes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</si>
  <si>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</si>
  <si>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</si>
  <si>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</si>
  <si>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</si>
  <si>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</si>
  <si>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</si>
  <si>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</si>
  <si>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</si>
  <si>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</si>
  <si>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</si>
  <si>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</si>
  <si>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</si>
  <si>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</si>
  <si>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</si>
  <si>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</si>
  <si>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</si>
  <si>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</si>
  <si>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</si>
  <si>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</si>
  <si>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</si>
  <si>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</si>
  <si>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</si>
  <si>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</si>
  <si>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</si>
  <si>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</si>
  <si>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</si>
  <si>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</si>
  <si>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</si>
  <si>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</si>
  <si>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</si>
  <si>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</si>
  <si>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</si>
  <si>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</si>
  <si>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</si>
  <si>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Street Projects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</si>
  <si>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</si>
  <si>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</si>
  <si>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</si>
  <si>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</si>
  <si>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</si>
  <si>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</si>
  <si>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</si>
  <si>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</si>
  <si>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</si>
  <si>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</si>
  <si>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</si>
  <si>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</si>
  <si>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</si>
  <si>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</si>
  <si>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</si>
  <si>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6032000</t>
  </si>
  <si>
    <t>Drug Testing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</si>
  <si>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</si>
  <si>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</si>
  <si>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</si>
  <si>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</si>
  <si>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</si>
  <si>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</si>
  <si>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</si>
  <si>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</si>
  <si>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</si>
  <si>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</si>
  <si>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</si>
  <si>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</si>
  <si>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</si>
  <si>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</si>
  <si>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</si>
  <si>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Mileage Reimbursement</t>
  </si>
  <si>
    <t>6030600</t>
  </si>
  <si>
    <t>6030530</t>
  </si>
  <si>
    <t>Pest Control</t>
  </si>
  <si>
    <t>6030520</t>
  </si>
  <si>
    <t>6030510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</si>
  <si>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</si>
  <si>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</si>
  <si>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</si>
  <si>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</si>
  <si>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</si>
  <si>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</si>
  <si>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</si>
  <si>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</si>
  <si>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</si>
  <si>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</si>
  <si>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</si>
  <si>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</si>
  <si>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</si>
  <si>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</si>
  <si>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</si>
  <si>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</si>
  <si>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</si>
  <si>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</si>
  <si>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</si>
  <si>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</si>
  <si>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</si>
  <si>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</si>
  <si>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</si>
  <si>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</si>
  <si>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</si>
  <si>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</si>
  <si>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</si>
  <si>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</si>
  <si>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</si>
  <si>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</si>
  <si>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Public Safety</t>
  </si>
  <si>
    <t>Subgroup : [7200.02]</t>
  </si>
  <si>
    <t>Subtotal - General &amp; Administrative</t>
  </si>
  <si>
    <t>6071700</t>
  </si>
  <si>
    <t>6071500</t>
  </si>
  <si>
    <t>6070160</t>
  </si>
  <si>
    <t>6070150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</si>
  <si>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</si>
  <si>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</si>
  <si>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</si>
  <si>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</si>
  <si>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</si>
  <si>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</si>
  <si>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</si>
  <si>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</si>
  <si>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</si>
  <si>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</si>
  <si>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</si>
  <si>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</si>
  <si>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</si>
  <si>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</si>
  <si>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</si>
  <si>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</si>
  <si>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</si>
  <si>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</si>
  <si>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</si>
  <si>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</si>
  <si>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</si>
  <si>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6051300</t>
  </si>
  <si>
    <t>6051100</t>
  </si>
  <si>
    <t>6050610</t>
  </si>
  <si>
    <t>6050600</t>
  </si>
  <si>
    <t>6050530</t>
  </si>
  <si>
    <t>6050520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</si>
  <si>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</si>
  <si>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</si>
  <si>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</si>
  <si>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</si>
  <si>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</si>
  <si>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</si>
  <si>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</si>
  <si>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</si>
  <si>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6050140</t>
  </si>
  <si>
    <t>6050130</t>
  </si>
  <si>
    <t>6050110</t>
  </si>
  <si>
    <t>6050100</t>
  </si>
  <si>
    <t>6021700</t>
  </si>
  <si>
    <t>6021600</t>
  </si>
  <si>
    <t>6021500</t>
  </si>
  <si>
    <t>6021400</t>
  </si>
  <si>
    <t>6021300</t>
  </si>
  <si>
    <t>6021200</t>
  </si>
  <si>
    <t>6021100</t>
  </si>
  <si>
    <t>Postage</t>
  </si>
  <si>
    <t>6021000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</si>
  <si>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</si>
  <si>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</si>
  <si>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</si>
  <si>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</si>
  <si>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</si>
  <si>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</si>
  <si>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</si>
  <si>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</si>
  <si>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</si>
  <si>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</si>
  <si>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</si>
  <si>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</si>
  <si>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</si>
  <si>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</si>
  <si>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COVID-19 Expenses</t>
  </si>
  <si>
    <t>6012150</t>
  </si>
  <si>
    <t>Beautification</t>
  </si>
  <si>
    <t>6012100</t>
  </si>
  <si>
    <t>Compensated Absence Exp.</t>
  </si>
  <si>
    <t>6011500</t>
  </si>
  <si>
    <t>Extraordinary DBE Expense</t>
  </si>
  <si>
    <t>6011400</t>
  </si>
  <si>
    <t>Legal Ads</t>
  </si>
  <si>
    <t>6011300</t>
  </si>
  <si>
    <t>Dues / Publications</t>
  </si>
  <si>
    <t>6011200</t>
  </si>
  <si>
    <t>Payroll Expenses</t>
  </si>
  <si>
    <t>6011150</t>
  </si>
  <si>
    <t>Employee Bonuses</t>
  </si>
  <si>
    <t>6011100</t>
  </si>
  <si>
    <t>6011000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</si>
  <si>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</si>
  <si>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</si>
  <si>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</si>
  <si>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</si>
  <si>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</si>
  <si>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</si>
  <si>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</si>
  <si>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</si>
  <si>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</si>
  <si>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</si>
  <si>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 - Lawsuit</t>
  </si>
  <si>
    <t>6010550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</si>
  <si>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</si>
  <si>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</si>
  <si>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</si>
  <si>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</si>
  <si>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</si>
  <si>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</si>
  <si>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</si>
  <si>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</si>
  <si>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</si>
  <si>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</si>
  <si>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</si>
  <si>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</si>
  <si>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</si>
  <si>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</si>
  <si>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</si>
  <si>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</si>
  <si>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</si>
  <si>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</si>
  <si>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</si>
  <si>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</si>
  <si>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</si>
  <si>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</si>
  <si>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</si>
  <si>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</si>
  <si>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</si>
  <si>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</si>
  <si>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Monthly Toward 300k</t>
  </si>
  <si>
    <t>4080100</t>
  </si>
  <si>
    <t>Town Hall Other</t>
  </si>
  <si>
    <t>4041000</t>
  </si>
  <si>
    <t>COVID-19 Revenue</t>
  </si>
  <si>
    <t>4040950</t>
  </si>
  <si>
    <t>4040900</t>
  </si>
  <si>
    <t>Gain / Loss Sale of Equipment</t>
  </si>
  <si>
    <t>4040200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</si>
  <si>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</si>
  <si>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</si>
  <si>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</si>
  <si>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</si>
  <si>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</si>
  <si>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</si>
  <si>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</si>
  <si>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</si>
  <si>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</si>
  <si>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</si>
  <si>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</si>
  <si>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</si>
  <si>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</si>
  <si>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</si>
  <si>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</si>
  <si>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</si>
  <si>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</si>
  <si>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</si>
  <si>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</si>
  <si>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</si>
  <si>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</si>
  <si>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</si>
  <si>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</si>
  <si>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</si>
  <si>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</si>
  <si>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</si>
  <si>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</si>
  <si>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</si>
  <si>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Police Extra Duty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</si>
  <si>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</si>
  <si>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</si>
  <si>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</si>
  <si>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</si>
  <si>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</si>
  <si>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</si>
  <si>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</si>
  <si>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</si>
  <si>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</si>
  <si>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</si>
  <si>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</si>
  <si>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</si>
  <si>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</si>
  <si>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ARPA revenue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</si>
  <si>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</si>
  <si>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</si>
  <si>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</si>
  <si>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</si>
  <si>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</si>
  <si>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</si>
  <si>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</si>
  <si>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</si>
  <si>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</si>
  <si>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</si>
  <si>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</si>
  <si>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</si>
  <si>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</si>
  <si>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</si>
  <si>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</si>
  <si>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</si>
  <si>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</si>
  <si>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Capias / Contempt Charges</t>
  </si>
  <si>
    <t>4020500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</si>
  <si>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</si>
  <si>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</si>
  <si>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</si>
  <si>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</si>
  <si>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</si>
  <si>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</si>
  <si>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</si>
  <si>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</si>
  <si>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</si>
  <si>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</si>
  <si>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</si>
  <si>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</si>
  <si>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</si>
  <si>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</si>
  <si>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</si>
  <si>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</si>
  <si>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</si>
  <si>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</si>
  <si>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</si>
  <si>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Parking Meters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</si>
  <si>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</si>
  <si>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</si>
  <si>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</si>
  <si>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</si>
  <si>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</si>
  <si>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</si>
  <si>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</si>
  <si>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</si>
  <si>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</si>
  <si>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</si>
  <si>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</si>
  <si>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</si>
  <si>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</si>
  <si>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</si>
  <si>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</si>
  <si>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</si>
  <si>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</si>
  <si>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</si>
  <si>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</si>
  <si>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</si>
  <si>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4000250</t>
  </si>
  <si>
    <t>Accommodations Tax</t>
  </si>
  <si>
    <t>4000200</t>
  </si>
  <si>
    <t>4000100</t>
  </si>
  <si>
    <t>Taxes and Assessments</t>
  </si>
  <si>
    <t>Subgroup : [7100.01]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</si>
  <si>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</si>
  <si>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</si>
  <si>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</si>
  <si>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</si>
  <si>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</si>
  <si>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</si>
  <si>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</si>
  <si>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</si>
  <si>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</si>
  <si>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Set Asides &amp; Grants Budget</t>
  </si>
  <si>
    <t>Operating Budget</t>
  </si>
  <si>
    <t>FY2025 Budget</t>
  </si>
  <si>
    <t>Year To Date Budget</t>
  </si>
  <si>
    <t>Year To Date Actual</t>
  </si>
  <si>
    <t>September Budget</t>
  </si>
  <si>
    <t>September 2024</t>
  </si>
  <si>
    <t>August Budget</t>
  </si>
  <si>
    <t>August 2024</t>
  </si>
  <si>
    <t>July Budget</t>
  </si>
  <si>
    <t>July 2024</t>
  </si>
  <si>
    <t>June Budget</t>
  </si>
  <si>
    <t>June 2024</t>
  </si>
  <si>
    <t>May Budget</t>
  </si>
  <si>
    <t>May 2024</t>
  </si>
  <si>
    <t>April Budget</t>
  </si>
  <si>
    <t>April 2024</t>
  </si>
  <si>
    <t>Description</t>
  </si>
  <si>
    <t>Account</t>
  </si>
  <si>
    <t>03.2025</t>
  </si>
  <si>
    <t>02.2025</t>
  </si>
  <si>
    <t>01.2025</t>
  </si>
  <si>
    <t>12.2024</t>
  </si>
  <si>
    <t>11.2024</t>
  </si>
  <si>
    <t>10.2024</t>
  </si>
  <si>
    <t>09.2024</t>
  </si>
  <si>
    <t>08.2024</t>
  </si>
  <si>
    <t>07.2024</t>
  </si>
  <si>
    <t>06.2024</t>
  </si>
  <si>
    <t>05.2024</t>
  </si>
  <si>
    <t>04.2024</t>
  </si>
  <si>
    <t>Ending Balance</t>
  </si>
  <si>
    <t>Subtractions</t>
  </si>
  <si>
    <t>Additions</t>
  </si>
  <si>
    <t>Beginning Balance</t>
  </si>
  <si>
    <t>Date</t>
  </si>
  <si>
    <t>Beach Safety Fund</t>
  </si>
  <si>
    <t>Public Safety Fund</t>
  </si>
  <si>
    <t>Streets &amp; Infrastructure</t>
  </si>
  <si>
    <t>a total of those funds that are not allocated elsewhere.</t>
  </si>
  <si>
    <t>Unassigned Fund balance will fluctuate throughout the year as this is just</t>
  </si>
  <si>
    <t>Unassigned</t>
  </si>
  <si>
    <t>Rainy Day</t>
  </si>
  <si>
    <t>Difference</t>
  </si>
  <si>
    <t>Current</t>
  </si>
  <si>
    <t>Required</t>
  </si>
  <si>
    <t>Unassigned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</si>
</sst>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4" fillId="0" borderId="0">
      <alignment horizontal="left"/>
    </xf>
    <xf numFmtId="0" fontId="14" fillId="0" borderId="0">
      <alignment horizontal="left"/>
    </xf>
    <xf numFmtId="40" fontId="15" fillId="0" borderId="0">
      <alignment horizontal="left"/>
    </xf>
    <xf numFmtId="40" fontId="15" fillId="0" borderId="0">
      <alignment horizontal="left"/>
    </xf>
    <xf numFmtId="40" fontId="15" fillId="0" borderId="0">
      <alignment horizontal="left"/>
    </xf>
    <xf numFmtId="40" fontId="15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40" fontId="18" fillId="5" borderId="0">
      <alignment horizontal="left"/>
    </xf>
    <xf numFmtId="40" fontId="18" fillId="5" borderId="0">
      <alignment horizontal="left"/>
    </xf>
    <xf numFmtId="40" fontId="21" fillId="6" borderId="0"/>
    <xf numFmtId="40" fontId="21" fillId="6" borderId="0"/>
    <xf numFmtId="40" fontId="15" fillId="0" borderId="5">
      <alignment horizontal="right"/>
    </xf>
    <xf numFmtId="40" fontId="9" fillId="0" borderId="0">
      <alignment horizontal="right"/>
    </xf>
    <xf numFmtId="0" fontId="15" fillId="7" borderId="0">
      <alignment horizontal="left"/>
    </xf>
    <xf numFmtId="0" fontId="15" fillId="7" borderId="0">
      <alignment horizontal="left"/>
    </xf>
    <xf numFmtId="0" fontId="21" fillId="6" borderId="0">
      <alignment horizontal="center" vertical="center"/>
    </xf>
    <xf numFmtId="40" fontId="21" fillId="6" borderId="0">
      <alignment horizontal="center" vertical="center"/>
    </xf>
    <xf numFmtId="40" fontId="21" fillId="6" borderId="0">
      <alignment horizontal="center" vertical="center"/>
    </xf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5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2" xfId="2" applyNumberFormat="1" applyFont="1" applyBorder="1"/>
    <xf numFmtId="9" fontId="3" fillId="0" borderId="0" xfId="1" applyFont="1" applyAlignment="1">
      <alignment horizontal="center"/>
    </xf>
    <xf numFmtId="164" fontId="4" fillId="2" borderId="2" xfId="2" applyNumberFormat="1" applyFont="1" applyFill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0" fontId="7" fillId="0" borderId="0" xfId="0" applyFont="1"/>
    <xf numFmtId="164" fontId="4" fillId="0" borderId="1" xfId="2" applyNumberFormat="1" applyFont="1" applyBorder="1"/>
    <xf numFmtId="9" fontId="4" fillId="0" borderId="0" xfId="1" applyFont="1" applyAlignment="1">
      <alignment horizontal="center"/>
    </xf>
    <xf numFmtId="164" fontId="4" fillId="3" borderId="2" xfId="2" applyNumberFormat="1" applyFont="1" applyFill="1" applyBorder="1"/>
    <xf numFmtId="164" fontId="4" fillId="0" borderId="0" xfId="2" applyNumberFormat="1" applyFont="1" applyFill="1" applyBorder="1"/>
    <xf numFmtId="9" fontId="3" fillId="0" borderId="0" xfId="1" applyFont="1"/>
    <xf numFmtId="0" fontId="8" fillId="0" borderId="0" xfId="0" applyFont="1"/>
    <xf numFmtId="164" fontId="8" fillId="0" borderId="0" xfId="2" applyNumberFormat="1" applyFont="1" applyFill="1"/>
    <xf numFmtId="0" fontId="8" fillId="0" borderId="0" xfId="0" applyFont="1" applyAlignment="1">
      <alignment wrapText="1"/>
    </xf>
    <xf numFmtId="164" fontId="8" fillId="0" borderId="0" xfId="2" applyNumberFormat="1" applyFont="1"/>
    <xf numFmtId="49" fontId="8" fillId="0" borderId="0" xfId="2" applyNumberFormat="1" applyFont="1" applyAlignment="1">
      <alignment wrapText="1"/>
    </xf>
    <xf numFmtId="164" fontId="2" fillId="0" borderId="0" xfId="2" applyNumberFormat="1" applyFont="1" applyFill="1"/>
    <xf numFmtId="164" fontId="4" fillId="0" borderId="0" xfId="2" applyNumberFormat="1" applyFont="1"/>
    <xf numFmtId="0" fontId="4" fillId="0" borderId="0" xfId="0" applyFont="1" applyAlignment="1">
      <alignment horizontal="center" wrapText="1"/>
    </xf>
    <xf numFmtId="9" fontId="3" fillId="0" borderId="0" xfId="1" applyFont="1" applyBorder="1" applyAlignment="1">
      <alignment horizontal="center"/>
    </xf>
    <xf numFmtId="3" fontId="4" fillId="0" borderId="0" xfId="0" applyNumberFormat="1" applyFont="1"/>
    <xf numFmtId="9" fontId="8" fillId="0" borderId="0" xfId="1" applyFont="1"/>
    <xf numFmtId="164" fontId="8" fillId="0" borderId="0" xfId="2" applyNumberFormat="1" applyFont="1" applyFill="1" applyAlignment="1">
      <alignment vertical="top"/>
    </xf>
    <xf numFmtId="0" fontId="8" fillId="4" borderId="0" xfId="0" applyFont="1" applyFill="1"/>
    <xf numFmtId="0" fontId="8" fillId="4" borderId="0" xfId="0" applyFont="1" applyFill="1" applyAlignment="1">
      <alignment wrapText="1"/>
    </xf>
    <xf numFmtId="164" fontId="8" fillId="4" borderId="0" xfId="2" applyNumberFormat="1" applyFont="1" applyFill="1"/>
    <xf numFmtId="164" fontId="8" fillId="4" borderId="0" xfId="0" applyNumberFormat="1" applyFont="1" applyFill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49" fontId="8" fillId="0" borderId="0" xfId="2" applyNumberFormat="1" applyFont="1" applyAlignment="1"/>
    <xf numFmtId="0" fontId="4" fillId="2" borderId="0" xfId="0" applyFont="1" applyFill="1" applyAlignment="1">
      <alignment wrapText="1"/>
    </xf>
    <xf numFmtId="43" fontId="3" fillId="0" borderId="0" xfId="0" applyNumberFormat="1" applyFont="1"/>
    <xf numFmtId="43" fontId="3" fillId="0" borderId="0" xfId="2" applyFont="1"/>
    <xf numFmtId="16" fontId="4" fillId="0" borderId="1" xfId="0" applyNumberFormat="1" applyFont="1" applyBorder="1" applyAlignment="1">
      <alignment horizontal="center" wrapText="1"/>
    </xf>
    <xf numFmtId="16" fontId="4" fillId="0" borderId="1" xfId="0" quotePrefix="1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2" applyFont="1"/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43" fontId="10" fillId="0" borderId="0" xfId="2" applyFont="1" applyProtection="1">
      <protection locked="0"/>
    </xf>
    <xf numFmtId="43" fontId="11" fillId="0" borderId="0" xfId="2" applyFont="1" applyAlignment="1" applyProtection="1">
      <alignment horizontal="right"/>
      <protection locked="0"/>
    </xf>
    <xf numFmtId="43" fontId="10" fillId="0" borderId="0" xfId="2" applyFont="1" applyAlignment="1" applyProtection="1">
      <alignment horizontal="right"/>
      <protection locked="0"/>
    </xf>
    <xf numFmtId="43" fontId="10" fillId="0" borderId="0" xfId="2" applyFont="1" applyAlignment="1">
      <alignment horizontal="right"/>
    </xf>
    <xf numFmtId="40" fontId="10" fillId="0" borderId="0" xfId="0" applyNumberFormat="1" applyFont="1"/>
    <xf numFmtId="43" fontId="12" fillId="0" borderId="3" xfId="2" applyFont="1" applyBorder="1" applyAlignment="1">
      <alignment horizontal="right"/>
    </xf>
    <xf numFmtId="43" fontId="10" fillId="4" borderId="0" xfId="2" applyFont="1" applyFill="1" applyAlignment="1">
      <alignment horizontal="right"/>
    </xf>
    <xf numFmtId="43" fontId="13" fillId="0" borderId="0" xfId="2" quotePrefix="1" applyFont="1" applyAlignment="1">
      <alignment horizontal="right"/>
    </xf>
    <xf numFmtId="0" fontId="13" fillId="0" borderId="0" xfId="4" quotePrefix="1" applyFont="1">
      <alignment horizontal="left"/>
    </xf>
    <xf numFmtId="0" fontId="13" fillId="0" borderId="0" xfId="5" applyFont="1">
      <alignment horizontal="left"/>
    </xf>
    <xf numFmtId="43" fontId="11" fillId="0" borderId="0" xfId="2" applyFont="1" applyAlignment="1">
      <alignment horizontal="right"/>
    </xf>
    <xf numFmtId="43" fontId="12" fillId="0" borderId="4" xfId="2" applyFont="1" applyBorder="1" applyAlignment="1">
      <alignment horizontal="right"/>
    </xf>
    <xf numFmtId="43" fontId="12" fillId="0" borderId="0" xfId="2" quotePrefix="1" applyFont="1" applyAlignment="1">
      <alignment horizontal="right"/>
    </xf>
    <xf numFmtId="40" fontId="12" fillId="0" borderId="0" xfId="6" quotePrefix="1" applyFont="1">
      <alignment horizontal="left"/>
    </xf>
    <xf numFmtId="40" fontId="12" fillId="0" borderId="0" xfId="7" quotePrefix="1" applyFont="1">
      <alignment horizontal="left"/>
    </xf>
    <xf numFmtId="43" fontId="12" fillId="0" borderId="5" xfId="2" applyFont="1" applyBorder="1" applyAlignment="1">
      <alignment horizontal="right"/>
    </xf>
    <xf numFmtId="40" fontId="12" fillId="0" borderId="0" xfId="8" quotePrefix="1" applyFont="1">
      <alignment horizontal="left"/>
    </xf>
    <xf numFmtId="40" fontId="12" fillId="0" borderId="0" xfId="9" quotePrefix="1" applyFont="1">
      <alignment horizontal="left"/>
    </xf>
    <xf numFmtId="43" fontId="16" fillId="0" borderId="0" xfId="2" applyFont="1" applyAlignment="1">
      <alignment horizontal="right"/>
    </xf>
    <xf numFmtId="0" fontId="16" fillId="0" borderId="0" xfId="10" applyFont="1">
      <alignment horizontal="left"/>
    </xf>
    <xf numFmtId="0" fontId="16" fillId="0" borderId="0" xfId="11" applyFont="1">
      <alignment horizontal="left"/>
    </xf>
    <xf numFmtId="43" fontId="16" fillId="0" borderId="0" xfId="2" quotePrefix="1" applyFont="1" applyAlignment="1">
      <alignment horizontal="right"/>
    </xf>
    <xf numFmtId="40" fontId="16" fillId="0" borderId="0" xfId="10" quotePrefix="1" applyNumberFormat="1" applyFont="1" applyAlignment="1">
      <alignment horizontal="right"/>
    </xf>
    <xf numFmtId="0" fontId="16" fillId="0" borderId="0" xfId="10" quotePrefix="1" applyFont="1">
      <alignment horizontal="left"/>
    </xf>
    <xf numFmtId="0" fontId="16" fillId="0" borderId="0" xfId="11" quotePrefix="1" applyFont="1">
      <alignment horizontal="left"/>
    </xf>
    <xf numFmtId="43" fontId="17" fillId="5" borderId="0" xfId="2" quotePrefix="1" applyFont="1" applyFill="1" applyAlignment="1">
      <alignment horizontal="right"/>
    </xf>
    <xf numFmtId="40" fontId="17" fillId="5" borderId="0" xfId="12" quotePrefix="1" applyFont="1">
      <alignment horizontal="left"/>
    </xf>
    <xf numFmtId="40" fontId="17" fillId="5" borderId="0" xfId="13" quotePrefix="1" applyFont="1">
      <alignment horizontal="left"/>
    </xf>
    <xf numFmtId="43" fontId="12" fillId="0" borderId="6" xfId="2" applyFont="1" applyBorder="1" applyAlignment="1">
      <alignment horizontal="right"/>
    </xf>
    <xf numFmtId="43" fontId="19" fillId="4" borderId="6" xfId="2" applyFont="1" applyFill="1" applyBorder="1" applyAlignment="1">
      <alignment horizontal="right"/>
    </xf>
    <xf numFmtId="0" fontId="12" fillId="0" borderId="0" xfId="10" quotePrefix="1" applyFont="1">
      <alignment horizontal="left"/>
    </xf>
    <xf numFmtId="0" fontId="12" fillId="0" borderId="0" xfId="11" quotePrefix="1" applyFont="1">
      <alignment horizontal="left"/>
    </xf>
    <xf numFmtId="43" fontId="12" fillId="0" borderId="0" xfId="2" applyFont="1" applyAlignment="1">
      <alignment horizontal="right"/>
    </xf>
    <xf numFmtId="43" fontId="19" fillId="4" borderId="0" xfId="2" applyFont="1" applyFill="1" applyAlignment="1">
      <alignment horizontal="right"/>
    </xf>
    <xf numFmtId="0" fontId="19" fillId="0" borderId="0" xfId="0" applyFont="1"/>
    <xf numFmtId="40" fontId="19" fillId="0" borderId="0" xfId="0" applyNumberFormat="1" applyFont="1"/>
    <xf numFmtId="43" fontId="20" fillId="6" borderId="0" xfId="2" quotePrefix="1" applyFont="1" applyFill="1" applyAlignment="1">
      <alignment horizontal="right"/>
    </xf>
    <xf numFmtId="40" fontId="20" fillId="6" borderId="0" xfId="14" quotePrefix="1" applyFont="1"/>
    <xf numFmtId="40" fontId="20" fillId="6" borderId="0" xfId="15" quotePrefix="1" applyFont="1"/>
    <xf numFmtId="0" fontId="10" fillId="4" borderId="0" xfId="0" applyFont="1" applyFill="1"/>
    <xf numFmtId="43" fontId="17" fillId="5" borderId="0" xfId="2" quotePrefix="1" applyFont="1" applyFill="1" applyAlignment="1">
      <alignment horizontal="left"/>
    </xf>
    <xf numFmtId="43" fontId="20" fillId="6" borderId="0" xfId="2" quotePrefix="1" applyFont="1" applyFill="1"/>
    <xf numFmtId="40" fontId="12" fillId="0" borderId="5" xfId="16" applyFont="1">
      <alignment horizontal="right"/>
    </xf>
    <xf numFmtId="40" fontId="11" fillId="0" borderId="0" xfId="0" applyNumberFormat="1" applyFont="1"/>
    <xf numFmtId="40" fontId="16" fillId="0" borderId="0" xfId="17" applyFont="1">
      <alignment horizontal="right"/>
    </xf>
    <xf numFmtId="9" fontId="10" fillId="4" borderId="0" xfId="1" applyFont="1" applyFill="1"/>
    <xf numFmtId="43" fontId="16" fillId="0" borderId="0" xfId="2" quotePrefix="1" applyFont="1" applyAlignment="1">
      <alignment horizontal="left"/>
    </xf>
    <xf numFmtId="0" fontId="10" fillId="0" borderId="0" xfId="0" applyFont="1" applyAlignment="1">
      <alignment horizontal="center"/>
    </xf>
    <xf numFmtId="40" fontId="10" fillId="0" borderId="0" xfId="0" applyNumberFormat="1" applyFont="1" applyAlignment="1">
      <alignment horizontal="center"/>
    </xf>
    <xf numFmtId="0" fontId="12" fillId="0" borderId="0" xfId="18" quotePrefix="1" applyFont="1" applyFill="1" applyAlignment="1">
      <alignment horizontal="center"/>
    </xf>
    <xf numFmtId="43" fontId="12" fillId="0" borderId="0" xfId="2" quotePrefix="1" applyFont="1" applyFill="1" applyAlignment="1">
      <alignment horizontal="center"/>
    </xf>
    <xf numFmtId="0" fontId="12" fillId="0" borderId="0" xfId="19" quotePrefix="1" applyFont="1" applyFill="1" applyAlignment="1">
      <alignment horizontal="center"/>
    </xf>
    <xf numFmtId="0" fontId="22" fillId="6" borderId="0" xfId="20" quotePrefix="1" applyFont="1" applyAlignment="1">
      <alignment horizontal="center" vertical="center" wrapText="1"/>
    </xf>
    <xf numFmtId="0" fontId="20" fillId="6" borderId="0" xfId="20" quotePrefix="1" applyFont="1" applyAlignment="1">
      <alignment horizontal="center" vertical="center" wrapText="1"/>
    </xf>
    <xf numFmtId="40" fontId="20" fillId="6" borderId="0" xfId="21" quotePrefix="1" applyFont="1">
      <alignment horizontal="center" vertical="center"/>
    </xf>
    <xf numFmtId="40" fontId="20" fillId="6" borderId="0" xfId="21" quotePrefix="1" applyFont="1">
      <alignment horizontal="center" vertical="center"/>
    </xf>
    <xf numFmtId="49" fontId="20" fillId="6" borderId="0" xfId="21" quotePrefix="1" applyNumberFormat="1" applyFont="1">
      <alignment horizontal="center" vertical="center"/>
    </xf>
    <xf numFmtId="43" fontId="20" fillId="6" borderId="0" xfId="2" quotePrefix="1" applyFont="1" applyFill="1" applyAlignment="1">
      <alignment horizontal="center" vertical="center"/>
    </xf>
    <xf numFmtId="40" fontId="20" fillId="6" borderId="0" xfId="22" quotePrefix="1" applyFont="1">
      <alignment horizontal="center" vertical="center"/>
    </xf>
    <xf numFmtId="43" fontId="0" fillId="0" borderId="0" xfId="23" applyFont="1" applyFill="1"/>
    <xf numFmtId="0" fontId="0" fillId="0" borderId="0" xfId="0" quotePrefix="1"/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0" xfId="23" applyFont="1" applyFill="1" applyBorder="1"/>
    <xf numFmtId="0" fontId="0" fillId="0" borderId="0" xfId="0" applyAlignment="1">
      <alignment horizontal="right"/>
    </xf>
  </cellXfs>
  <cellStyles count="24">
    <cellStyle name="AccountDetailRowBalanceCol" xfId="17" xr:uid="{A2521056-ED33-4B92-BDD7-AFB77ECFA62F}"/>
    <cellStyle name="AccountDetailRowDescCol" xfId="10" xr:uid="{5F4CB6B6-BBE3-469D-90CF-192F57370467}"/>
    <cellStyle name="AccountDetailRowNameCol" xfId="11" xr:uid="{1FA7F6EC-D747-4F25-842E-60835E0D32A1}"/>
    <cellStyle name="ColumnHeaderRowBalanceCol" xfId="20" xr:uid="{ACA72F63-A93C-41E3-A2E4-CAC5BB95D775}"/>
    <cellStyle name="ColumnHeaderRowDescCol" xfId="21" xr:uid="{B1FF896D-9906-456F-AA1D-F243512E6164}"/>
    <cellStyle name="ColumnHeaderRowNameCol" xfId="22" xr:uid="{A0F4DE88-6D26-4943-83D0-52BDC063C3BF}"/>
    <cellStyle name="Comma" xfId="2" builtinId="3"/>
    <cellStyle name="Comma 2" xfId="23" xr:uid="{B749DFFB-E2F2-4F5C-B180-C994AFCEBD9E}"/>
    <cellStyle name="FundSectionHeaderRowDescCol" xfId="18" xr:uid="{9F521206-9035-47F6-8062-1393BA5DC2B7}"/>
    <cellStyle name="FundSectionHeaderRowNameCol" xfId="19" xr:uid="{89BF657C-A582-45FD-95DD-A85260526575}"/>
    <cellStyle name="GroupSectionHeaderRowDescCol" xfId="14" xr:uid="{94200514-15E3-4AA5-BAD6-85C1B3AF5C49}"/>
    <cellStyle name="GroupSectionHeaderRowNameCol" xfId="15" xr:uid="{E51FD6AA-6893-4ECC-9466-EDBB34DCF259}"/>
    <cellStyle name="NetIncomeLossRowDescCol" xfId="4" xr:uid="{DFDB3CA4-E0D5-47B9-8956-E16EDD403483}"/>
    <cellStyle name="NetIncomeLossRowNameCol" xfId="5" xr:uid="{06B2A6C4-F6ED-4BA5-A225-AE5C05EA6537}"/>
    <cellStyle name="Normal" xfId="0" builtinId="0"/>
    <cellStyle name="Normal 2" xfId="3" xr:uid="{DD4825BE-FF99-4543-BB4C-9E2E4975D1CF}"/>
    <cellStyle name="Percent" xfId="1" builtinId="5"/>
    <cellStyle name="SubgroupSectionHeaderRowDescCol" xfId="12" xr:uid="{FF95188B-393F-424D-B4FB-331407BA0154}"/>
    <cellStyle name="SubgroupSectionHeaderRowNameCol" xfId="13" xr:uid="{A0FAAB87-AC62-4FE0-BC90-382DDA232320}"/>
    <cellStyle name="SubgroupSubtotalRowBalanceCol" xfId="16" xr:uid="{C0BBAF99-8424-4A59-9A79-32B072513139}"/>
    <cellStyle name="SubgroupSubtotalRowDescCol" xfId="8" xr:uid="{B276A359-130D-4745-B86B-7574F6C16292}"/>
    <cellStyle name="SubgroupSubtotalRowNameCol" xfId="9" xr:uid="{C56903B3-7F43-43B6-8B8B-8DC4F62DF64C}"/>
    <cellStyle name="UnclassifiedTotalRowDescCol" xfId="6" xr:uid="{1D0B9F41-FBE7-48DA-A798-DD942F08F5A1}"/>
    <cellStyle name="UnclassifiedTotalRowNameCol" xfId="7" xr:uid="{F8710397-3633-4FE2-B846-862DCB424977}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1"/>
  <sheetViews>
    <sheetView topLeftCell="A42" zoomScale="130" zoomScaleNormal="130" workbookViewId="0">
      <selection activeCell="B78" sqref="B78"/>
    </sheetView>
  </sheetViews>
  <sheetFormatPr defaultColWidth="15.7109375" defaultRowHeight="12" x14ac:dyDescent="0.2"/>
  <cols>
    <col min="1" max="1" width="4.5703125" style="2" bestFit="1" customWidth="1"/>
    <col min="2" max="2" width="13" style="2" customWidth="1"/>
    <col min="3" max="3" width="11" style="2" bestFit="1" customWidth="1"/>
    <col min="4" max="4" width="12.85546875" style="3" bestFit="1" customWidth="1"/>
    <col min="5" max="5" width="8.42578125" style="2" bestFit="1" customWidth="1"/>
    <col min="6" max="6" width="4.42578125" style="2" customWidth="1"/>
    <col min="7" max="7" width="38" style="2" bestFit="1" customWidth="1"/>
    <col min="8" max="8" width="1.7109375" style="2" customWidth="1"/>
    <col min="9" max="9" width="14.140625" style="2" customWidth="1"/>
    <col min="10" max="10" width="14.7109375" style="2" bestFit="1" customWidth="1"/>
    <col min="11" max="11" width="14.28515625" style="3" bestFit="1" customWidth="1"/>
    <col min="12" max="12" width="10.7109375" style="2" bestFit="1" customWidth="1"/>
    <col min="13" max="13" width="2.7109375" style="2" customWidth="1"/>
    <col min="14" max="14" width="14.7109375" style="2" bestFit="1" customWidth="1"/>
    <col min="15" max="15" width="14.28515625" style="3" bestFit="1" customWidth="1"/>
    <col min="16" max="16" width="13.5703125" style="2" bestFit="1" customWidth="1"/>
    <col min="17" max="16384" width="15.7109375" style="2"/>
  </cols>
  <sheetData>
    <row r="1" spans="2:18" s="4" customFormat="1" x14ac:dyDescent="0.2">
      <c r="B1" s="52" t="s">
        <v>66</v>
      </c>
      <c r="C1" s="52"/>
      <c r="D1" s="52"/>
      <c r="E1" s="52"/>
      <c r="F1" s="52"/>
      <c r="G1" s="52"/>
      <c r="H1" s="5"/>
      <c r="I1" s="51" t="s">
        <v>37</v>
      </c>
      <c r="J1" s="51"/>
      <c r="K1" s="51"/>
      <c r="L1" s="51"/>
      <c r="M1" s="51"/>
      <c r="N1" s="51"/>
      <c r="O1" s="51"/>
      <c r="P1" s="51"/>
    </row>
    <row r="2" spans="2:18" x14ac:dyDescent="0.2">
      <c r="B2" s="6"/>
    </row>
    <row r="3" spans="2:18" x14ac:dyDescent="0.2">
      <c r="B3" s="52" t="s">
        <v>13</v>
      </c>
      <c r="C3" s="52"/>
      <c r="D3" s="52"/>
      <c r="E3" s="52"/>
      <c r="I3" s="52" t="s">
        <v>64</v>
      </c>
      <c r="J3" s="52"/>
      <c r="K3" s="52"/>
      <c r="L3" s="52"/>
      <c r="M3" s="52"/>
      <c r="N3" s="52"/>
      <c r="O3" s="52"/>
      <c r="P3" s="52"/>
    </row>
    <row r="4" spans="2:18" s="4" customFormat="1" ht="36" x14ac:dyDescent="0.2">
      <c r="B4" s="7">
        <v>45565</v>
      </c>
      <c r="C4" s="8" t="s">
        <v>0</v>
      </c>
      <c r="D4" s="9" t="s">
        <v>1</v>
      </c>
      <c r="E4" s="10" t="s">
        <v>10</v>
      </c>
      <c r="F4" s="11"/>
      <c r="G4" s="12" t="s">
        <v>38</v>
      </c>
      <c r="H4" s="11"/>
      <c r="I4" s="48" t="s">
        <v>67</v>
      </c>
      <c r="J4" s="10" t="s">
        <v>68</v>
      </c>
      <c r="K4" s="9" t="s">
        <v>1</v>
      </c>
      <c r="L4" s="10" t="s">
        <v>55</v>
      </c>
      <c r="M4" s="32"/>
      <c r="N4" s="10" t="s">
        <v>12</v>
      </c>
      <c r="O4" s="9" t="s">
        <v>1</v>
      </c>
      <c r="P4" s="10" t="s">
        <v>28</v>
      </c>
    </row>
    <row r="6" spans="2:18" x14ac:dyDescent="0.2">
      <c r="B6" s="13">
        <v>59760</v>
      </c>
      <c r="C6" s="13">
        <v>25000</v>
      </c>
      <c r="D6" s="13">
        <f>B6-C6</f>
        <v>34760</v>
      </c>
      <c r="E6" s="14">
        <f t="shared" ref="E6:E14" si="0">+B6/C6</f>
        <v>2.3904000000000001</v>
      </c>
      <c r="G6" s="2" t="s">
        <v>2</v>
      </c>
      <c r="H6" s="2" t="s">
        <v>9</v>
      </c>
      <c r="I6" s="13">
        <v>508215</v>
      </c>
      <c r="J6" s="13">
        <v>200000</v>
      </c>
      <c r="K6" s="13">
        <f t="shared" ref="K6:K13" si="1">I6-J6</f>
        <v>308215</v>
      </c>
      <c r="L6" s="14">
        <f t="shared" ref="L6:L14" si="2">+I6/J6</f>
        <v>2.5410750000000002</v>
      </c>
      <c r="M6" s="14"/>
      <c r="N6" s="13">
        <v>500000</v>
      </c>
      <c r="O6" s="13">
        <f>I6-N6</f>
        <v>8215</v>
      </c>
      <c r="P6" s="14">
        <f t="shared" ref="P6:P14" si="3">+I6/N6</f>
        <v>1.0164299999999999</v>
      </c>
    </row>
    <row r="7" spans="2:18" x14ac:dyDescent="0.2">
      <c r="B7" s="13">
        <v>19693.79</v>
      </c>
      <c r="C7" s="13">
        <v>15000</v>
      </c>
      <c r="D7" s="13">
        <f t="shared" ref="D7:D13" si="4">B7-C7</f>
        <v>4693.7900000000009</v>
      </c>
      <c r="E7" s="14">
        <v>0</v>
      </c>
      <c r="G7" s="2" t="s">
        <v>3</v>
      </c>
      <c r="I7" s="13">
        <v>98048.1</v>
      </c>
      <c r="J7" s="13">
        <v>82500</v>
      </c>
      <c r="K7" s="13">
        <f t="shared" si="1"/>
        <v>15548.100000000006</v>
      </c>
      <c r="L7" s="14">
        <f t="shared" si="2"/>
        <v>1.1884618181818183</v>
      </c>
      <c r="M7" s="14"/>
      <c r="N7" s="13">
        <v>750000</v>
      </c>
      <c r="O7" s="13">
        <f t="shared" ref="O7:O13" si="5">I7-N7</f>
        <v>-651951.9</v>
      </c>
      <c r="P7" s="14">
        <f t="shared" si="3"/>
        <v>0.13073080000000001</v>
      </c>
    </row>
    <row r="8" spans="2:18" x14ac:dyDescent="0.2">
      <c r="B8" s="13">
        <v>107113.60000000001</v>
      </c>
      <c r="C8" s="13">
        <v>110000</v>
      </c>
      <c r="D8" s="13">
        <f>B8-C8</f>
        <v>-2886.3999999999942</v>
      </c>
      <c r="E8" s="14">
        <f t="shared" si="0"/>
        <v>0.97376000000000007</v>
      </c>
      <c r="G8" s="2" t="s">
        <v>41</v>
      </c>
      <c r="I8" s="13">
        <v>366564.4</v>
      </c>
      <c r="J8" s="13">
        <v>340000</v>
      </c>
      <c r="K8" s="13">
        <f t="shared" si="1"/>
        <v>26564.400000000023</v>
      </c>
      <c r="L8" s="14">
        <f t="shared" si="2"/>
        <v>1.0781305882352943</v>
      </c>
      <c r="M8" s="14"/>
      <c r="N8" s="13">
        <v>500000</v>
      </c>
      <c r="O8" s="13">
        <f t="shared" si="5"/>
        <v>-133435.59999999998</v>
      </c>
      <c r="P8" s="14">
        <f t="shared" si="3"/>
        <v>0.73312880000000002</v>
      </c>
    </row>
    <row r="9" spans="2:18" x14ac:dyDescent="0.2">
      <c r="B9" s="13">
        <v>9037</v>
      </c>
      <c r="C9" s="13">
        <v>13161.24</v>
      </c>
      <c r="D9" s="13">
        <f t="shared" si="4"/>
        <v>-4124.24</v>
      </c>
      <c r="E9" s="14">
        <f t="shared" si="0"/>
        <v>0.68663742929997473</v>
      </c>
      <c r="G9" s="2" t="s">
        <v>4</v>
      </c>
      <c r="I9" s="13">
        <v>417680</v>
      </c>
      <c r="J9" s="13">
        <v>420059.62</v>
      </c>
      <c r="K9" s="13">
        <f t="shared" si="1"/>
        <v>-2379.6199999999953</v>
      </c>
      <c r="L9" s="14">
        <f t="shared" si="2"/>
        <v>0.99433504224947877</v>
      </c>
      <c r="M9" s="14"/>
      <c r="N9" s="13">
        <v>522826</v>
      </c>
      <c r="O9" s="13">
        <f t="shared" si="5"/>
        <v>-105146</v>
      </c>
      <c r="P9" s="14">
        <f t="shared" si="3"/>
        <v>0.79888911416035158</v>
      </c>
    </row>
    <row r="10" spans="2:18" x14ac:dyDescent="0.2">
      <c r="B10" s="13">
        <v>384348.46</v>
      </c>
      <c r="C10" s="13">
        <v>341822</v>
      </c>
      <c r="D10" s="13">
        <f t="shared" si="4"/>
        <v>42526.460000000021</v>
      </c>
      <c r="E10" s="14">
        <f t="shared" si="0"/>
        <v>1.1244111262586962</v>
      </c>
      <c r="G10" s="2" t="s">
        <v>27</v>
      </c>
      <c r="I10" s="13">
        <v>1903271.88</v>
      </c>
      <c r="J10" s="13">
        <v>1752803</v>
      </c>
      <c r="K10" s="13">
        <f t="shared" si="1"/>
        <v>150468.87999999989</v>
      </c>
      <c r="L10" s="14">
        <f t="shared" si="2"/>
        <v>1.085844718430993</v>
      </c>
      <c r="M10" s="14"/>
      <c r="N10" s="13">
        <v>1916679</v>
      </c>
      <c r="O10" s="13">
        <f t="shared" si="5"/>
        <v>-13407.120000000112</v>
      </c>
      <c r="P10" s="14">
        <f t="shared" si="3"/>
        <v>0.99300502588070294</v>
      </c>
    </row>
    <row r="11" spans="2:18" x14ac:dyDescent="0.2">
      <c r="B11" s="13">
        <v>60275.17</v>
      </c>
      <c r="C11" s="13">
        <v>33541.699999999997</v>
      </c>
      <c r="D11" s="13">
        <f t="shared" si="4"/>
        <v>26733.47</v>
      </c>
      <c r="E11" s="14">
        <f t="shared" si="0"/>
        <v>1.7970219160030649</v>
      </c>
      <c r="G11" s="2" t="s">
        <v>11</v>
      </c>
      <c r="I11" s="13">
        <v>250184.52</v>
      </c>
      <c r="J11" s="13">
        <v>230467.81</v>
      </c>
      <c r="K11" s="13">
        <f t="shared" si="1"/>
        <v>19716.709999999992</v>
      </c>
      <c r="L11" s="14">
        <f t="shared" si="2"/>
        <v>1.0855508194398167</v>
      </c>
      <c r="M11" s="14"/>
      <c r="N11" s="13">
        <v>600000</v>
      </c>
      <c r="O11" s="13">
        <f t="shared" si="5"/>
        <v>-349815.48</v>
      </c>
      <c r="P11" s="14">
        <f t="shared" si="3"/>
        <v>0.41697419999999996</v>
      </c>
    </row>
    <row r="12" spans="2:18" x14ac:dyDescent="0.2">
      <c r="B12" s="13">
        <v>61457.85</v>
      </c>
      <c r="C12" s="13">
        <v>65071.22</v>
      </c>
      <c r="D12" s="13">
        <f t="shared" si="4"/>
        <v>-3613.3700000000026</v>
      </c>
      <c r="E12" s="14">
        <f t="shared" si="0"/>
        <v>0.944470535514779</v>
      </c>
      <c r="G12" s="2" t="s">
        <v>5</v>
      </c>
      <c r="I12" s="13">
        <v>310273.78999999998</v>
      </c>
      <c r="J12" s="13">
        <v>274726.94</v>
      </c>
      <c r="K12" s="13">
        <f t="shared" si="1"/>
        <v>35546.849999999977</v>
      </c>
      <c r="L12" s="14">
        <f t="shared" si="2"/>
        <v>1.1293897496910932</v>
      </c>
      <c r="M12" s="14"/>
      <c r="N12" s="13">
        <v>378500</v>
      </c>
      <c r="O12" s="13">
        <f t="shared" si="5"/>
        <v>-68226.210000000021</v>
      </c>
      <c r="P12" s="14">
        <f t="shared" si="3"/>
        <v>0.81974581241743716</v>
      </c>
    </row>
    <row r="13" spans="2:18" x14ac:dyDescent="0.2">
      <c r="B13" s="13">
        <f>765100.6-701686</f>
        <v>63414.599999999977</v>
      </c>
      <c r="C13" s="13">
        <f>638761.36-603596</f>
        <v>35165.359999999986</v>
      </c>
      <c r="D13" s="13">
        <f t="shared" si="4"/>
        <v>28249.239999999991</v>
      </c>
      <c r="E13" s="14">
        <f t="shared" si="0"/>
        <v>1.80332577286284</v>
      </c>
      <c r="G13" s="2" t="s">
        <v>6</v>
      </c>
      <c r="I13" s="13">
        <f>4366615.24-3854238</f>
        <v>512377.24000000022</v>
      </c>
      <c r="J13" s="13">
        <f>3675974.55-3300557</f>
        <v>375417.54999999981</v>
      </c>
      <c r="K13" s="13">
        <f t="shared" si="1"/>
        <v>136959.69000000041</v>
      </c>
      <c r="L13" s="14">
        <f t="shared" si="2"/>
        <v>1.3648196255076528</v>
      </c>
      <c r="M13" s="14"/>
      <c r="N13" s="13">
        <f>5819005-5168005</f>
        <v>651000</v>
      </c>
      <c r="O13" s="13">
        <f t="shared" si="5"/>
        <v>-138622.75999999978</v>
      </c>
      <c r="P13" s="14">
        <f t="shared" si="3"/>
        <v>0.78706181259600649</v>
      </c>
    </row>
    <row r="14" spans="2:18" x14ac:dyDescent="0.2">
      <c r="B14" s="15">
        <f>SUM(B6:B13)</f>
        <v>765100.47000000009</v>
      </c>
      <c r="C14" s="15">
        <f>SUM(C6:C13)</f>
        <v>638761.5199999999</v>
      </c>
      <c r="D14" s="15">
        <f>SUM(D6:D13)</f>
        <v>126338.95000000001</v>
      </c>
      <c r="E14" s="14">
        <f t="shared" si="0"/>
        <v>1.1977873526257503</v>
      </c>
      <c r="F14" s="4"/>
      <c r="G14" s="16" t="s">
        <v>39</v>
      </c>
      <c r="H14" s="4"/>
      <c r="I14" s="15">
        <f>SUM(I6:I13)</f>
        <v>4366614.93</v>
      </c>
      <c r="J14" s="15">
        <f>SUM(J6:J13)</f>
        <v>3675974.92</v>
      </c>
      <c r="K14" s="15">
        <f>SUM(K6:K13)</f>
        <v>690640.01000000024</v>
      </c>
      <c r="L14" s="14">
        <f t="shared" si="2"/>
        <v>1.187879412953122</v>
      </c>
      <c r="M14" s="14"/>
      <c r="N14" s="15">
        <f>SUM(N6:N13)</f>
        <v>5819005</v>
      </c>
      <c r="O14" s="15">
        <f>SUM(O6:O13)</f>
        <v>-1452390.0699999998</v>
      </c>
      <c r="P14" s="14">
        <f t="shared" si="3"/>
        <v>0.75040577040232814</v>
      </c>
      <c r="R14" s="43"/>
    </row>
    <row r="15" spans="2:18" x14ac:dyDescent="0.2">
      <c r="E15" s="14"/>
      <c r="L15" s="17"/>
      <c r="M15" s="17"/>
      <c r="P15" s="17"/>
      <c r="R15" s="43"/>
    </row>
    <row r="16" spans="2:18" s="4" customFormat="1" ht="36" x14ac:dyDescent="0.2">
      <c r="B16" s="18">
        <f>+B4</f>
        <v>45565</v>
      </c>
      <c r="C16" s="19" t="s">
        <v>0</v>
      </c>
      <c r="D16" s="20" t="s">
        <v>1</v>
      </c>
      <c r="E16" s="21"/>
      <c r="G16" s="12" t="s">
        <v>7</v>
      </c>
      <c r="I16" s="49" t="str">
        <f>I4</f>
        <v>Actual April - September 2024</v>
      </c>
      <c r="J16" s="10" t="str">
        <f>J4</f>
        <v>Budgeted April - September 2024</v>
      </c>
      <c r="K16" s="9" t="s">
        <v>1</v>
      </c>
      <c r="L16" s="10" t="s">
        <v>10</v>
      </c>
      <c r="M16" s="32"/>
      <c r="N16" s="10" t="s">
        <v>12</v>
      </c>
      <c r="O16" s="9" t="s">
        <v>1</v>
      </c>
      <c r="P16" s="10" t="s">
        <v>28</v>
      </c>
      <c r="R16" s="43"/>
    </row>
    <row r="17" spans="1:18" x14ac:dyDescent="0.2">
      <c r="E17" s="14"/>
      <c r="L17" s="17"/>
      <c r="M17" s="17"/>
      <c r="P17" s="17"/>
      <c r="R17" s="43"/>
    </row>
    <row r="18" spans="1:18" x14ac:dyDescent="0.2">
      <c r="B18" s="13">
        <v>66789.98</v>
      </c>
      <c r="C18" s="13">
        <v>29500</v>
      </c>
      <c r="D18" s="13">
        <f>B18-C18</f>
        <v>37289.979999999996</v>
      </c>
      <c r="E18" s="14">
        <f>+B18/C18</f>
        <v>2.2640671186440677</v>
      </c>
      <c r="G18" s="2" t="s">
        <v>14</v>
      </c>
      <c r="I18" s="13">
        <v>379927</v>
      </c>
      <c r="J18" s="13">
        <v>241749.94</v>
      </c>
      <c r="K18" s="13">
        <f>I18-J18</f>
        <v>138177.06</v>
      </c>
      <c r="L18" s="14">
        <f>+I18/J18</f>
        <v>1.5715701935644741</v>
      </c>
      <c r="M18" s="14"/>
      <c r="N18" s="13">
        <v>426000</v>
      </c>
      <c r="O18" s="13">
        <f>I18-N18</f>
        <v>-46073</v>
      </c>
      <c r="P18" s="14">
        <f>+I18/N18</f>
        <v>0.89184741784037558</v>
      </c>
      <c r="R18" s="43"/>
    </row>
    <row r="19" spans="1:18" x14ac:dyDescent="0.2">
      <c r="B19" s="13">
        <v>17901</v>
      </c>
      <c r="C19" s="13">
        <v>11916.67</v>
      </c>
      <c r="D19" s="13">
        <f>B19-C19</f>
        <v>5984.33</v>
      </c>
      <c r="E19" s="14">
        <f>+B19/C19</f>
        <v>1.5021813979912173</v>
      </c>
      <c r="G19" s="2" t="s">
        <v>15</v>
      </c>
      <c r="I19" s="13">
        <v>81670.69</v>
      </c>
      <c r="J19" s="13">
        <v>71500</v>
      </c>
      <c r="K19" s="13">
        <f>I19-J19</f>
        <v>10170.690000000002</v>
      </c>
      <c r="L19" s="14">
        <f>+I19/J19</f>
        <v>1.1422474125874127</v>
      </c>
      <c r="M19" s="14"/>
      <c r="N19" s="13">
        <v>143000</v>
      </c>
      <c r="O19" s="13">
        <f>I19-N19</f>
        <v>-61329.31</v>
      </c>
      <c r="P19" s="14">
        <f>+I19/N19</f>
        <v>0.57112370629370635</v>
      </c>
      <c r="R19" s="43"/>
    </row>
    <row r="20" spans="1:18" s="4" customFormat="1" x14ac:dyDescent="0.2">
      <c r="B20" s="22">
        <f>SUM(B18:B19)</f>
        <v>84690.98</v>
      </c>
      <c r="C20" s="22">
        <f>SUM(C18:C19)</f>
        <v>41416.67</v>
      </c>
      <c r="D20" s="22">
        <f>+B20-C20</f>
        <v>43274.31</v>
      </c>
      <c r="E20" s="14">
        <f>+B20/C20</f>
        <v>2.0448524712392375</v>
      </c>
      <c r="G20" s="4" t="s">
        <v>17</v>
      </c>
      <c r="I20" s="22">
        <f>SUM(I18:I19)</f>
        <v>461597.69</v>
      </c>
      <c r="J20" s="22">
        <f>SUM(J18:J19)</f>
        <v>313249.94</v>
      </c>
      <c r="K20" s="22">
        <f>SUM(K18:K19)</f>
        <v>148347.75</v>
      </c>
      <c r="L20" s="14">
        <f>+I20/J20</f>
        <v>1.47357630778796</v>
      </c>
      <c r="M20" s="14"/>
      <c r="N20" s="22">
        <f>SUM(N18:N19)</f>
        <v>569000</v>
      </c>
      <c r="O20" s="22">
        <f>SUM(O18:O19)</f>
        <v>-107402.31</v>
      </c>
      <c r="P20" s="14">
        <f>+I20/N20</f>
        <v>0.81124374340949035</v>
      </c>
      <c r="R20" s="43"/>
    </row>
    <row r="21" spans="1:18" x14ac:dyDescent="0.2">
      <c r="B21" s="3"/>
      <c r="C21" s="3"/>
      <c r="E21" s="14"/>
      <c r="I21" s="3"/>
      <c r="J21" s="3"/>
      <c r="L21" s="17"/>
      <c r="M21" s="17"/>
      <c r="N21" s="3"/>
      <c r="P21" s="17"/>
      <c r="R21" s="43"/>
    </row>
    <row r="22" spans="1:18" x14ac:dyDescent="0.2">
      <c r="B22" s="13">
        <v>38947.43</v>
      </c>
      <c r="C22" s="13">
        <v>38124.1</v>
      </c>
      <c r="D22" s="13">
        <f>B22-C22</f>
        <v>823.33000000000175</v>
      </c>
      <c r="E22" s="14">
        <f>+B22/C22</f>
        <v>1.0215960507920188</v>
      </c>
      <c r="G22" s="2" t="s">
        <v>29</v>
      </c>
      <c r="I22" s="13">
        <v>212346.39</v>
      </c>
      <c r="J22" s="13">
        <v>244766.02</v>
      </c>
      <c r="K22" s="13">
        <f>I22-J22</f>
        <v>-32419.629999999976</v>
      </c>
      <c r="L22" s="14">
        <f>+I22/J22</f>
        <v>0.86754848569258114</v>
      </c>
      <c r="M22" s="14"/>
      <c r="N22" s="13">
        <v>489536</v>
      </c>
      <c r="O22" s="13">
        <f>I22-N22</f>
        <v>-277189.61</v>
      </c>
      <c r="P22" s="14">
        <f>+I22/N22</f>
        <v>0.43377073391946663</v>
      </c>
      <c r="R22" s="43"/>
    </row>
    <row r="23" spans="1:18" x14ac:dyDescent="0.2">
      <c r="B23" s="13">
        <v>592.66</v>
      </c>
      <c r="C23" s="13">
        <v>606.79999999999995</v>
      </c>
      <c r="D23" s="13">
        <f>B23-C23</f>
        <v>-14.139999999999986</v>
      </c>
      <c r="E23" s="14">
        <f>+B23/C23</f>
        <v>0.97669742913645352</v>
      </c>
      <c r="G23" s="2" t="s">
        <v>30</v>
      </c>
      <c r="I23" s="13">
        <v>3426.66</v>
      </c>
      <c r="J23" s="13">
        <v>5457.5</v>
      </c>
      <c r="K23" s="13">
        <f>I23-J23</f>
        <v>-2030.8400000000001</v>
      </c>
      <c r="L23" s="14">
        <f>+I23/J23</f>
        <v>0.62788089784699952</v>
      </c>
      <c r="M23" s="14"/>
      <c r="N23" s="13">
        <v>5465</v>
      </c>
      <c r="O23" s="13">
        <f>I23-N23</f>
        <v>-2038.3400000000001</v>
      </c>
      <c r="P23" s="14">
        <f>+I23/N23</f>
        <v>0.6270192131747484</v>
      </c>
      <c r="R23" s="43"/>
    </row>
    <row r="24" spans="1:18" x14ac:dyDescent="0.2">
      <c r="B24" s="13">
        <f>56512.48-39540</f>
        <v>16972.480000000003</v>
      </c>
      <c r="C24" s="13">
        <f>63851.9-38731</f>
        <v>25120.9</v>
      </c>
      <c r="D24" s="13">
        <f>B24-C24</f>
        <v>-8148.4199999999983</v>
      </c>
      <c r="E24" s="14">
        <f>+B24/C24</f>
        <v>0.67563184440047941</v>
      </c>
      <c r="G24" s="2" t="s">
        <v>16</v>
      </c>
      <c r="I24" s="13">
        <f>325260.87-215773</f>
        <v>109487.87</v>
      </c>
      <c r="J24" s="13">
        <f>401147.52-250224</f>
        <v>150923.52000000002</v>
      </c>
      <c r="K24" s="13">
        <f>I24-J24</f>
        <v>-41435.650000000023</v>
      </c>
      <c r="L24" s="14">
        <f>+I24/J24</f>
        <v>0.72545266635710581</v>
      </c>
      <c r="M24" s="14"/>
      <c r="N24" s="13">
        <f>796901-495001</f>
        <v>301900</v>
      </c>
      <c r="O24" s="13">
        <f>I24-N24</f>
        <v>-192412.13</v>
      </c>
      <c r="P24" s="14">
        <f>+I24/N24</f>
        <v>0.3626627028817489</v>
      </c>
      <c r="R24" s="43"/>
    </row>
    <row r="25" spans="1:18" s="4" customFormat="1" x14ac:dyDescent="0.2">
      <c r="B25" s="22">
        <f>SUM(B22:B24)</f>
        <v>56512.570000000007</v>
      </c>
      <c r="C25" s="22">
        <f>SUM(C22:C24)</f>
        <v>63851.8</v>
      </c>
      <c r="D25" s="22">
        <f>+B25-C25</f>
        <v>-7339.2299999999959</v>
      </c>
      <c r="E25" s="14">
        <f>+B25/C25</f>
        <v>0.88505836953695904</v>
      </c>
      <c r="G25" s="4" t="s">
        <v>18</v>
      </c>
      <c r="I25" s="22">
        <f>SUM(I22:I24)</f>
        <v>325260.92000000004</v>
      </c>
      <c r="J25" s="22">
        <f>SUM(J22:J24)</f>
        <v>401147.04000000004</v>
      </c>
      <c r="K25" s="22">
        <f>SUM(K22:K24)</f>
        <v>-75886.12</v>
      </c>
      <c r="L25" s="14">
        <f>+I25/J25</f>
        <v>0.81082717200156829</v>
      </c>
      <c r="M25" s="14"/>
      <c r="N25" s="22">
        <f>SUM(N22:N24)</f>
        <v>796901</v>
      </c>
      <c r="O25" s="22">
        <f>SUM(O22:O24)</f>
        <v>-471640.08</v>
      </c>
      <c r="P25" s="14">
        <f>+I25/N25</f>
        <v>0.40815724914387114</v>
      </c>
      <c r="R25" s="43"/>
    </row>
    <row r="26" spans="1:18" x14ac:dyDescent="0.2">
      <c r="B26" s="3"/>
      <c r="C26" s="3"/>
      <c r="E26" s="14"/>
      <c r="I26" s="3"/>
      <c r="J26" s="3"/>
      <c r="L26" s="17"/>
      <c r="M26" s="17"/>
      <c r="N26" s="3"/>
      <c r="P26" s="17"/>
      <c r="R26" s="43"/>
    </row>
    <row r="27" spans="1:18" x14ac:dyDescent="0.2">
      <c r="A27" s="2" t="s">
        <v>9</v>
      </c>
      <c r="B27" s="13">
        <v>174924.53</v>
      </c>
      <c r="C27" s="13">
        <v>147714.92000000001</v>
      </c>
      <c r="D27" s="13">
        <f>B27-C27</f>
        <v>27209.609999999986</v>
      </c>
      <c r="E27" s="14">
        <f t="shared" ref="E27:E31" si="6">+B27/C27</f>
        <v>1.1842035320467288</v>
      </c>
      <c r="G27" s="2" t="s">
        <v>31</v>
      </c>
      <c r="I27" s="13">
        <v>973257.52</v>
      </c>
      <c r="J27" s="13">
        <v>918245</v>
      </c>
      <c r="K27" s="13">
        <f>I27-J27</f>
        <v>55012.520000000019</v>
      </c>
      <c r="L27" s="14">
        <f t="shared" ref="L27:L31" si="7">+I27/J27</f>
        <v>1.0599105031881471</v>
      </c>
      <c r="M27" s="14"/>
      <c r="N27" s="13">
        <v>1803468</v>
      </c>
      <c r="O27" s="13">
        <f>I27-N27</f>
        <v>-830210.48</v>
      </c>
      <c r="P27" s="14">
        <f t="shared" ref="P27:P31" si="8">+I27/N27</f>
        <v>0.53965887944781943</v>
      </c>
      <c r="R27" s="43"/>
    </row>
    <row r="28" spans="1:18" x14ac:dyDescent="0.2">
      <c r="B28" s="13">
        <v>37800.93</v>
      </c>
      <c r="C28" s="13">
        <v>38091.410000000003</v>
      </c>
      <c r="D28" s="13">
        <f>B28-C28</f>
        <v>-290.4800000000032</v>
      </c>
      <c r="E28" s="14">
        <f t="shared" si="6"/>
        <v>0.99237413369575966</v>
      </c>
      <c r="G28" s="2" t="s">
        <v>32</v>
      </c>
      <c r="I28" s="13">
        <v>241405.32</v>
      </c>
      <c r="J28" s="13">
        <v>242148.5</v>
      </c>
      <c r="K28" s="13">
        <f>I28-J28</f>
        <v>-743.17999999999302</v>
      </c>
      <c r="L28" s="14">
        <f t="shared" si="7"/>
        <v>0.99693089158099268</v>
      </c>
      <c r="M28" s="14"/>
      <c r="N28" s="13">
        <v>484297</v>
      </c>
      <c r="O28" s="13">
        <f>I28-N28</f>
        <v>-242891.68</v>
      </c>
      <c r="P28" s="14">
        <f t="shared" si="8"/>
        <v>0.49846544579049634</v>
      </c>
      <c r="R28" s="43"/>
    </row>
    <row r="29" spans="1:18" x14ac:dyDescent="0.2">
      <c r="B29" s="13">
        <v>19689.03</v>
      </c>
      <c r="C29" s="13">
        <v>30050.83</v>
      </c>
      <c r="D29" s="13">
        <f>B29-C29</f>
        <v>-10361.800000000003</v>
      </c>
      <c r="E29" s="14">
        <f t="shared" si="6"/>
        <v>0.65519088823836136</v>
      </c>
      <c r="G29" s="2" t="s">
        <v>33</v>
      </c>
      <c r="I29" s="13">
        <v>186388.13</v>
      </c>
      <c r="J29" s="13">
        <v>188304.93</v>
      </c>
      <c r="K29" s="13">
        <f>I29-J29</f>
        <v>-1916.7999999999884</v>
      </c>
      <c r="L29" s="14">
        <f t="shared" si="7"/>
        <v>0.98982076571229449</v>
      </c>
      <c r="M29" s="14"/>
      <c r="N29" s="13">
        <v>221059.91</v>
      </c>
      <c r="O29" s="13">
        <f>I29-N29</f>
        <v>-34671.78</v>
      </c>
      <c r="P29" s="14">
        <f t="shared" si="8"/>
        <v>0.84315663568305987</v>
      </c>
      <c r="R29" s="43"/>
    </row>
    <row r="30" spans="1:18" x14ac:dyDescent="0.2">
      <c r="B30" s="13">
        <f>270585.49-232414</f>
        <v>38171.489999999991</v>
      </c>
      <c r="C30" s="13">
        <f>243482.16-215857</f>
        <v>27625.160000000003</v>
      </c>
      <c r="D30" s="13">
        <f>B30-C30</f>
        <v>10546.329999999987</v>
      </c>
      <c r="E30" s="14">
        <f t="shared" si="6"/>
        <v>1.3817653906800897</v>
      </c>
      <c r="G30" s="2" t="s">
        <v>20</v>
      </c>
      <c r="I30" s="13">
        <f>1621039.36-1401051</f>
        <v>219988.3600000001</v>
      </c>
      <c r="J30" s="13">
        <f>1514448.43-1348698</f>
        <v>165750.42999999993</v>
      </c>
      <c r="K30" s="13">
        <f>I30-J30</f>
        <v>54237.930000000168</v>
      </c>
      <c r="L30" s="14">
        <f t="shared" si="7"/>
        <v>1.3272264814033978</v>
      </c>
      <c r="M30" s="14"/>
      <c r="N30" s="13">
        <f>2840324.91-2508825</f>
        <v>331499.91000000015</v>
      </c>
      <c r="O30" s="13">
        <f>I30-N30</f>
        <v>-111511.55000000005</v>
      </c>
      <c r="P30" s="14">
        <f t="shared" si="8"/>
        <v>0.66361514245961639</v>
      </c>
      <c r="R30" s="43"/>
    </row>
    <row r="31" spans="1:18" s="4" customFormat="1" x14ac:dyDescent="0.2">
      <c r="B31" s="22">
        <f>SUM(B27:B30)</f>
        <v>270585.98</v>
      </c>
      <c r="C31" s="22">
        <f>SUM(C27:C30)</f>
        <v>243482.32000000004</v>
      </c>
      <c r="D31" s="22">
        <f>+B31-C31</f>
        <v>27103.659999999945</v>
      </c>
      <c r="E31" s="14">
        <f t="shared" si="6"/>
        <v>1.1113167477622192</v>
      </c>
      <c r="G31" s="4" t="s">
        <v>19</v>
      </c>
      <c r="I31" s="22">
        <f>SUM(I27:I30)</f>
        <v>1621039.3300000003</v>
      </c>
      <c r="J31" s="22">
        <f>SUM(J27:J30)</f>
        <v>1514448.8599999999</v>
      </c>
      <c r="K31" s="22">
        <f>SUM(K27:K30)</f>
        <v>106590.4700000002</v>
      </c>
      <c r="L31" s="14">
        <f t="shared" si="7"/>
        <v>1.0703823501838157</v>
      </c>
      <c r="M31" s="14"/>
      <c r="N31" s="22">
        <f>SUM(N27:N30)</f>
        <v>2840324.8200000003</v>
      </c>
      <c r="O31" s="22">
        <f>SUM(O27:O30)</f>
        <v>-1219285.49</v>
      </c>
      <c r="P31" s="14">
        <f t="shared" si="8"/>
        <v>0.57072322101526407</v>
      </c>
      <c r="R31" s="43"/>
    </row>
    <row r="32" spans="1:18" x14ac:dyDescent="0.2">
      <c r="B32" s="3"/>
      <c r="C32" s="3"/>
      <c r="E32" s="14"/>
      <c r="I32" s="3"/>
      <c r="J32" s="3"/>
      <c r="L32" s="17"/>
      <c r="M32" s="17"/>
      <c r="N32" s="3"/>
      <c r="P32" s="17"/>
      <c r="R32" s="43"/>
    </row>
    <row r="33" spans="2:18" x14ac:dyDescent="0.2">
      <c r="B33" s="13">
        <v>16132.62</v>
      </c>
      <c r="C33" s="13">
        <v>13340.02</v>
      </c>
      <c r="D33" s="13">
        <f>B33-C33</f>
        <v>2792.6000000000004</v>
      </c>
      <c r="E33" s="14">
        <f>+B33/C33</f>
        <v>1.2093400159819852</v>
      </c>
      <c r="G33" s="2" t="s">
        <v>34</v>
      </c>
      <c r="I33" s="13">
        <v>89965</v>
      </c>
      <c r="J33" s="13">
        <v>85463</v>
      </c>
      <c r="K33" s="13">
        <f>I33-J33</f>
        <v>4502</v>
      </c>
      <c r="L33" s="14">
        <f>+I33/J33</f>
        <v>1.0526777669868832</v>
      </c>
      <c r="M33" s="14"/>
      <c r="N33" s="13">
        <v>169926</v>
      </c>
      <c r="O33" s="13">
        <f>I33-N33</f>
        <v>-79961</v>
      </c>
      <c r="P33" s="14">
        <f>+I33/N33</f>
        <v>0.52943634287866481</v>
      </c>
      <c r="R33" s="43"/>
    </row>
    <row r="34" spans="2:18" x14ac:dyDescent="0.2">
      <c r="B34" s="13">
        <v>1950.15</v>
      </c>
      <c r="C34" s="13">
        <v>2180</v>
      </c>
      <c r="D34" s="13">
        <f>B34-C34</f>
        <v>-229.84999999999991</v>
      </c>
      <c r="E34" s="14">
        <f>+B34/C34</f>
        <v>0.89456422018348625</v>
      </c>
      <c r="G34" s="2" t="s">
        <v>65</v>
      </c>
      <c r="I34" s="13">
        <v>11242.56</v>
      </c>
      <c r="J34" s="13">
        <v>10900</v>
      </c>
      <c r="K34" s="13">
        <f>I34-J34</f>
        <v>342.55999999999949</v>
      </c>
      <c r="L34" s="14">
        <f>+I34/J34</f>
        <v>1.0314275229357797</v>
      </c>
      <c r="M34" s="14"/>
      <c r="N34" s="13">
        <v>10900</v>
      </c>
      <c r="O34" s="13">
        <f>I34-N34</f>
        <v>342.55999999999949</v>
      </c>
      <c r="P34" s="14">
        <f>+I34/N34</f>
        <v>1.0314275229357797</v>
      </c>
      <c r="R34" s="43"/>
    </row>
    <row r="35" spans="2:18" x14ac:dyDescent="0.2">
      <c r="B35" s="13">
        <f>19816.75-16133</f>
        <v>3683.75</v>
      </c>
      <c r="C35" s="13">
        <f>17324.18-13340</f>
        <v>3984.1800000000003</v>
      </c>
      <c r="D35" s="13">
        <f>B35-C35</f>
        <v>-300.43000000000029</v>
      </c>
      <c r="E35" s="14">
        <f>+B35/C35</f>
        <v>0.92459427033919139</v>
      </c>
      <c r="G35" s="2" t="s">
        <v>21</v>
      </c>
      <c r="I35" s="13">
        <f>112913.35-89965</f>
        <v>22948.350000000006</v>
      </c>
      <c r="J35" s="13">
        <f>107188.04-85463</f>
        <v>21725.039999999994</v>
      </c>
      <c r="K35" s="13">
        <f>I35-J35</f>
        <v>1223.3100000000122</v>
      </c>
      <c r="L35" s="14">
        <f>+I35/J35</f>
        <v>1.0563087570839922</v>
      </c>
      <c r="M35" s="14"/>
      <c r="N35" s="13">
        <f>202476-180826</f>
        <v>21650</v>
      </c>
      <c r="O35" s="13">
        <f>I35-N35</f>
        <v>1298.3500000000058</v>
      </c>
      <c r="P35" s="14">
        <f>+I35/N35</f>
        <v>1.0599699769053121</v>
      </c>
      <c r="R35" s="43"/>
    </row>
    <row r="36" spans="2:18" s="4" customFormat="1" x14ac:dyDescent="0.2">
      <c r="B36" s="22">
        <f>B35+B33</f>
        <v>19816.370000000003</v>
      </c>
      <c r="C36" s="22">
        <f>C35+C33</f>
        <v>17324.2</v>
      </c>
      <c r="D36" s="22">
        <f>+B36-C36</f>
        <v>2492.1700000000019</v>
      </c>
      <c r="E36" s="14">
        <f>+B36/C36</f>
        <v>1.1438548388958798</v>
      </c>
      <c r="G36" s="4" t="s">
        <v>22</v>
      </c>
      <c r="I36" s="22">
        <f>I35+I33</f>
        <v>112913.35</v>
      </c>
      <c r="J36" s="22">
        <f>J35+J33</f>
        <v>107188.04</v>
      </c>
      <c r="K36" s="22">
        <f>K35+K33</f>
        <v>5725.3100000000122</v>
      </c>
      <c r="L36" s="14">
        <f>+I36/J36</f>
        <v>1.0534137017525464</v>
      </c>
      <c r="M36" s="14"/>
      <c r="N36" s="22">
        <f>SUM(N33:N35)</f>
        <v>202476</v>
      </c>
      <c r="O36" s="22">
        <f>O35+O33</f>
        <v>-78662.649999999994</v>
      </c>
      <c r="P36" s="14">
        <f>+I36/N36</f>
        <v>0.55766288350224225</v>
      </c>
      <c r="R36" s="43"/>
    </row>
    <row r="37" spans="2:18" x14ac:dyDescent="0.2">
      <c r="B37" s="3"/>
      <c r="C37" s="3"/>
      <c r="E37" s="14"/>
      <c r="I37" s="3"/>
      <c r="J37" s="3"/>
      <c r="L37" s="17"/>
      <c r="M37" s="17"/>
      <c r="N37" s="3"/>
      <c r="P37" s="17"/>
      <c r="R37" s="43"/>
    </row>
    <row r="38" spans="2:18" x14ac:dyDescent="0.2">
      <c r="B38" s="13">
        <v>11308.02</v>
      </c>
      <c r="C38" s="13">
        <v>9230.93</v>
      </c>
      <c r="D38" s="13">
        <f>B38-C38</f>
        <v>2077.09</v>
      </c>
      <c r="E38" s="14">
        <f>+B38/C38</f>
        <v>1.2250141643366379</v>
      </c>
      <c r="G38" s="2" t="s">
        <v>52</v>
      </c>
      <c r="I38" s="13">
        <v>64649.8</v>
      </c>
      <c r="J38" s="13">
        <v>58956.06</v>
      </c>
      <c r="K38" s="13">
        <f>I38-J38</f>
        <v>5693.7400000000052</v>
      </c>
      <c r="L38" s="14">
        <f>+I38/J38</f>
        <v>1.0965759923576983</v>
      </c>
      <c r="M38" s="14"/>
      <c r="N38" s="13">
        <v>117412</v>
      </c>
      <c r="O38" s="13">
        <f>I38-N38</f>
        <v>-52762.2</v>
      </c>
      <c r="P38" s="14">
        <f>+I38/N38</f>
        <v>0.55062344564439758</v>
      </c>
      <c r="R38" s="43"/>
    </row>
    <row r="39" spans="2:18" x14ac:dyDescent="0.2">
      <c r="B39" s="13">
        <v>14001.73</v>
      </c>
      <c r="C39" s="13">
        <v>18345.53</v>
      </c>
      <c r="D39" s="13">
        <f>B39-C39</f>
        <v>-4343.7999999999993</v>
      </c>
      <c r="E39" s="14">
        <f>+B39/C39</f>
        <v>0.76322297584207166</v>
      </c>
      <c r="G39" s="2" t="s">
        <v>53</v>
      </c>
      <c r="I39" s="13">
        <v>98306.97</v>
      </c>
      <c r="J39" s="13">
        <v>94758.12</v>
      </c>
      <c r="K39" s="13">
        <f>I39-J39</f>
        <v>3548.8500000000058</v>
      </c>
      <c r="L39" s="14">
        <f>+I39/J39</f>
        <v>1.0374516716878723</v>
      </c>
      <c r="M39" s="14"/>
      <c r="N39" s="13">
        <v>94941.3</v>
      </c>
      <c r="O39" s="13">
        <f>I39-N39</f>
        <v>3365.6699999999983</v>
      </c>
      <c r="P39" s="14">
        <f>+I39/N39</f>
        <v>1.0354500096375339</v>
      </c>
      <c r="R39" s="43"/>
    </row>
    <row r="40" spans="2:18" x14ac:dyDescent="0.2">
      <c r="B40" s="13">
        <f>27416.69-25310</f>
        <v>2106.6899999999987</v>
      </c>
      <c r="C40" s="13">
        <f>29927.3-27576</f>
        <v>2351.2999999999993</v>
      </c>
      <c r="D40" s="13">
        <f>B40-C40</f>
        <v>-244.61000000000058</v>
      </c>
      <c r="E40" s="14">
        <f>+B40/C40</f>
        <v>0.89596818781099785</v>
      </c>
      <c r="G40" s="2" t="s">
        <v>54</v>
      </c>
      <c r="I40" s="13">
        <f>174669.77-162957</f>
        <v>11712.76999999999</v>
      </c>
      <c r="J40" s="13">
        <f>167819.22-153714</f>
        <v>14105.220000000001</v>
      </c>
      <c r="K40" s="13">
        <f>I40-J40</f>
        <v>-2392.4500000000116</v>
      </c>
      <c r="L40" s="14">
        <f>+I40/J40</f>
        <v>0.83038548849291172</v>
      </c>
      <c r="M40" s="14"/>
      <c r="N40" s="13">
        <f>240563.3-212353</f>
        <v>28210.299999999988</v>
      </c>
      <c r="O40" s="13">
        <f>I40-N40</f>
        <v>-16497.53</v>
      </c>
      <c r="P40" s="14">
        <f>+I40/N40</f>
        <v>0.41519480473444076</v>
      </c>
      <c r="R40" s="43"/>
    </row>
    <row r="41" spans="2:18" s="4" customFormat="1" x14ac:dyDescent="0.2">
      <c r="B41" s="22">
        <f>SUM(B38:B40)</f>
        <v>27416.44</v>
      </c>
      <c r="C41" s="22">
        <f>SUM(C38:C40)</f>
        <v>29927.759999999998</v>
      </c>
      <c r="D41" s="22">
        <f>+B41-C41</f>
        <v>-2511.3199999999997</v>
      </c>
      <c r="E41" s="14">
        <f>+B41/C41</f>
        <v>0.91608727148306457</v>
      </c>
      <c r="G41" s="4" t="s">
        <v>23</v>
      </c>
      <c r="I41" s="22">
        <f>SUM(I38:I40)</f>
        <v>174669.54</v>
      </c>
      <c r="J41" s="22">
        <f>SUM(J38:J40)</f>
        <v>167819.4</v>
      </c>
      <c r="K41" s="22">
        <f>SUM(K38:K40)</f>
        <v>6850.1399999999994</v>
      </c>
      <c r="L41" s="14">
        <f>+I41/J41</f>
        <v>1.0408185227691198</v>
      </c>
      <c r="M41" s="14"/>
      <c r="N41" s="22">
        <f>SUM(N38:N40)</f>
        <v>240563.59999999998</v>
      </c>
      <c r="O41" s="22">
        <f>SUM(O38:O40)</f>
        <v>-65894.06</v>
      </c>
      <c r="P41" s="14">
        <f>+I41/N41</f>
        <v>0.72608466118731185</v>
      </c>
      <c r="R41" s="43"/>
    </row>
    <row r="42" spans="2:18" x14ac:dyDescent="0.2">
      <c r="B42" s="3"/>
      <c r="C42" s="3"/>
      <c r="E42" s="14"/>
      <c r="I42" s="3"/>
      <c r="J42" s="3"/>
      <c r="L42" s="17"/>
      <c r="M42" s="17"/>
      <c r="N42" s="3"/>
      <c r="P42" s="17"/>
      <c r="R42" s="43"/>
    </row>
    <row r="43" spans="2:18" s="4" customFormat="1" x14ac:dyDescent="0.2">
      <c r="B43" s="22">
        <v>12184.94</v>
      </c>
      <c r="C43" s="22">
        <v>11364.71</v>
      </c>
      <c r="D43" s="22">
        <f>+B43-C43</f>
        <v>820.23000000000138</v>
      </c>
      <c r="E43" s="14">
        <f>+B43/C43</f>
        <v>1.0721734210551788</v>
      </c>
      <c r="G43" s="4" t="s">
        <v>50</v>
      </c>
      <c r="I43" s="22">
        <v>71747.11</v>
      </c>
      <c r="J43" s="22">
        <v>72857.08</v>
      </c>
      <c r="K43" s="22">
        <f>I43-J43</f>
        <v>-1109.9700000000012</v>
      </c>
      <c r="L43" s="14">
        <f>+I43/J43</f>
        <v>0.98476510450322741</v>
      </c>
      <c r="M43" s="14"/>
      <c r="N43" s="22">
        <v>145714</v>
      </c>
      <c r="O43" s="22">
        <f>I43-N43</f>
        <v>-73966.89</v>
      </c>
      <c r="P43" s="14">
        <f>+I43/N43</f>
        <v>0.49238309290802529</v>
      </c>
      <c r="R43" s="43"/>
    </row>
    <row r="44" spans="2:18" x14ac:dyDescent="0.2">
      <c r="B44" s="3"/>
      <c r="C44" s="3"/>
      <c r="E44" s="14"/>
      <c r="I44" s="3"/>
      <c r="J44" s="3"/>
      <c r="L44" s="17"/>
      <c r="M44" s="17"/>
      <c r="N44" s="3"/>
      <c r="P44" s="17"/>
      <c r="R44" s="43"/>
    </row>
    <row r="45" spans="2:18" s="4" customFormat="1" x14ac:dyDescent="0.2">
      <c r="B45" s="22">
        <v>3201.85</v>
      </c>
      <c r="C45" s="22">
        <v>5391.49</v>
      </c>
      <c r="D45" s="22">
        <f>+B45-C45</f>
        <v>-2189.64</v>
      </c>
      <c r="E45" s="14">
        <f>+B45/C45</f>
        <v>0.59387108201999816</v>
      </c>
      <c r="G45" s="4" t="s">
        <v>24</v>
      </c>
      <c r="I45" s="22">
        <v>22547.3</v>
      </c>
      <c r="J45" s="22">
        <v>34960.019999999997</v>
      </c>
      <c r="K45" s="22">
        <f>I45-J45</f>
        <v>-12412.719999999998</v>
      </c>
      <c r="L45" s="14">
        <f>+I45/J45</f>
        <v>0.64494528321208056</v>
      </c>
      <c r="M45" s="14"/>
      <c r="N45" s="22">
        <v>69920</v>
      </c>
      <c r="O45" s="22">
        <f>I45-N45</f>
        <v>-47372.7</v>
      </c>
      <c r="P45" s="14">
        <f>+I45/N45</f>
        <v>0.32247282608695649</v>
      </c>
      <c r="R45" s="43"/>
    </row>
    <row r="46" spans="2:18" x14ac:dyDescent="0.2">
      <c r="B46" s="3"/>
      <c r="C46" s="3"/>
      <c r="E46" s="14"/>
      <c r="I46" s="3"/>
      <c r="J46" s="3"/>
      <c r="L46" s="17"/>
      <c r="M46" s="17"/>
      <c r="N46" s="3"/>
      <c r="P46" s="17"/>
      <c r="R46" s="43"/>
    </row>
    <row r="47" spans="2:18" x14ac:dyDescent="0.2">
      <c r="B47" s="13">
        <v>2191.67</v>
      </c>
      <c r="C47" s="13">
        <v>2199.77</v>
      </c>
      <c r="D47" s="13">
        <f>B47-C47</f>
        <v>-8.0999999999999091</v>
      </c>
      <c r="E47" s="14">
        <f>+B47/C47</f>
        <v>0.99631779686058097</v>
      </c>
      <c r="G47" s="2" t="s">
        <v>35</v>
      </c>
      <c r="I47" s="13">
        <v>14056.64</v>
      </c>
      <c r="J47" s="13">
        <v>14236.96</v>
      </c>
      <c r="K47" s="13">
        <f>I47-J47</f>
        <v>-180.31999999999971</v>
      </c>
      <c r="L47" s="14">
        <f>+I47/J47</f>
        <v>0.98733437475416097</v>
      </c>
      <c r="M47" s="14"/>
      <c r="N47" s="13">
        <v>28474</v>
      </c>
      <c r="O47" s="13">
        <f>I47-N47</f>
        <v>-14417.36</v>
      </c>
      <c r="P47" s="14">
        <f>+I47/N47</f>
        <v>0.49366580037929336</v>
      </c>
      <c r="R47" s="43"/>
    </row>
    <row r="48" spans="2:18" x14ac:dyDescent="0.2">
      <c r="B48" s="13">
        <v>24568.15</v>
      </c>
      <c r="C48" s="13">
        <v>89670.13</v>
      </c>
      <c r="D48" s="13">
        <f>B48-C48</f>
        <v>-65101.98</v>
      </c>
      <c r="E48" s="14">
        <f>+B48/C48</f>
        <v>0.27398365542684056</v>
      </c>
      <c r="G48" s="2" t="s">
        <v>51</v>
      </c>
      <c r="I48" s="13">
        <v>433519.22</v>
      </c>
      <c r="J48" s="13">
        <v>454382.44</v>
      </c>
      <c r="K48" s="13">
        <f>I48-J48</f>
        <v>-20863.22000000003</v>
      </c>
      <c r="L48" s="14">
        <f>+I48/J48</f>
        <v>0.95408444921419056</v>
      </c>
      <c r="M48" s="14"/>
      <c r="N48" s="13">
        <v>465573.12</v>
      </c>
      <c r="O48" s="13">
        <f>I48-N48</f>
        <v>-32053.900000000023</v>
      </c>
      <c r="P48" s="14">
        <f>+I48/N48</f>
        <v>0.93115173831341458</v>
      </c>
      <c r="R48" s="43"/>
    </row>
    <row r="49" spans="1:18" x14ac:dyDescent="0.2">
      <c r="B49" s="13">
        <f>28747.26-26760</f>
        <v>1987.2599999999984</v>
      </c>
      <c r="C49" s="13">
        <f>94252.41-91870</f>
        <v>2382.4100000000035</v>
      </c>
      <c r="D49" s="13">
        <f>B49-C49</f>
        <v>-395.15000000000509</v>
      </c>
      <c r="E49" s="14">
        <f>+B49/C49</f>
        <v>0.834138540385574</v>
      </c>
      <c r="G49" s="2" t="s">
        <v>25</v>
      </c>
      <c r="I49" s="13">
        <f>481955.24-447576</f>
        <v>34379.239999999991</v>
      </c>
      <c r="J49" s="13">
        <f>498164.34-468619</f>
        <v>29545.340000000026</v>
      </c>
      <c r="K49" s="13">
        <f>I49-J49</f>
        <v>4833.8999999999651</v>
      </c>
      <c r="L49" s="14">
        <f>+I49/J49</f>
        <v>1.1636095573785903</v>
      </c>
      <c r="M49" s="14"/>
      <c r="N49" s="13">
        <f>536137.12-494047</f>
        <v>42090.119999999995</v>
      </c>
      <c r="O49" s="13">
        <f>I49-N49</f>
        <v>-7710.8800000000047</v>
      </c>
      <c r="P49" s="14">
        <f>+I49/N49</f>
        <v>0.816800712376206</v>
      </c>
      <c r="R49" s="43"/>
    </row>
    <row r="50" spans="1:18" s="4" customFormat="1" x14ac:dyDescent="0.2">
      <c r="B50" s="22">
        <f>B49+B48+B47</f>
        <v>28747.08</v>
      </c>
      <c r="C50" s="22">
        <f>C49+C48+C47</f>
        <v>94252.310000000012</v>
      </c>
      <c r="D50" s="22">
        <f>+B50-C50</f>
        <v>-65505.23000000001</v>
      </c>
      <c r="E50" s="14">
        <f>+B50/C50</f>
        <v>0.30500133100186083</v>
      </c>
      <c r="G50" s="4" t="s">
        <v>26</v>
      </c>
      <c r="I50" s="22">
        <f>I49+I48+I47</f>
        <v>481955.1</v>
      </c>
      <c r="J50" s="22">
        <f>J49+J48+J47</f>
        <v>498164.74000000005</v>
      </c>
      <c r="K50" s="22">
        <f>K49+K48+K47</f>
        <v>-16209.640000000065</v>
      </c>
      <c r="L50" s="14">
        <f>+I50/J50</f>
        <v>0.96746128599948666</v>
      </c>
      <c r="M50" s="14"/>
      <c r="N50" s="22">
        <f>N49+N48+N47</f>
        <v>536137.24</v>
      </c>
      <c r="O50" s="22">
        <f>O49+O48+O47</f>
        <v>-54182.140000000029</v>
      </c>
      <c r="P50" s="14">
        <f>+I50/N50</f>
        <v>0.89893979384830647</v>
      </c>
      <c r="R50" s="43"/>
    </row>
    <row r="51" spans="1:18" s="1" customFormat="1" ht="14.25" x14ac:dyDescent="0.2">
      <c r="A51" s="2"/>
      <c r="B51" s="3"/>
      <c r="C51" s="3"/>
      <c r="D51" s="3"/>
      <c r="E51" s="14"/>
      <c r="F51" s="2"/>
      <c r="G51" s="2"/>
      <c r="H51" s="2"/>
      <c r="I51" s="3"/>
      <c r="J51" s="3"/>
      <c r="K51" s="3"/>
      <c r="L51" s="17"/>
      <c r="R51" s="43"/>
    </row>
    <row r="52" spans="1:18" x14ac:dyDescent="0.2">
      <c r="B52" s="15">
        <f>+B50+B45+B43+B41+B36+B31+B25+B20</f>
        <v>503156.20999999996</v>
      </c>
      <c r="C52" s="15">
        <f>+C50+C45+C43+C41+C36+C31+C25+C20</f>
        <v>507011.26</v>
      </c>
      <c r="D52" s="15">
        <f>B52-C52</f>
        <v>-3855.0500000000466</v>
      </c>
      <c r="E52" s="14">
        <f>+B52/C52</f>
        <v>0.99239651995105582</v>
      </c>
      <c r="F52" s="4"/>
      <c r="G52" s="16" t="s">
        <v>8</v>
      </c>
      <c r="H52" s="4"/>
      <c r="I52" s="15">
        <f>+I50+I45+I43+I41+I36+I31+I25+I20</f>
        <v>3271730.3400000003</v>
      </c>
      <c r="J52" s="15">
        <f>+J50+J45+J43+J41+J36+J31+J25+J20</f>
        <v>3109835.1199999996</v>
      </c>
      <c r="K52" s="15">
        <f>I52-J52</f>
        <v>161895.22000000067</v>
      </c>
      <c r="L52" s="14">
        <f>+I52/J52</f>
        <v>1.0520591008053188</v>
      </c>
      <c r="M52" s="33"/>
      <c r="N52" s="15">
        <f>+N50+N45+N43+N41+N36+N31+N25+N20</f>
        <v>5401036.6600000001</v>
      </c>
      <c r="O52" s="15">
        <f>I52-N52</f>
        <v>-2129306.3199999998</v>
      </c>
      <c r="P52" s="14">
        <f>+I52/N52</f>
        <v>0.60575969873161351</v>
      </c>
      <c r="R52" s="43"/>
    </row>
    <row r="53" spans="1:18" s="1" customFormat="1" ht="14.25" x14ac:dyDescent="0.2">
      <c r="A53" s="2"/>
      <c r="B53" s="3"/>
      <c r="C53" s="3"/>
      <c r="D53" s="3"/>
      <c r="E53" s="14"/>
      <c r="F53" s="2"/>
      <c r="G53" s="2"/>
      <c r="H53" s="2"/>
      <c r="I53" s="3"/>
      <c r="J53" s="3"/>
      <c r="K53" s="3"/>
      <c r="L53" s="17"/>
      <c r="R53" s="43"/>
    </row>
    <row r="54" spans="1:18" x14ac:dyDescent="0.2">
      <c r="B54" s="15">
        <f>+B14-B52</f>
        <v>261944.26000000013</v>
      </c>
      <c r="C54" s="15">
        <f>+C14-C52</f>
        <v>131750.25999999989</v>
      </c>
      <c r="D54" s="15">
        <f>B54-C54</f>
        <v>130194.00000000023</v>
      </c>
      <c r="E54" s="14">
        <f>+B54/C54</f>
        <v>1.9881878031967477</v>
      </c>
      <c r="F54" s="4"/>
      <c r="G54" s="45" t="s">
        <v>56</v>
      </c>
      <c r="H54" s="4"/>
      <c r="I54" s="15">
        <f>+I14-I52</f>
        <v>1094884.5899999994</v>
      </c>
      <c r="J54" s="15">
        <f>+J14-J52</f>
        <v>566139.80000000028</v>
      </c>
      <c r="K54" s="15">
        <f>I54-J54</f>
        <v>528744.78999999911</v>
      </c>
      <c r="L54" s="14">
        <f>+I54/J54</f>
        <v>1.933947392499165</v>
      </c>
      <c r="M54" s="33"/>
      <c r="N54" s="15">
        <f>+N14-N52</f>
        <v>417968.33999999985</v>
      </c>
      <c r="O54" s="15">
        <f>I54-N54</f>
        <v>676916.24999999953</v>
      </c>
      <c r="P54" s="14">
        <f>+I54/N54</f>
        <v>2.6195395325875634</v>
      </c>
      <c r="R54" s="43"/>
    </row>
    <row r="55" spans="1:18" s="1" customFormat="1" ht="14.25" x14ac:dyDescent="0.2">
      <c r="A55" s="2"/>
      <c r="B55" s="3"/>
      <c r="C55" s="3"/>
      <c r="D55" s="3"/>
      <c r="E55" s="14"/>
      <c r="F55" s="2"/>
      <c r="G55" s="2"/>
      <c r="H55" s="2"/>
      <c r="I55" s="3"/>
      <c r="J55" s="3"/>
      <c r="K55" s="3"/>
      <c r="L55" s="17"/>
    </row>
    <row r="56" spans="1:18" s="1" customFormat="1" ht="14.25" x14ac:dyDescent="0.2">
      <c r="A56" s="2"/>
      <c r="B56" s="3">
        <f>+B81</f>
        <v>74090.584000000003</v>
      </c>
      <c r="C56" s="3">
        <f>+C81</f>
        <v>75049.440000000002</v>
      </c>
      <c r="D56" s="3">
        <f>-C56+B56</f>
        <v>-958.85599999999977</v>
      </c>
      <c r="E56" s="14"/>
      <c r="F56" s="2"/>
      <c r="G56" s="16" t="s">
        <v>57</v>
      </c>
      <c r="H56" s="2"/>
      <c r="I56" s="3">
        <f>+I81</f>
        <v>315293.82900000003</v>
      </c>
      <c r="J56" s="3">
        <f>+J81</f>
        <v>293983.712</v>
      </c>
      <c r="K56" s="3">
        <f>+I56-J56</f>
        <v>21310.117000000027</v>
      </c>
      <c r="L56" s="17"/>
      <c r="N56" s="3">
        <f>+N81</f>
        <v>478871.1</v>
      </c>
    </row>
    <row r="57" spans="1:18" s="1" customFormat="1" ht="14.25" x14ac:dyDescent="0.2">
      <c r="A57" s="2"/>
      <c r="B57" s="3"/>
      <c r="C57" s="3"/>
      <c r="D57" s="3"/>
      <c r="E57" s="14"/>
      <c r="F57" s="2"/>
      <c r="G57" s="2"/>
      <c r="H57" s="2"/>
      <c r="I57" s="3"/>
      <c r="J57" s="3"/>
      <c r="K57" s="3"/>
      <c r="L57" s="17"/>
    </row>
    <row r="58" spans="1:18" x14ac:dyDescent="0.2">
      <c r="B58" s="15">
        <f>+B54-B56</f>
        <v>187853.67600000012</v>
      </c>
      <c r="C58" s="15">
        <f>+C54-C56</f>
        <v>56700.819999999891</v>
      </c>
      <c r="D58" s="31"/>
      <c r="E58" s="24"/>
      <c r="F58" s="4"/>
      <c r="G58" s="16" t="s">
        <v>58</v>
      </c>
      <c r="H58" s="4"/>
      <c r="I58" s="15">
        <f>+I54-I56</f>
        <v>779590.76099999936</v>
      </c>
      <c r="J58" s="15">
        <f>+J54-J56</f>
        <v>272156.08800000028</v>
      </c>
      <c r="K58" s="15">
        <f>+K54-K56</f>
        <v>507434.67299999908</v>
      </c>
      <c r="L58" s="34"/>
      <c r="M58" s="34"/>
      <c r="N58" s="15">
        <f>+N54-N56</f>
        <v>-60902.760000000126</v>
      </c>
      <c r="O58" s="23"/>
      <c r="P58" s="34"/>
    </row>
    <row r="60" spans="1:18" s="25" customFormat="1" ht="14.25" hidden="1" x14ac:dyDescent="0.2">
      <c r="A60" s="1"/>
      <c r="D60" s="26" t="s">
        <v>36</v>
      </c>
      <c r="F60" s="50" t="s">
        <v>43</v>
      </c>
      <c r="G60" s="50"/>
      <c r="H60" s="50"/>
      <c r="I60" s="50"/>
      <c r="J60" s="50"/>
      <c r="K60" s="50"/>
      <c r="L60" s="50"/>
      <c r="M60" s="50"/>
      <c r="N60" s="50"/>
    </row>
    <row r="61" spans="1:18" s="25" customFormat="1" ht="11.25" hidden="1" x14ac:dyDescent="0.2">
      <c r="C61" s="26"/>
      <c r="G61" s="27" t="s">
        <v>44</v>
      </c>
      <c r="I61" s="28">
        <f>-I6*0.03</f>
        <v>-15246.449999999999</v>
      </c>
      <c r="J61" s="28">
        <f>-J6*0.03</f>
        <v>-6000</v>
      </c>
      <c r="L61" s="25" t="s">
        <v>44</v>
      </c>
      <c r="N61" s="28">
        <v>-23100</v>
      </c>
    </row>
    <row r="62" spans="1:18" s="25" customFormat="1" ht="11.25" hidden="1" x14ac:dyDescent="0.2">
      <c r="B62" s="26"/>
      <c r="C62" s="26"/>
      <c r="D62" s="26"/>
      <c r="G62" s="27" t="s">
        <v>48</v>
      </c>
      <c r="I62" s="28">
        <f>-0.2*I11</f>
        <v>-50036.904000000002</v>
      </c>
      <c r="J62" s="28">
        <f>-0.2*J11</f>
        <v>-46093.562000000005</v>
      </c>
      <c r="L62" s="25" t="s">
        <v>48</v>
      </c>
      <c r="N62" s="28">
        <v>-38500</v>
      </c>
    </row>
    <row r="63" spans="1:18" s="25" customFormat="1" ht="11.25" hidden="1" x14ac:dyDescent="0.2">
      <c r="B63" s="26"/>
      <c r="C63" s="26"/>
      <c r="D63" s="26"/>
      <c r="G63" s="27" t="s">
        <v>49</v>
      </c>
      <c r="I63" s="28">
        <f>995729*-0.05</f>
        <v>-49786.450000000004</v>
      </c>
      <c r="J63" s="28">
        <f>-0.05*(755000)</f>
        <v>-37750</v>
      </c>
      <c r="L63" s="25" t="s">
        <v>49</v>
      </c>
      <c r="N63" s="28">
        <v>-37750</v>
      </c>
    </row>
    <row r="64" spans="1:18" s="25" customFormat="1" ht="11.25" hidden="1" x14ac:dyDescent="0.2">
      <c r="B64" s="26"/>
      <c r="C64" s="26"/>
      <c r="D64" s="26"/>
      <c r="F64" s="37" t="s">
        <v>45</v>
      </c>
      <c r="G64" s="38"/>
      <c r="H64" s="37"/>
      <c r="I64" s="39">
        <f>-SUM(I61:I63)</f>
        <v>115069.804</v>
      </c>
      <c r="J64" s="39">
        <f>-SUM(J61:J63)</f>
        <v>89843.562000000005</v>
      </c>
      <c r="K64" s="37"/>
      <c r="L64" s="37"/>
      <c r="M64" s="37"/>
      <c r="N64" s="39">
        <v>99350</v>
      </c>
    </row>
    <row r="65" spans="1:15" s="25" customFormat="1" ht="11.25" hidden="1" x14ac:dyDescent="0.2">
      <c r="B65" s="26"/>
      <c r="C65" s="26"/>
      <c r="D65" s="26"/>
      <c r="G65" s="27"/>
      <c r="I65" s="28"/>
      <c r="J65" s="28"/>
    </row>
    <row r="66" spans="1:15" s="1" customFormat="1" ht="14.25" hidden="1" x14ac:dyDescent="0.2">
      <c r="A66" s="25"/>
      <c r="B66" s="25"/>
      <c r="C66" s="25"/>
      <c r="D66" s="26"/>
      <c r="E66" s="25"/>
      <c r="F66" s="50" t="s">
        <v>46</v>
      </c>
      <c r="G66" s="50"/>
      <c r="H66" s="50"/>
      <c r="I66" s="50"/>
      <c r="J66" s="50"/>
      <c r="K66" s="50"/>
      <c r="L66" s="50"/>
      <c r="M66" s="50"/>
      <c r="N66" s="50"/>
    </row>
    <row r="67" spans="1:15" s="1" customFormat="1" ht="14.25" hidden="1" x14ac:dyDescent="0.2">
      <c r="A67" s="25"/>
      <c r="B67" s="25"/>
      <c r="C67" s="25"/>
      <c r="D67" s="36"/>
      <c r="E67" s="25"/>
      <c r="F67" s="25"/>
      <c r="G67" s="29" t="s">
        <v>42</v>
      </c>
      <c r="H67" s="25"/>
      <c r="I67" s="28">
        <f>-I8*0.5</f>
        <v>-183282.2</v>
      </c>
      <c r="J67" s="28">
        <f>-J8*0.5</f>
        <v>-170000</v>
      </c>
      <c r="K67" s="25"/>
      <c r="L67" s="44" t="s">
        <v>42</v>
      </c>
      <c r="N67" s="28">
        <v>-50000</v>
      </c>
    </row>
    <row r="68" spans="1:15" s="25" customFormat="1" ht="11.25" hidden="1" x14ac:dyDescent="0.2">
      <c r="F68" s="37" t="s">
        <v>47</v>
      </c>
      <c r="G68" s="37"/>
      <c r="H68" s="37"/>
      <c r="I68" s="40">
        <f>-I67</f>
        <v>183282.2</v>
      </c>
      <c r="J68" s="40">
        <f>-J67</f>
        <v>170000</v>
      </c>
      <c r="K68" s="37"/>
      <c r="L68" s="37"/>
      <c r="M68" s="37"/>
      <c r="N68" s="40">
        <v>50000</v>
      </c>
    </row>
    <row r="69" spans="1:15" s="25" customFormat="1" ht="11.25" hidden="1" x14ac:dyDescent="0.2">
      <c r="D69" s="26"/>
      <c r="G69" s="27"/>
      <c r="L69" s="35"/>
    </row>
    <row r="70" spans="1:15" s="25" customFormat="1" ht="14.25" hidden="1" x14ac:dyDescent="0.2">
      <c r="D70" s="26"/>
      <c r="G70" s="1"/>
      <c r="K70" s="28"/>
      <c r="N70" s="1"/>
    </row>
    <row r="71" spans="1:15" s="25" customFormat="1" hidden="1" x14ac:dyDescent="0.2">
      <c r="D71" s="26"/>
      <c r="G71" s="16" t="s">
        <v>40</v>
      </c>
      <c r="I71" s="15">
        <f>+I58-I64-I68</f>
        <v>481238.75699999934</v>
      </c>
      <c r="J71" s="15">
        <f>+J58-J64-J68</f>
        <v>12312.526000000275</v>
      </c>
      <c r="K71" s="28"/>
      <c r="N71" s="15">
        <v>-114634</v>
      </c>
    </row>
    <row r="72" spans="1:15" s="25" customFormat="1" ht="14.25" hidden="1" x14ac:dyDescent="0.2">
      <c r="A72" s="1"/>
      <c r="B72" s="1"/>
      <c r="C72" s="1"/>
      <c r="D72" s="30"/>
      <c r="E72" s="1"/>
      <c r="F72" s="1"/>
      <c r="G72" s="1"/>
      <c r="H72" s="1"/>
      <c r="I72" s="1"/>
      <c r="J72" s="1"/>
      <c r="K72" s="28"/>
    </row>
    <row r="73" spans="1:15" ht="14.25" x14ac:dyDescent="0.2">
      <c r="A73" s="1"/>
      <c r="B73" s="1"/>
      <c r="C73" s="1"/>
      <c r="D73" s="30"/>
      <c r="E73" s="1"/>
      <c r="F73" s="1"/>
      <c r="H73" s="1"/>
      <c r="I73" s="41"/>
      <c r="J73" s="1"/>
      <c r="N73" s="46"/>
    </row>
    <row r="75" spans="1:15" x14ac:dyDescent="0.2">
      <c r="B75" s="47">
        <f>+F75*B6</f>
        <v>1792.8</v>
      </c>
      <c r="C75" s="47">
        <f>+F75*C6</f>
        <v>750</v>
      </c>
      <c r="D75" s="2"/>
      <c r="F75" s="42">
        <v>0.03</v>
      </c>
      <c r="G75" s="2" t="s">
        <v>62</v>
      </c>
      <c r="H75" s="42"/>
      <c r="I75" s="47">
        <f>+F75*I6</f>
        <v>15246.449999999999</v>
      </c>
      <c r="J75" s="47">
        <f>+F75*J6</f>
        <v>6000</v>
      </c>
      <c r="K75" s="2"/>
      <c r="N75" s="47">
        <f>+F75*N6</f>
        <v>15000</v>
      </c>
      <c r="O75" s="47"/>
    </row>
    <row r="76" spans="1:15" x14ac:dyDescent="0.2">
      <c r="B76" s="47">
        <f>+B6*F76</f>
        <v>2988</v>
      </c>
      <c r="C76" s="47">
        <f>+F76*C6</f>
        <v>1250</v>
      </c>
      <c r="D76" s="2"/>
      <c r="F76" s="42">
        <v>0.05</v>
      </c>
      <c r="G76" s="2" t="s">
        <v>63</v>
      </c>
      <c r="H76" s="42"/>
      <c r="I76" s="47">
        <f>+F76*I6</f>
        <v>25410.75</v>
      </c>
      <c r="J76" s="47">
        <f>+F76*J6</f>
        <v>10000</v>
      </c>
      <c r="K76" s="2"/>
      <c r="N76" s="47">
        <f>+F76*N6</f>
        <v>25000</v>
      </c>
      <c r="O76" s="47"/>
    </row>
    <row r="77" spans="1:15" x14ac:dyDescent="0.2">
      <c r="B77" s="47">
        <f>73959*F77</f>
        <v>3697.9500000000003</v>
      </c>
      <c r="C77" s="47">
        <f>226822*F77</f>
        <v>11341.1</v>
      </c>
      <c r="D77" s="2"/>
      <c r="F77" s="42">
        <v>0.05</v>
      </c>
      <c r="G77" s="2" t="s">
        <v>61</v>
      </c>
      <c r="H77" s="42"/>
      <c r="I77" s="47">
        <f>(477418+348932.5)*F77</f>
        <v>41317.525000000001</v>
      </c>
      <c r="J77" s="47">
        <f>(497337+740466)*F77</f>
        <v>61890.15</v>
      </c>
      <c r="K77" s="2"/>
      <c r="N77" s="47">
        <f>1377422*F77</f>
        <v>68871.100000000006</v>
      </c>
      <c r="O77" s="47"/>
    </row>
    <row r="78" spans="1:15" x14ac:dyDescent="0.2">
      <c r="B78" s="47">
        <f>+F78*B11</f>
        <v>12055.034</v>
      </c>
      <c r="C78" s="47">
        <f>+F78*C11</f>
        <v>6708.34</v>
      </c>
      <c r="D78" s="2"/>
      <c r="F78" s="42">
        <v>0.2</v>
      </c>
      <c r="G78" s="2" t="s">
        <v>59</v>
      </c>
      <c r="H78" s="42"/>
      <c r="I78" s="47">
        <f>+F78*I11</f>
        <v>50036.904000000002</v>
      </c>
      <c r="J78" s="47">
        <f>+F78*J11</f>
        <v>46093.562000000005</v>
      </c>
      <c r="K78" s="2"/>
      <c r="N78" s="47">
        <f>+F78*N11</f>
        <v>120000</v>
      </c>
      <c r="O78" s="47"/>
    </row>
    <row r="79" spans="1:15" x14ac:dyDescent="0.2">
      <c r="B79" s="47">
        <f>+F79*B8</f>
        <v>53556.800000000003</v>
      </c>
      <c r="C79" s="47">
        <f>+F79*C8</f>
        <v>55000</v>
      </c>
      <c r="D79" s="2"/>
      <c r="F79" s="42">
        <v>0.5</v>
      </c>
      <c r="G79" s="2" t="s">
        <v>60</v>
      </c>
      <c r="H79" s="42"/>
      <c r="I79" s="47">
        <f>+F79*I8</f>
        <v>183282.2</v>
      </c>
      <c r="J79" s="47">
        <f>+F79*J8</f>
        <v>170000</v>
      </c>
      <c r="K79" s="2"/>
      <c r="N79" s="47">
        <f>+F79*N8</f>
        <v>250000</v>
      </c>
      <c r="O79" s="47"/>
    </row>
    <row r="80" spans="1:15" x14ac:dyDescent="0.2">
      <c r="B80" s="47"/>
      <c r="C80" s="47"/>
      <c r="D80" s="2"/>
      <c r="I80" s="47"/>
      <c r="J80" s="47"/>
      <c r="K80" s="2"/>
      <c r="N80" s="47"/>
      <c r="O80" s="47"/>
    </row>
    <row r="81" spans="2:15" x14ac:dyDescent="0.2">
      <c r="B81" s="47">
        <f>SUM(B75:B80)</f>
        <v>74090.584000000003</v>
      </c>
      <c r="C81" s="47">
        <f>SUM(C75:C80)</f>
        <v>75049.440000000002</v>
      </c>
      <c r="D81" s="2"/>
      <c r="I81" s="47">
        <f>SUM(I75:I80)</f>
        <v>315293.82900000003</v>
      </c>
      <c r="J81" s="47">
        <f>SUM(J75:J80)</f>
        <v>293983.712</v>
      </c>
      <c r="K81" s="2"/>
      <c r="N81" s="47">
        <f>SUM(N75:N80)</f>
        <v>478871.1</v>
      </c>
      <c r="O81" s="47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EBA4-A1CC-4EF4-8BAF-15ABD474D81C}">
  <sheetPr>
    <pageSetUpPr fitToPage="1"/>
  </sheetPr>
  <dimension ref="A1:R81"/>
  <sheetViews>
    <sheetView topLeftCell="A42" zoomScale="130" zoomScaleNormal="130" workbookViewId="0">
      <selection activeCell="B75" sqref="B75"/>
    </sheetView>
  </sheetViews>
  <sheetFormatPr defaultColWidth="15.7109375" defaultRowHeight="12" x14ac:dyDescent="0.2"/>
  <cols>
    <col min="1" max="1" width="4.5703125" style="2" bestFit="1" customWidth="1"/>
    <col min="2" max="2" width="13" style="2" customWidth="1"/>
    <col min="3" max="3" width="11" style="2" bestFit="1" customWidth="1"/>
    <col min="4" max="4" width="12.85546875" style="3" bestFit="1" customWidth="1"/>
    <col min="5" max="5" width="8.42578125" style="2" bestFit="1" customWidth="1"/>
    <col min="6" max="6" width="4.42578125" style="2" customWidth="1"/>
    <col min="7" max="7" width="38" style="2" bestFit="1" customWidth="1"/>
    <col min="8" max="8" width="1.7109375" style="2" customWidth="1"/>
    <col min="9" max="9" width="14.140625" style="2" customWidth="1"/>
    <col min="10" max="10" width="14.7109375" style="2" bestFit="1" customWidth="1"/>
    <col min="11" max="11" width="14.28515625" style="3" bestFit="1" customWidth="1"/>
    <col min="12" max="12" width="10.7109375" style="2" bestFit="1" customWidth="1"/>
    <col min="13" max="13" width="2.7109375" style="2" customWidth="1"/>
    <col min="14" max="14" width="14.7109375" style="2" bestFit="1" customWidth="1"/>
    <col min="15" max="15" width="14.28515625" style="3" bestFit="1" customWidth="1"/>
    <col min="16" max="16" width="13.5703125" style="2" bestFit="1" customWidth="1"/>
    <col min="17" max="16384" width="15.7109375" style="2"/>
  </cols>
  <sheetData>
    <row r="1" spans="2:18" s="4" customFormat="1" x14ac:dyDescent="0.2">
      <c r="B1" s="52" t="s">
        <v>69</v>
      </c>
      <c r="C1" s="52"/>
      <c r="D1" s="52"/>
      <c r="E1" s="52"/>
      <c r="F1" s="52"/>
      <c r="G1" s="52"/>
      <c r="H1" s="5"/>
      <c r="I1" s="51" t="s">
        <v>37</v>
      </c>
      <c r="J1" s="51"/>
      <c r="K1" s="51"/>
      <c r="L1" s="51"/>
      <c r="M1" s="51"/>
      <c r="N1" s="51"/>
      <c r="O1" s="51"/>
      <c r="P1" s="51"/>
    </row>
    <row r="2" spans="2:18" x14ac:dyDescent="0.2">
      <c r="B2" s="6"/>
    </row>
    <row r="3" spans="2:18" x14ac:dyDescent="0.2">
      <c r="B3" s="52" t="s">
        <v>13</v>
      </c>
      <c r="C3" s="52"/>
      <c r="D3" s="52"/>
      <c r="E3" s="52"/>
      <c r="I3" s="52" t="s">
        <v>64</v>
      </c>
      <c r="J3" s="52"/>
      <c r="K3" s="52"/>
      <c r="L3" s="52"/>
      <c r="M3" s="52"/>
      <c r="N3" s="52"/>
      <c r="O3" s="52"/>
      <c r="P3" s="52"/>
    </row>
    <row r="4" spans="2:18" s="4" customFormat="1" ht="36" x14ac:dyDescent="0.2">
      <c r="B4" s="7">
        <v>45565</v>
      </c>
      <c r="C4" s="8" t="s">
        <v>0</v>
      </c>
      <c r="D4" s="9" t="s">
        <v>1</v>
      </c>
      <c r="E4" s="10" t="s">
        <v>10</v>
      </c>
      <c r="F4" s="11"/>
      <c r="G4" s="12" t="s">
        <v>38</v>
      </c>
      <c r="H4" s="11"/>
      <c r="I4" s="48" t="s">
        <v>67</v>
      </c>
      <c r="J4" s="10" t="s">
        <v>68</v>
      </c>
      <c r="K4" s="9" t="s">
        <v>1</v>
      </c>
      <c r="L4" s="10" t="s">
        <v>55</v>
      </c>
      <c r="M4" s="32"/>
      <c r="N4" s="10" t="s">
        <v>12</v>
      </c>
      <c r="O4" s="9" t="s">
        <v>1</v>
      </c>
      <c r="P4" s="10" t="s">
        <v>28</v>
      </c>
    </row>
    <row r="6" spans="2:18" x14ac:dyDescent="0.2">
      <c r="B6" s="13">
        <v>59760</v>
      </c>
      <c r="C6" s="13">
        <v>25000</v>
      </c>
      <c r="D6" s="13">
        <f>B6-C6</f>
        <v>34760</v>
      </c>
      <c r="E6" s="14">
        <f>+B6/C6</f>
        <v>2.3904000000000001</v>
      </c>
      <c r="G6" s="2" t="s">
        <v>2</v>
      </c>
      <c r="H6" s="2" t="s">
        <v>9</v>
      </c>
      <c r="I6" s="13">
        <v>508215</v>
      </c>
      <c r="J6" s="13">
        <v>200000</v>
      </c>
      <c r="K6" s="13">
        <f>I6-J6</f>
        <v>308215</v>
      </c>
      <c r="L6" s="14">
        <f>+I6/J6</f>
        <v>2.5410750000000002</v>
      </c>
      <c r="M6" s="14"/>
      <c r="N6" s="13">
        <v>500000</v>
      </c>
      <c r="O6" s="13">
        <f>I6-N6</f>
        <v>8215</v>
      </c>
      <c r="P6" s="14">
        <f>+I6/N6</f>
        <v>1.0164299999999999</v>
      </c>
    </row>
    <row r="7" spans="2:18" x14ac:dyDescent="0.2">
      <c r="B7" s="13">
        <v>19693.79</v>
      </c>
      <c r="C7" s="13">
        <v>15000</v>
      </c>
      <c r="D7" s="13">
        <f>B7-C7</f>
        <v>4693.7900000000009</v>
      </c>
      <c r="E7" s="14">
        <v>0</v>
      </c>
      <c r="G7" s="2" t="s">
        <v>3</v>
      </c>
      <c r="I7" s="13">
        <v>98048.1</v>
      </c>
      <c r="J7" s="13">
        <v>82500</v>
      </c>
      <c r="K7" s="13">
        <f>I7-J7</f>
        <v>15548.100000000006</v>
      </c>
      <c r="L7" s="14">
        <f>+I7/J7</f>
        <v>1.1884618181818183</v>
      </c>
      <c r="M7" s="14"/>
      <c r="N7" s="13">
        <v>750000</v>
      </c>
      <c r="O7" s="13">
        <f>I7-N7</f>
        <v>-651951.9</v>
      </c>
      <c r="P7" s="14">
        <f>+I7/N7</f>
        <v>0.13073080000000001</v>
      </c>
    </row>
    <row r="8" spans="2:18" x14ac:dyDescent="0.2">
      <c r="B8" s="13">
        <v>107113.60000000001</v>
      </c>
      <c r="C8" s="13">
        <v>110000</v>
      </c>
      <c r="D8" s="13">
        <f>B8-C8</f>
        <v>-2886.3999999999942</v>
      </c>
      <c r="E8" s="14">
        <f>+B8/C8</f>
        <v>0.97376000000000007</v>
      </c>
      <c r="G8" s="2" t="s">
        <v>41</v>
      </c>
      <c r="I8" s="13">
        <v>366564.4</v>
      </c>
      <c r="J8" s="13">
        <v>340000</v>
      </c>
      <c r="K8" s="13">
        <f>I8-J8</f>
        <v>26564.400000000023</v>
      </c>
      <c r="L8" s="14">
        <f>+I8/J8</f>
        <v>1.0781305882352943</v>
      </c>
      <c r="M8" s="14"/>
      <c r="N8" s="13">
        <v>500000</v>
      </c>
      <c r="O8" s="13">
        <f>I8-N8</f>
        <v>-133435.59999999998</v>
      </c>
      <c r="P8" s="14">
        <f>+I8/N8</f>
        <v>0.73312880000000002</v>
      </c>
    </row>
    <row r="9" spans="2:18" x14ac:dyDescent="0.2">
      <c r="B9" s="13">
        <v>9037</v>
      </c>
      <c r="C9" s="13">
        <v>13161.24</v>
      </c>
      <c r="D9" s="13">
        <f>B9-C9</f>
        <v>-4124.24</v>
      </c>
      <c r="E9" s="14">
        <f>+B9/C9</f>
        <v>0.68663742929997473</v>
      </c>
      <c r="G9" s="2" t="s">
        <v>4</v>
      </c>
      <c r="I9" s="13">
        <v>417680</v>
      </c>
      <c r="J9" s="13">
        <v>420059.62</v>
      </c>
      <c r="K9" s="13">
        <f>I9-J9</f>
        <v>-2379.6199999999953</v>
      </c>
      <c r="L9" s="14">
        <f>+I9/J9</f>
        <v>0.99433504224947877</v>
      </c>
      <c r="M9" s="14"/>
      <c r="N9" s="13">
        <v>522826</v>
      </c>
      <c r="O9" s="13">
        <f>I9-N9</f>
        <v>-105146</v>
      </c>
      <c r="P9" s="14">
        <f>+I9/N9</f>
        <v>0.79888911416035158</v>
      </c>
    </row>
    <row r="10" spans="2:18" x14ac:dyDescent="0.2">
      <c r="B10" s="13">
        <v>384348.46</v>
      </c>
      <c r="C10" s="13">
        <v>341822</v>
      </c>
      <c r="D10" s="13">
        <f>B10-C10</f>
        <v>42526.460000000021</v>
      </c>
      <c r="E10" s="14">
        <f>+B10/C10</f>
        <v>1.1244111262586962</v>
      </c>
      <c r="G10" s="2" t="s">
        <v>27</v>
      </c>
      <c r="I10" s="13">
        <v>1903271.88</v>
      </c>
      <c r="J10" s="13">
        <v>1752803</v>
      </c>
      <c r="K10" s="13">
        <f>I10-J10</f>
        <v>150468.87999999989</v>
      </c>
      <c r="L10" s="14">
        <f>+I10/J10</f>
        <v>1.085844718430993</v>
      </c>
      <c r="M10" s="14"/>
      <c r="N10" s="13">
        <v>1916679</v>
      </c>
      <c r="O10" s="13">
        <f>I10-N10</f>
        <v>-13407.120000000112</v>
      </c>
      <c r="P10" s="14">
        <f>+I10/N10</f>
        <v>0.99300502588070294</v>
      </c>
    </row>
    <row r="11" spans="2:18" x14ac:dyDescent="0.2">
      <c r="B11" s="13">
        <v>60275.17</v>
      </c>
      <c r="C11" s="13">
        <v>33541.699999999997</v>
      </c>
      <c r="D11" s="13">
        <f>B11-C11</f>
        <v>26733.47</v>
      </c>
      <c r="E11" s="14">
        <f>+B11/C11</f>
        <v>1.7970219160030649</v>
      </c>
      <c r="G11" s="2" t="s">
        <v>11</v>
      </c>
      <c r="I11" s="13">
        <v>250184.52</v>
      </c>
      <c r="J11" s="13">
        <v>230467.81</v>
      </c>
      <c r="K11" s="13">
        <f>I11-J11</f>
        <v>19716.709999999992</v>
      </c>
      <c r="L11" s="14">
        <f>+I11/J11</f>
        <v>1.0855508194398167</v>
      </c>
      <c r="M11" s="14"/>
      <c r="N11" s="13">
        <v>600000</v>
      </c>
      <c r="O11" s="13">
        <f>I11-N11</f>
        <v>-349815.48</v>
      </c>
      <c r="P11" s="14">
        <f>+I11/N11</f>
        <v>0.41697419999999996</v>
      </c>
    </row>
    <row r="12" spans="2:18" x14ac:dyDescent="0.2">
      <c r="B12" s="13">
        <v>62345.1</v>
      </c>
      <c r="C12" s="13">
        <v>65071.22</v>
      </c>
      <c r="D12" s="13">
        <f>B12-C12</f>
        <v>-2726.1200000000026</v>
      </c>
      <c r="E12" s="14">
        <f>+B12/C12</f>
        <v>0.95810559568423637</v>
      </c>
      <c r="G12" s="2" t="s">
        <v>5</v>
      </c>
      <c r="I12" s="13">
        <v>314363.11</v>
      </c>
      <c r="J12" s="13">
        <v>274726.94</v>
      </c>
      <c r="K12" s="13">
        <f>I12-J12</f>
        <v>39636.169999999984</v>
      </c>
      <c r="L12" s="14">
        <f>+I12/J12</f>
        <v>1.1442747842639676</v>
      </c>
      <c r="M12" s="14"/>
      <c r="N12" s="13">
        <v>378500</v>
      </c>
      <c r="O12" s="13">
        <f>I12-N12</f>
        <v>-64136.890000000014</v>
      </c>
      <c r="P12" s="14">
        <f>+I12/N12</f>
        <v>0.83054982826948476</v>
      </c>
    </row>
    <row r="13" spans="2:18" x14ac:dyDescent="0.2">
      <c r="B13" s="13">
        <f>781441.53-702573</f>
        <v>78868.530000000028</v>
      </c>
      <c r="C13" s="13">
        <f>679844.37-603596</f>
        <v>76248.37</v>
      </c>
      <c r="D13" s="13">
        <f>B13-C13</f>
        <v>2620.1600000000326</v>
      </c>
      <c r="E13" s="14">
        <f>+B13/C13</f>
        <v>1.0343634886883488</v>
      </c>
      <c r="G13" s="2" t="s">
        <v>6</v>
      </c>
      <c r="I13" s="13">
        <f>4507322.43-3558327</f>
        <v>948995.4299999997</v>
      </c>
      <c r="J13" s="13">
        <f>3822476.49-3300557</f>
        <v>521919.49000000022</v>
      </c>
      <c r="K13" s="13">
        <f>I13-J13</f>
        <v>427075.93999999948</v>
      </c>
      <c r="L13" s="14">
        <f>+I13/J13</f>
        <v>1.8182793480274118</v>
      </c>
      <c r="M13" s="14"/>
      <c r="N13" s="13">
        <f>8092005-5168005</f>
        <v>2924000</v>
      </c>
      <c r="O13" s="13">
        <f>I13-N13</f>
        <v>-1975004.5700000003</v>
      </c>
      <c r="P13" s="14">
        <f>+I13/N13</f>
        <v>0.32455384062927484</v>
      </c>
    </row>
    <row r="14" spans="2:18" x14ac:dyDescent="0.2">
      <c r="B14" s="15">
        <f>SUM(B6:B13)</f>
        <v>781441.65000000014</v>
      </c>
      <c r="C14" s="15">
        <f>SUM(C6:C13)</f>
        <v>679844.52999999991</v>
      </c>
      <c r="D14" s="15">
        <f>SUM(D6:D13)</f>
        <v>101597.12000000005</v>
      </c>
      <c r="E14" s="14">
        <f>+B14/C14</f>
        <v>1.1494416966184904</v>
      </c>
      <c r="F14" s="4"/>
      <c r="G14" s="16" t="s">
        <v>39</v>
      </c>
      <c r="H14" s="4"/>
      <c r="I14" s="15">
        <f>SUM(I6:I13)</f>
        <v>4807322.4399999995</v>
      </c>
      <c r="J14" s="15">
        <f>SUM(J6:J13)</f>
        <v>3822476.8600000003</v>
      </c>
      <c r="K14" s="15">
        <f>SUM(K6:K13)</f>
        <v>984845.57999999938</v>
      </c>
      <c r="L14" s="14">
        <f>+I14/J14</f>
        <v>1.2576459233294088</v>
      </c>
      <c r="M14" s="14"/>
      <c r="N14" s="15">
        <f>SUM(N6:N13)</f>
        <v>8092005</v>
      </c>
      <c r="O14" s="15">
        <f>SUM(O6:O13)</f>
        <v>-3284682.5600000005</v>
      </c>
      <c r="P14" s="14">
        <f>+I14/N14</f>
        <v>0.59408297943463939</v>
      </c>
      <c r="R14" s="43"/>
    </row>
    <row r="15" spans="2:18" x14ac:dyDescent="0.2">
      <c r="E15" s="14"/>
      <c r="L15" s="17"/>
      <c r="M15" s="17"/>
      <c r="P15" s="17"/>
      <c r="R15" s="43"/>
    </row>
    <row r="16" spans="2:18" s="4" customFormat="1" ht="36" x14ac:dyDescent="0.2">
      <c r="B16" s="18">
        <f>+B4</f>
        <v>45565</v>
      </c>
      <c r="C16" s="19" t="s">
        <v>0</v>
      </c>
      <c r="D16" s="20" t="s">
        <v>1</v>
      </c>
      <c r="E16" s="21"/>
      <c r="G16" s="12" t="s">
        <v>7</v>
      </c>
      <c r="I16" s="49" t="str">
        <f>I4</f>
        <v>Actual April - September 2024</v>
      </c>
      <c r="J16" s="10" t="str">
        <f>J4</f>
        <v>Budgeted April - September 2024</v>
      </c>
      <c r="K16" s="9" t="s">
        <v>1</v>
      </c>
      <c r="L16" s="10" t="s">
        <v>10</v>
      </c>
      <c r="M16" s="32"/>
      <c r="N16" s="10" t="s">
        <v>12</v>
      </c>
      <c r="O16" s="9" t="s">
        <v>1</v>
      </c>
      <c r="P16" s="10" t="s">
        <v>28</v>
      </c>
      <c r="R16" s="43"/>
    </row>
    <row r="17" spans="1:18" x14ac:dyDescent="0.2">
      <c r="E17" s="14"/>
      <c r="L17" s="17"/>
      <c r="M17" s="17"/>
      <c r="P17" s="17"/>
      <c r="R17" s="43"/>
    </row>
    <row r="18" spans="1:18" x14ac:dyDescent="0.2">
      <c r="B18" s="13">
        <v>55908.46</v>
      </c>
      <c r="C18" s="13">
        <v>29500.01</v>
      </c>
      <c r="D18" s="13">
        <f>B18-C18</f>
        <v>26408.45</v>
      </c>
      <c r="E18" s="14">
        <f>+B18/C18</f>
        <v>1.8952013914571555</v>
      </c>
      <c r="G18" s="2" t="s">
        <v>14</v>
      </c>
      <c r="I18" s="13">
        <v>430413.59</v>
      </c>
      <c r="J18" s="13">
        <v>241749.94</v>
      </c>
      <c r="K18" s="13">
        <f>I18-J18</f>
        <v>188663.65000000002</v>
      </c>
      <c r="L18" s="14">
        <f>+I18/J18</f>
        <v>1.7804082598738185</v>
      </c>
      <c r="M18" s="14"/>
      <c r="N18" s="13">
        <v>461000</v>
      </c>
      <c r="O18" s="13">
        <f>I18-N18</f>
        <v>-30586.409999999974</v>
      </c>
      <c r="P18" s="14">
        <f>+I18/N18</f>
        <v>0.93365203904555316</v>
      </c>
      <c r="R18" s="43"/>
    </row>
    <row r="19" spans="1:18" x14ac:dyDescent="0.2">
      <c r="B19" s="13">
        <v>76593.509999999995</v>
      </c>
      <c r="C19" s="13">
        <v>36916.67</v>
      </c>
      <c r="D19" s="13">
        <f>B19-C19</f>
        <v>39676.839999999997</v>
      </c>
      <c r="E19" s="14">
        <f>+B19/C19</f>
        <v>2.0747675778990899</v>
      </c>
      <c r="G19" s="2" t="s">
        <v>15</v>
      </c>
      <c r="I19" s="13">
        <v>199816.95</v>
      </c>
      <c r="J19" s="13">
        <v>221500.02</v>
      </c>
      <c r="K19" s="13">
        <f>I19-J19</f>
        <v>-21683.069999999978</v>
      </c>
      <c r="L19" s="14">
        <f>+I19/J19</f>
        <v>0.9021080449563843</v>
      </c>
      <c r="M19" s="14"/>
      <c r="N19" s="13">
        <v>2408000</v>
      </c>
      <c r="O19" s="13">
        <f>I19-N19</f>
        <v>-2208183.0499999998</v>
      </c>
      <c r="P19" s="14">
        <f>+I19/N19</f>
        <v>8.2980460963455155E-2</v>
      </c>
      <c r="R19" s="43"/>
    </row>
    <row r="20" spans="1:18" s="4" customFormat="1" x14ac:dyDescent="0.2">
      <c r="B20" s="22">
        <f>SUM(B18:B19)</f>
        <v>132501.97</v>
      </c>
      <c r="C20" s="22">
        <f>SUM(C18:C19)</f>
        <v>66416.679999999993</v>
      </c>
      <c r="D20" s="22">
        <f>+B20-C20</f>
        <v>66085.290000000008</v>
      </c>
      <c r="E20" s="14">
        <f>+B20/C20</f>
        <v>1.995010440148469</v>
      </c>
      <c r="G20" s="4" t="s">
        <v>17</v>
      </c>
      <c r="I20" s="22">
        <f>SUM(I18:I19)</f>
        <v>630230.54</v>
      </c>
      <c r="J20" s="22">
        <f>SUM(J18:J19)</f>
        <v>463249.95999999996</v>
      </c>
      <c r="K20" s="22">
        <f>SUM(K18:K19)</f>
        <v>166980.58000000005</v>
      </c>
      <c r="L20" s="14">
        <f>+I20/J20</f>
        <v>1.3604546020899819</v>
      </c>
      <c r="M20" s="14"/>
      <c r="N20" s="22">
        <f>SUM(N18:N19)</f>
        <v>2869000</v>
      </c>
      <c r="O20" s="22">
        <f>SUM(O18:O19)</f>
        <v>-2238769.46</v>
      </c>
      <c r="P20" s="14">
        <f>+I20/N20</f>
        <v>0.21966906239107703</v>
      </c>
      <c r="R20" s="43"/>
    </row>
    <row r="21" spans="1:18" x14ac:dyDescent="0.2">
      <c r="B21" s="3"/>
      <c r="C21" s="3"/>
      <c r="E21" s="14"/>
      <c r="I21" s="3"/>
      <c r="J21" s="3"/>
      <c r="L21" s="17"/>
      <c r="M21" s="17"/>
      <c r="N21" s="3"/>
      <c r="P21" s="17"/>
      <c r="R21" s="43"/>
    </row>
    <row r="22" spans="1:18" x14ac:dyDescent="0.2">
      <c r="B22" s="13">
        <v>38947.43</v>
      </c>
      <c r="C22" s="13">
        <v>38124.1</v>
      </c>
      <c r="D22" s="13">
        <f>B22-C22</f>
        <v>823.33000000000175</v>
      </c>
      <c r="E22" s="14">
        <f>+B22/C22</f>
        <v>1.0215960507920188</v>
      </c>
      <c r="G22" s="2" t="s">
        <v>29</v>
      </c>
      <c r="I22" s="13">
        <v>212346.39</v>
      </c>
      <c r="J22" s="13">
        <v>244766.02</v>
      </c>
      <c r="K22" s="13">
        <f>I22-J22</f>
        <v>-32419.629999999976</v>
      </c>
      <c r="L22" s="14">
        <f>+I22/J22</f>
        <v>0.86754848569258114</v>
      </c>
      <c r="M22" s="14"/>
      <c r="N22" s="13">
        <v>489536</v>
      </c>
      <c r="O22" s="13">
        <f>I22-N22</f>
        <v>-277189.61</v>
      </c>
      <c r="P22" s="14">
        <f>+I22/N22</f>
        <v>0.43377073391946663</v>
      </c>
      <c r="R22" s="43"/>
    </row>
    <row r="23" spans="1:18" x14ac:dyDescent="0.2">
      <c r="B23" s="13">
        <v>592.66</v>
      </c>
      <c r="C23" s="13">
        <v>606.79999999999995</v>
      </c>
      <c r="D23" s="13">
        <f>B23-C23</f>
        <v>-14.139999999999986</v>
      </c>
      <c r="E23" s="14">
        <f>+B23/C23</f>
        <v>0.97669742913645352</v>
      </c>
      <c r="G23" s="2" t="s">
        <v>30</v>
      </c>
      <c r="I23" s="13">
        <v>3426.66</v>
      </c>
      <c r="J23" s="13">
        <v>5757.5</v>
      </c>
      <c r="K23" s="13">
        <f>I23-J23</f>
        <v>-2330.84</v>
      </c>
      <c r="L23" s="14">
        <f>+I23/J23</f>
        <v>0.59516456795484152</v>
      </c>
      <c r="M23" s="14"/>
      <c r="N23" s="13">
        <v>5465</v>
      </c>
      <c r="O23" s="13">
        <f>I23-N23</f>
        <v>-2038.3400000000001</v>
      </c>
      <c r="P23" s="14">
        <f>+I23/N23</f>
        <v>0.6270192131747484</v>
      </c>
      <c r="R23" s="43"/>
    </row>
    <row r="24" spans="1:18" x14ac:dyDescent="0.2">
      <c r="B24" s="13">
        <f>71256.82-39540</f>
        <v>31716.820000000007</v>
      </c>
      <c r="C24" s="13">
        <f>63851-38731</f>
        <v>25120</v>
      </c>
      <c r="D24" s="13">
        <f>B24-C24</f>
        <v>6596.820000000007</v>
      </c>
      <c r="E24" s="14">
        <f>+B24/C24</f>
        <v>1.2626122611464972</v>
      </c>
      <c r="G24" s="2" t="s">
        <v>16</v>
      </c>
      <c r="I24" s="13">
        <f>497462.38-215773</f>
        <v>281689.38</v>
      </c>
      <c r="J24" s="13">
        <f>401147.52-250524</f>
        <v>150623.52000000002</v>
      </c>
      <c r="K24" s="13">
        <f>I24-J24</f>
        <v>131065.85999999999</v>
      </c>
      <c r="L24" s="14">
        <f>+I24/J24</f>
        <v>1.8701553382897969</v>
      </c>
      <c r="M24" s="14"/>
      <c r="N24" s="13">
        <f>796901-495001</f>
        <v>301900</v>
      </c>
      <c r="O24" s="13">
        <f>I24-N24</f>
        <v>-20210.619999999995</v>
      </c>
      <c r="P24" s="14">
        <f>+I24/N24</f>
        <v>0.93305525008280887</v>
      </c>
      <c r="R24" s="43"/>
    </row>
    <row r="25" spans="1:18" s="4" customFormat="1" x14ac:dyDescent="0.2">
      <c r="B25" s="22">
        <f>SUM(B22:B24)</f>
        <v>71256.91</v>
      </c>
      <c r="C25" s="22">
        <f>SUM(C22:C24)</f>
        <v>63850.9</v>
      </c>
      <c r="D25" s="22">
        <f>+B25-C25</f>
        <v>7406.010000000002</v>
      </c>
      <c r="E25" s="14">
        <f>+B25/C25</f>
        <v>1.1159891246638654</v>
      </c>
      <c r="G25" s="4" t="s">
        <v>18</v>
      </c>
      <c r="I25" s="22">
        <f>SUM(I22:I24)</f>
        <v>497462.43000000005</v>
      </c>
      <c r="J25" s="22">
        <f>SUM(J22:J24)</f>
        <v>401147.04000000004</v>
      </c>
      <c r="K25" s="22">
        <f>SUM(K22:K24)</f>
        <v>96315.390000000014</v>
      </c>
      <c r="L25" s="14">
        <f>+I25/J25</f>
        <v>1.2400999643422521</v>
      </c>
      <c r="M25" s="14"/>
      <c r="N25" s="22">
        <f>SUM(N22:N24)</f>
        <v>796901</v>
      </c>
      <c r="O25" s="22">
        <f>SUM(O22:O24)</f>
        <v>-299438.57</v>
      </c>
      <c r="P25" s="14">
        <f>+I25/N25</f>
        <v>0.62424621126087187</v>
      </c>
      <c r="R25" s="43"/>
    </row>
    <row r="26" spans="1:18" x14ac:dyDescent="0.2">
      <c r="B26" s="3"/>
      <c r="C26" s="3"/>
      <c r="E26" s="14"/>
      <c r="I26" s="3"/>
      <c r="J26" s="3"/>
      <c r="L26" s="17"/>
      <c r="M26" s="17"/>
      <c r="N26" s="3"/>
      <c r="P26" s="17"/>
      <c r="R26" s="43"/>
    </row>
    <row r="27" spans="1:18" x14ac:dyDescent="0.2">
      <c r="A27" s="2" t="s">
        <v>9</v>
      </c>
      <c r="B27" s="13">
        <v>174924.53</v>
      </c>
      <c r="C27" s="13">
        <v>147714.92000000001</v>
      </c>
      <c r="D27" s="13">
        <f>B27-C27</f>
        <v>27209.609999999986</v>
      </c>
      <c r="E27" s="14">
        <f>+B27/C27</f>
        <v>1.1842035320467288</v>
      </c>
      <c r="G27" s="2" t="s">
        <v>31</v>
      </c>
      <c r="I27" s="13">
        <v>973257.52</v>
      </c>
      <c r="J27" s="13">
        <v>918245</v>
      </c>
      <c r="K27" s="13">
        <f>I27-J27</f>
        <v>55012.520000000019</v>
      </c>
      <c r="L27" s="14">
        <f>+I27/J27</f>
        <v>1.0599105031881471</v>
      </c>
      <c r="M27" s="14"/>
      <c r="N27" s="13">
        <v>1803468</v>
      </c>
      <c r="O27" s="13">
        <f>I27-N27</f>
        <v>-830210.48</v>
      </c>
      <c r="P27" s="14">
        <f>+I27/N27</f>
        <v>0.53965887944781943</v>
      </c>
      <c r="R27" s="43"/>
    </row>
    <row r="28" spans="1:18" x14ac:dyDescent="0.2">
      <c r="B28" s="13">
        <v>37800.93</v>
      </c>
      <c r="C28" s="13">
        <v>38091.410000000003</v>
      </c>
      <c r="D28" s="13">
        <f>B28-C28</f>
        <v>-290.4800000000032</v>
      </c>
      <c r="E28" s="14">
        <f>+B28/C28</f>
        <v>0.99237413369575966</v>
      </c>
      <c r="G28" s="2" t="s">
        <v>32</v>
      </c>
      <c r="I28" s="13">
        <v>241405.32</v>
      </c>
      <c r="J28" s="13">
        <v>242148.5</v>
      </c>
      <c r="K28" s="13">
        <f>I28-J28</f>
        <v>-743.17999999999302</v>
      </c>
      <c r="L28" s="14">
        <f>+I28/J28</f>
        <v>0.99693089158099268</v>
      </c>
      <c r="M28" s="14"/>
      <c r="N28" s="13">
        <v>484297</v>
      </c>
      <c r="O28" s="13">
        <f>I28-N28</f>
        <v>-242891.68</v>
      </c>
      <c r="P28" s="14">
        <f>+I28/N28</f>
        <v>0.49846544579049634</v>
      </c>
      <c r="R28" s="43"/>
    </row>
    <row r="29" spans="1:18" x14ac:dyDescent="0.2">
      <c r="B29" s="13">
        <v>19689.03</v>
      </c>
      <c r="C29" s="13">
        <v>30050.83</v>
      </c>
      <c r="D29" s="13">
        <f>B29-C29</f>
        <v>-10361.800000000003</v>
      </c>
      <c r="E29" s="14">
        <f>+B29/C29</f>
        <v>0.65519088823836136</v>
      </c>
      <c r="G29" s="2" t="s">
        <v>33</v>
      </c>
      <c r="I29" s="13">
        <v>186388.13</v>
      </c>
      <c r="J29" s="13">
        <v>188304.93</v>
      </c>
      <c r="K29" s="13">
        <f>I29-J29</f>
        <v>-1916.7999999999884</v>
      </c>
      <c r="L29" s="14">
        <f>+I29/J29</f>
        <v>0.98982076571229449</v>
      </c>
      <c r="M29" s="14"/>
      <c r="N29" s="13">
        <v>221059.91</v>
      </c>
      <c r="O29" s="13">
        <f>I29-N29</f>
        <v>-34671.78</v>
      </c>
      <c r="P29" s="14">
        <f>+I29/N29</f>
        <v>0.84315663568305987</v>
      </c>
      <c r="R29" s="43"/>
    </row>
    <row r="30" spans="1:18" x14ac:dyDescent="0.2">
      <c r="B30" s="13">
        <f>357651.89-232414</f>
        <v>125237.89000000001</v>
      </c>
      <c r="C30" s="13">
        <f>269732.16-215857</f>
        <v>53875.159999999974</v>
      </c>
      <c r="D30" s="13">
        <f>B30-C30</f>
        <v>71362.73000000004</v>
      </c>
      <c r="E30" s="14">
        <f>+B30/C30</f>
        <v>2.3245943028289862</v>
      </c>
      <c r="G30" s="2" t="s">
        <v>20</v>
      </c>
      <c r="I30" s="13">
        <f>1908597.22-1401051</f>
        <v>507546.22</v>
      </c>
      <c r="J30" s="13">
        <f>1671948.43-1348698</f>
        <v>323250.42999999993</v>
      </c>
      <c r="K30" s="13">
        <f>I30-J30</f>
        <v>184295.79000000004</v>
      </c>
      <c r="L30" s="14">
        <f>+I30/J30</f>
        <v>1.570133162699892</v>
      </c>
      <c r="M30" s="14"/>
      <c r="N30" s="13">
        <f>3155324.91-2508825</f>
        <v>646499.91000000015</v>
      </c>
      <c r="O30" s="13">
        <f>I30-N30</f>
        <v>-138953.69000000018</v>
      </c>
      <c r="P30" s="14">
        <f>+I30/N30</f>
        <v>0.78506773496689253</v>
      </c>
      <c r="R30" s="43"/>
    </row>
    <row r="31" spans="1:18" s="4" customFormat="1" x14ac:dyDescent="0.2">
      <c r="B31" s="22">
        <f>SUM(B27:B30)</f>
        <v>357652.38</v>
      </c>
      <c r="C31" s="22">
        <f>SUM(C27:C30)</f>
        <v>269732.32</v>
      </c>
      <c r="D31" s="22">
        <f>+B31-C31</f>
        <v>87920.06</v>
      </c>
      <c r="E31" s="14">
        <f>+B31/C31</f>
        <v>1.325953004074558</v>
      </c>
      <c r="G31" s="4" t="s">
        <v>19</v>
      </c>
      <c r="I31" s="22">
        <f>SUM(I27:I30)</f>
        <v>1908597.1900000002</v>
      </c>
      <c r="J31" s="22">
        <f>SUM(J27:J30)</f>
        <v>1671948.8599999999</v>
      </c>
      <c r="K31" s="22">
        <f>SUM(K27:K30)</f>
        <v>236648.33000000007</v>
      </c>
      <c r="L31" s="14">
        <f>+I31/J31</f>
        <v>1.1415404117085257</v>
      </c>
      <c r="M31" s="14"/>
      <c r="N31" s="22">
        <f>SUM(N27:N30)</f>
        <v>3155324.8200000003</v>
      </c>
      <c r="O31" s="22">
        <f>SUM(O27:O30)</f>
        <v>-1246727.6300000001</v>
      </c>
      <c r="P31" s="14">
        <f>+I31/N31</f>
        <v>0.60488136685718463</v>
      </c>
      <c r="R31" s="43"/>
    </row>
    <row r="32" spans="1:18" x14ac:dyDescent="0.2">
      <c r="B32" s="3"/>
      <c r="C32" s="3"/>
      <c r="E32" s="14"/>
      <c r="I32" s="3"/>
      <c r="J32" s="3"/>
      <c r="L32" s="17"/>
      <c r="M32" s="17"/>
      <c r="N32" s="3"/>
      <c r="P32" s="17"/>
      <c r="R32" s="43"/>
    </row>
    <row r="33" spans="2:18" x14ac:dyDescent="0.2">
      <c r="B33" s="13">
        <v>16132.62</v>
      </c>
      <c r="C33" s="13">
        <v>13340.02</v>
      </c>
      <c r="D33" s="13">
        <f>B33-C33</f>
        <v>2792.6000000000004</v>
      </c>
      <c r="E33" s="14">
        <f>+B33/C33</f>
        <v>1.2093400159819852</v>
      </c>
      <c r="G33" s="2" t="s">
        <v>34</v>
      </c>
      <c r="I33" s="13">
        <v>89965</v>
      </c>
      <c r="J33" s="13">
        <v>85463</v>
      </c>
      <c r="K33" s="13">
        <f>I33-J33</f>
        <v>4502</v>
      </c>
      <c r="L33" s="14">
        <f>+I33/J33</f>
        <v>1.0526777669868832</v>
      </c>
      <c r="M33" s="14"/>
      <c r="N33" s="13">
        <v>169926</v>
      </c>
      <c r="O33" s="13">
        <f>I33-N33</f>
        <v>-79961</v>
      </c>
      <c r="P33" s="14">
        <f>+I33/N33</f>
        <v>0.52943634287866481</v>
      </c>
      <c r="R33" s="43"/>
    </row>
    <row r="34" spans="2:18" x14ac:dyDescent="0.2">
      <c r="B34" s="13">
        <v>1950.15</v>
      </c>
      <c r="C34" s="13">
        <v>2180</v>
      </c>
      <c r="D34" s="13">
        <f>B34-C34</f>
        <v>-229.84999999999991</v>
      </c>
      <c r="E34" s="14">
        <f>+B34/C34</f>
        <v>0.89456422018348625</v>
      </c>
      <c r="G34" s="2" t="s">
        <v>65</v>
      </c>
      <c r="I34" s="13">
        <v>11242.56</v>
      </c>
      <c r="J34" s="13">
        <v>10900</v>
      </c>
      <c r="K34" s="13">
        <f>I34-J34</f>
        <v>342.55999999999949</v>
      </c>
      <c r="L34" s="14">
        <f>+I34/J34</f>
        <v>1.0314275229357797</v>
      </c>
      <c r="M34" s="14"/>
      <c r="N34" s="13">
        <v>10900</v>
      </c>
      <c r="O34" s="13">
        <f>I34-N34</f>
        <v>342.55999999999949</v>
      </c>
      <c r="P34" s="14">
        <f>+I34/N34</f>
        <v>1.0314275229357797</v>
      </c>
      <c r="R34" s="43"/>
    </row>
    <row r="35" spans="2:18" x14ac:dyDescent="0.2">
      <c r="B35" s="13">
        <f>19816.75-16133</f>
        <v>3683.75</v>
      </c>
      <c r="C35" s="13">
        <f>17324.18-13340</f>
        <v>3984.1800000000003</v>
      </c>
      <c r="D35" s="13">
        <f>B35-C35</f>
        <v>-300.43000000000029</v>
      </c>
      <c r="E35" s="14">
        <f>+B35/C35</f>
        <v>0.92459427033919139</v>
      </c>
      <c r="G35" s="2" t="s">
        <v>21</v>
      </c>
      <c r="I35" s="13">
        <f>118959.35-89965</f>
        <v>28994.350000000006</v>
      </c>
      <c r="J35" s="13">
        <f>113188.04-85463</f>
        <v>27725.039999999994</v>
      </c>
      <c r="K35" s="13">
        <f>I35-J35</f>
        <v>1269.3100000000122</v>
      </c>
      <c r="L35" s="14">
        <f>+I35/J35</f>
        <v>1.0457820800258544</v>
      </c>
      <c r="M35" s="14"/>
      <c r="N35" s="13">
        <f>208476-180826</f>
        <v>27650</v>
      </c>
      <c r="O35" s="13">
        <f>I35-N35</f>
        <v>1344.3500000000058</v>
      </c>
      <c r="P35" s="14">
        <f>+I35/N35</f>
        <v>1.0486202531645572</v>
      </c>
      <c r="R35" s="43"/>
    </row>
    <row r="36" spans="2:18" s="4" customFormat="1" x14ac:dyDescent="0.2">
      <c r="B36" s="22">
        <f>B35+B33</f>
        <v>19816.370000000003</v>
      </c>
      <c r="C36" s="22">
        <f>C35+C33</f>
        <v>17324.2</v>
      </c>
      <c r="D36" s="22">
        <f>+B36-C36</f>
        <v>2492.1700000000019</v>
      </c>
      <c r="E36" s="14">
        <f>+B36/C36</f>
        <v>1.1438548388958798</v>
      </c>
      <c r="G36" s="4" t="s">
        <v>22</v>
      </c>
      <c r="I36" s="22">
        <f>I35+I33</f>
        <v>118959.35</v>
      </c>
      <c r="J36" s="22">
        <f>J35+J33</f>
        <v>113188.04</v>
      </c>
      <c r="K36" s="22">
        <f>K35+K33</f>
        <v>5771.3100000000122</v>
      </c>
      <c r="L36" s="14">
        <f>+I36/J36</f>
        <v>1.050988691031314</v>
      </c>
      <c r="M36" s="14"/>
      <c r="N36" s="22">
        <f>SUM(N33:N35)</f>
        <v>208476</v>
      </c>
      <c r="O36" s="22">
        <f>O35+O33</f>
        <v>-78616.649999999994</v>
      </c>
      <c r="P36" s="14">
        <f>+I36/N36</f>
        <v>0.57061412344826268</v>
      </c>
      <c r="R36" s="43"/>
    </row>
    <row r="37" spans="2:18" x14ac:dyDescent="0.2">
      <c r="B37" s="3"/>
      <c r="C37" s="3"/>
      <c r="E37" s="14"/>
      <c r="I37" s="3"/>
      <c r="J37" s="3"/>
      <c r="L37" s="17"/>
      <c r="M37" s="17"/>
      <c r="N37" s="3"/>
      <c r="P37" s="17"/>
      <c r="R37" s="43"/>
    </row>
    <row r="38" spans="2:18" x14ac:dyDescent="0.2">
      <c r="B38" s="13">
        <v>11308.02</v>
      </c>
      <c r="C38" s="13">
        <v>9230.93</v>
      </c>
      <c r="D38" s="13">
        <f>B38-C38</f>
        <v>2077.09</v>
      </c>
      <c r="E38" s="14">
        <f>+B38/C38</f>
        <v>1.2250141643366379</v>
      </c>
      <c r="G38" s="2" t="s">
        <v>52</v>
      </c>
      <c r="I38" s="13">
        <v>64649.8</v>
      </c>
      <c r="J38" s="13">
        <v>58956.06</v>
      </c>
      <c r="K38" s="13">
        <f>I38-J38</f>
        <v>5693.7400000000052</v>
      </c>
      <c r="L38" s="14">
        <f>+I38/J38</f>
        <v>1.0965759923576983</v>
      </c>
      <c r="M38" s="14"/>
      <c r="N38" s="13">
        <v>117412</v>
      </c>
      <c r="O38" s="13">
        <f>I38-N38</f>
        <v>-52762.2</v>
      </c>
      <c r="P38" s="14">
        <f>+I38/N38</f>
        <v>0.55062344564439758</v>
      </c>
      <c r="R38" s="43"/>
    </row>
    <row r="39" spans="2:18" x14ac:dyDescent="0.2">
      <c r="B39" s="13">
        <v>14001.73</v>
      </c>
      <c r="C39" s="13">
        <v>18345.53</v>
      </c>
      <c r="D39" s="13">
        <f>B39-C39</f>
        <v>-4343.7999999999993</v>
      </c>
      <c r="E39" s="14">
        <f>+B39/C39</f>
        <v>0.76322297584207166</v>
      </c>
      <c r="G39" s="2" t="s">
        <v>53</v>
      </c>
      <c r="I39" s="13">
        <v>98306.97</v>
      </c>
      <c r="J39" s="13">
        <v>94758.12</v>
      </c>
      <c r="K39" s="13">
        <f>I39-J39</f>
        <v>3548.8500000000058</v>
      </c>
      <c r="L39" s="14">
        <f>+I39/J39</f>
        <v>1.0374516716878723</v>
      </c>
      <c r="M39" s="14"/>
      <c r="N39" s="13">
        <v>94941.3</v>
      </c>
      <c r="O39" s="13">
        <f>I39-N39</f>
        <v>3365.6699999999983</v>
      </c>
      <c r="P39" s="14">
        <f>+I39/N39</f>
        <v>1.0354500096375339</v>
      </c>
      <c r="R39" s="43"/>
    </row>
    <row r="40" spans="2:18" x14ac:dyDescent="0.2">
      <c r="B40" s="13">
        <f>27416.69-25310</f>
        <v>2106.6899999999987</v>
      </c>
      <c r="C40" s="13">
        <f>29927.3-27576</f>
        <v>2351.2999999999993</v>
      </c>
      <c r="D40" s="13">
        <f>B40-C40</f>
        <v>-244.61000000000058</v>
      </c>
      <c r="E40" s="14">
        <f>+B40/C40</f>
        <v>0.89596818781099785</v>
      </c>
      <c r="G40" s="2" t="s">
        <v>54</v>
      </c>
      <c r="I40" s="13">
        <f>174669.77-162957</f>
        <v>11712.76999999999</v>
      </c>
      <c r="J40" s="13">
        <f>167819.22-153714</f>
        <v>14105.220000000001</v>
      </c>
      <c r="K40" s="13">
        <f>I40-J40</f>
        <v>-2392.4500000000116</v>
      </c>
      <c r="L40" s="14">
        <f>+I40/J40</f>
        <v>0.83038548849291172</v>
      </c>
      <c r="M40" s="14"/>
      <c r="N40" s="13">
        <f>240563.3-212353</f>
        <v>28210.299999999988</v>
      </c>
      <c r="O40" s="13">
        <f>I40-N40</f>
        <v>-16497.53</v>
      </c>
      <c r="P40" s="14">
        <f>+I40/N40</f>
        <v>0.41519480473444076</v>
      </c>
      <c r="R40" s="43"/>
    </row>
    <row r="41" spans="2:18" s="4" customFormat="1" x14ac:dyDescent="0.2">
      <c r="B41" s="22">
        <f>SUM(B38:B40)</f>
        <v>27416.44</v>
      </c>
      <c r="C41" s="22">
        <f>SUM(C38:C40)</f>
        <v>29927.759999999998</v>
      </c>
      <c r="D41" s="22">
        <f>+B41-C41</f>
        <v>-2511.3199999999997</v>
      </c>
      <c r="E41" s="14">
        <f>+B41/C41</f>
        <v>0.91608727148306457</v>
      </c>
      <c r="G41" s="4" t="s">
        <v>23</v>
      </c>
      <c r="I41" s="22">
        <f>SUM(I38:I40)</f>
        <v>174669.54</v>
      </c>
      <c r="J41" s="22">
        <f>SUM(J38:J40)</f>
        <v>167819.4</v>
      </c>
      <c r="K41" s="22">
        <f>SUM(K38:K40)</f>
        <v>6850.1399999999994</v>
      </c>
      <c r="L41" s="14">
        <f>+I41/J41</f>
        <v>1.0408185227691198</v>
      </c>
      <c r="M41" s="14"/>
      <c r="N41" s="22">
        <f>SUM(N38:N40)</f>
        <v>240563.59999999998</v>
      </c>
      <c r="O41" s="22">
        <f>SUM(O38:O40)</f>
        <v>-65894.06</v>
      </c>
      <c r="P41" s="14">
        <f>+I41/N41</f>
        <v>0.72608466118731185</v>
      </c>
      <c r="R41" s="43"/>
    </row>
    <row r="42" spans="2:18" x14ac:dyDescent="0.2">
      <c r="B42" s="3"/>
      <c r="C42" s="3"/>
      <c r="E42" s="14"/>
      <c r="I42" s="3"/>
      <c r="J42" s="3"/>
      <c r="L42" s="17"/>
      <c r="M42" s="17"/>
      <c r="N42" s="3"/>
      <c r="P42" s="17"/>
      <c r="R42" s="43"/>
    </row>
    <row r="43" spans="2:18" s="4" customFormat="1" x14ac:dyDescent="0.2">
      <c r="B43" s="22">
        <v>12184.94</v>
      </c>
      <c r="C43" s="22">
        <v>11364.71</v>
      </c>
      <c r="D43" s="22">
        <f>+B43-C43</f>
        <v>820.23000000000138</v>
      </c>
      <c r="E43" s="14">
        <f>+B43/C43</f>
        <v>1.0721734210551788</v>
      </c>
      <c r="G43" s="4" t="s">
        <v>50</v>
      </c>
      <c r="I43" s="22">
        <v>71747.11</v>
      </c>
      <c r="J43" s="22">
        <v>72857.08</v>
      </c>
      <c r="K43" s="22">
        <f>I43-J43</f>
        <v>-1109.9700000000012</v>
      </c>
      <c r="L43" s="14">
        <f>+I43/J43</f>
        <v>0.98476510450322741</v>
      </c>
      <c r="M43" s="14"/>
      <c r="N43" s="22">
        <v>145714</v>
      </c>
      <c r="O43" s="22">
        <f>I43-N43</f>
        <v>-73966.89</v>
      </c>
      <c r="P43" s="14">
        <f>+I43/N43</f>
        <v>0.49238309290802529</v>
      </c>
      <c r="R43" s="43"/>
    </row>
    <row r="44" spans="2:18" x14ac:dyDescent="0.2">
      <c r="B44" s="3"/>
      <c r="C44" s="3"/>
      <c r="E44" s="14"/>
      <c r="I44" s="3"/>
      <c r="J44" s="3"/>
      <c r="L44" s="17"/>
      <c r="M44" s="17"/>
      <c r="N44" s="3"/>
      <c r="P44" s="17"/>
      <c r="R44" s="43"/>
    </row>
    <row r="45" spans="2:18" s="4" customFormat="1" x14ac:dyDescent="0.2">
      <c r="B45" s="22">
        <v>3201.85</v>
      </c>
      <c r="C45" s="22">
        <v>5391.49</v>
      </c>
      <c r="D45" s="22">
        <f>+B45-C45</f>
        <v>-2189.64</v>
      </c>
      <c r="E45" s="14">
        <f>+B45/C45</f>
        <v>0.59387108201999816</v>
      </c>
      <c r="G45" s="4" t="s">
        <v>24</v>
      </c>
      <c r="I45" s="22">
        <v>22547.3</v>
      </c>
      <c r="J45" s="22">
        <v>34960.019999999997</v>
      </c>
      <c r="K45" s="22">
        <f>I45-J45</f>
        <v>-12412.719999999998</v>
      </c>
      <c r="L45" s="14">
        <f>+I45/J45</f>
        <v>0.64494528321208056</v>
      </c>
      <c r="M45" s="14"/>
      <c r="N45" s="22">
        <v>69920</v>
      </c>
      <c r="O45" s="22">
        <f>I45-N45</f>
        <v>-47372.7</v>
      </c>
      <c r="P45" s="14">
        <f>+I45/N45</f>
        <v>0.32247282608695649</v>
      </c>
      <c r="R45" s="43"/>
    </row>
    <row r="46" spans="2:18" x14ac:dyDescent="0.2">
      <c r="B46" s="3"/>
      <c r="C46" s="3"/>
      <c r="E46" s="14"/>
      <c r="I46" s="3"/>
      <c r="J46" s="3"/>
      <c r="L46" s="17"/>
      <c r="M46" s="17"/>
      <c r="N46" s="3"/>
      <c r="P46" s="17"/>
      <c r="R46" s="43"/>
    </row>
    <row r="47" spans="2:18" x14ac:dyDescent="0.2">
      <c r="B47" s="13">
        <v>2191.67</v>
      </c>
      <c r="C47" s="13">
        <v>2199.77</v>
      </c>
      <c r="D47" s="13">
        <f>B47-C47</f>
        <v>-8.0999999999999091</v>
      </c>
      <c r="E47" s="14">
        <f>+B47/C47</f>
        <v>0.99631779686058097</v>
      </c>
      <c r="G47" s="2" t="s">
        <v>35</v>
      </c>
      <c r="I47" s="13">
        <v>14056.64</v>
      </c>
      <c r="J47" s="13">
        <v>14236.96</v>
      </c>
      <c r="K47" s="13">
        <f>I47-J47</f>
        <v>-180.31999999999971</v>
      </c>
      <c r="L47" s="14">
        <f>+I47/J47</f>
        <v>0.98733437475416097</v>
      </c>
      <c r="M47" s="14"/>
      <c r="N47" s="13">
        <v>28474</v>
      </c>
      <c r="O47" s="13">
        <f>I47-N47</f>
        <v>-14417.36</v>
      </c>
      <c r="P47" s="14">
        <f>+I47/N47</f>
        <v>0.49366580037929336</v>
      </c>
      <c r="R47" s="43"/>
    </row>
    <row r="48" spans="2:18" x14ac:dyDescent="0.2">
      <c r="B48" s="13">
        <v>24568.15</v>
      </c>
      <c r="C48" s="13">
        <v>89670.13</v>
      </c>
      <c r="D48" s="13">
        <f>B48-C48</f>
        <v>-65101.98</v>
      </c>
      <c r="E48" s="14">
        <f>+B48/C48</f>
        <v>0.27398365542684056</v>
      </c>
      <c r="G48" s="2" t="s">
        <v>51</v>
      </c>
      <c r="I48" s="13">
        <v>433519.22</v>
      </c>
      <c r="J48" s="13">
        <v>454382.44</v>
      </c>
      <c r="K48" s="13">
        <f>I48-J48</f>
        <v>-20863.22000000003</v>
      </c>
      <c r="L48" s="14">
        <f>+I48/J48</f>
        <v>0.95408444921419056</v>
      </c>
      <c r="M48" s="14"/>
      <c r="N48" s="13">
        <v>465573.12</v>
      </c>
      <c r="O48" s="13">
        <f>I48-N48</f>
        <v>-32053.900000000023</v>
      </c>
      <c r="P48" s="14">
        <f>+I48/N48</f>
        <v>0.93115173831341458</v>
      </c>
      <c r="R48" s="43"/>
    </row>
    <row r="49" spans="1:18" x14ac:dyDescent="0.2">
      <c r="B49" s="13">
        <f>28747.26-26760</f>
        <v>1987.2599999999984</v>
      </c>
      <c r="C49" s="13">
        <f>94252.41-91870</f>
        <v>2382.4100000000035</v>
      </c>
      <c r="D49" s="13">
        <f>B49-C49</f>
        <v>-395.15000000000509</v>
      </c>
      <c r="E49" s="14">
        <f>+B49/C49</f>
        <v>0.834138540385574</v>
      </c>
      <c r="G49" s="2" t="s">
        <v>25</v>
      </c>
      <c r="I49" s="13">
        <f>481955.24-447576</f>
        <v>34379.239999999991</v>
      </c>
      <c r="J49" s="13">
        <f>498164.34-468619</f>
        <v>29545.340000000026</v>
      </c>
      <c r="K49" s="13">
        <f>I49-J49</f>
        <v>4833.8999999999651</v>
      </c>
      <c r="L49" s="14">
        <f>+I49/J49</f>
        <v>1.1636095573785903</v>
      </c>
      <c r="M49" s="14"/>
      <c r="N49" s="13">
        <f>536137.12-494047</f>
        <v>42090.119999999995</v>
      </c>
      <c r="O49" s="13">
        <f>I49-N49</f>
        <v>-7710.8800000000047</v>
      </c>
      <c r="P49" s="14">
        <f>+I49/N49</f>
        <v>0.816800712376206</v>
      </c>
      <c r="R49" s="43"/>
    </row>
    <row r="50" spans="1:18" s="4" customFormat="1" x14ac:dyDescent="0.2">
      <c r="B50" s="22">
        <f>B49+B48+B47</f>
        <v>28747.08</v>
      </c>
      <c r="C50" s="22">
        <f>C49+C48+C47</f>
        <v>94252.310000000012</v>
      </c>
      <c r="D50" s="22">
        <f>+B50-C50</f>
        <v>-65505.23000000001</v>
      </c>
      <c r="E50" s="14">
        <f>+B50/C50</f>
        <v>0.30500133100186083</v>
      </c>
      <c r="G50" s="4" t="s">
        <v>26</v>
      </c>
      <c r="I50" s="22">
        <f>I49+I48+I47</f>
        <v>481955.1</v>
      </c>
      <c r="J50" s="22">
        <f>J49+J48+J47</f>
        <v>498164.74000000005</v>
      </c>
      <c r="K50" s="22">
        <f>K49+K48+K47</f>
        <v>-16209.640000000065</v>
      </c>
      <c r="L50" s="14">
        <f>+I50/J50</f>
        <v>0.96746128599948666</v>
      </c>
      <c r="M50" s="14"/>
      <c r="N50" s="22">
        <f>N49+N48+N47</f>
        <v>536137.24</v>
      </c>
      <c r="O50" s="22">
        <f>O49+O48+O47</f>
        <v>-54182.140000000029</v>
      </c>
      <c r="P50" s="14">
        <f>+I50/N50</f>
        <v>0.89893979384830647</v>
      </c>
      <c r="R50" s="43"/>
    </row>
    <row r="51" spans="1:18" s="1" customFormat="1" ht="14.25" x14ac:dyDescent="0.2">
      <c r="A51" s="2"/>
      <c r="B51" s="3"/>
      <c r="C51" s="3"/>
      <c r="D51" s="3"/>
      <c r="E51" s="14"/>
      <c r="F51" s="2"/>
      <c r="G51" s="2"/>
      <c r="H51" s="2"/>
      <c r="I51" s="3"/>
      <c r="J51" s="3"/>
      <c r="K51" s="3"/>
      <c r="L51" s="17"/>
      <c r="R51" s="43"/>
    </row>
    <row r="52" spans="1:18" x14ac:dyDescent="0.2">
      <c r="B52" s="15">
        <f>+B50+B45+B43+B41+B36+B31+B25+B20</f>
        <v>652777.93999999994</v>
      </c>
      <c r="C52" s="15">
        <f>+C50+C45+C43+C41+C36+C31+C25+C20</f>
        <v>558260.37000000011</v>
      </c>
      <c r="D52" s="15">
        <f>B52-C52</f>
        <v>94517.569999999832</v>
      </c>
      <c r="E52" s="14">
        <f>+B52/C52</f>
        <v>1.1693073251823336</v>
      </c>
      <c r="F52" s="4"/>
      <c r="G52" s="16" t="s">
        <v>8</v>
      </c>
      <c r="H52" s="4"/>
      <c r="I52" s="15">
        <f>+I50+I45+I43+I41+I36+I31+I25+I20</f>
        <v>3906168.5600000005</v>
      </c>
      <c r="J52" s="15">
        <f>+J50+J45+J43+J41+J36+J31+J25+J20</f>
        <v>3423335.1399999997</v>
      </c>
      <c r="K52" s="15">
        <f>I52-J52</f>
        <v>482833.42000000086</v>
      </c>
      <c r="L52" s="14">
        <f>+I52/J52</f>
        <v>1.1410418204044144</v>
      </c>
      <c r="M52" s="33"/>
      <c r="N52" s="15">
        <f>+N50+N45+N43+N41+N36+N31+N25+N20</f>
        <v>8022036.6600000001</v>
      </c>
      <c r="O52" s="15">
        <f>I52-N52</f>
        <v>-4115868.0999999996</v>
      </c>
      <c r="P52" s="14">
        <f>+I52/N52</f>
        <v>0.48692978174447787</v>
      </c>
      <c r="R52" s="43"/>
    </row>
    <row r="53" spans="1:18" s="1" customFormat="1" ht="14.25" x14ac:dyDescent="0.2">
      <c r="A53" s="2"/>
      <c r="B53" s="3"/>
      <c r="C53" s="3"/>
      <c r="D53" s="3"/>
      <c r="E53" s="14"/>
      <c r="F53" s="2"/>
      <c r="G53" s="2"/>
      <c r="H53" s="2"/>
      <c r="I53" s="3"/>
      <c r="J53" s="3"/>
      <c r="K53" s="3"/>
      <c r="L53" s="17"/>
      <c r="R53" s="43"/>
    </row>
    <row r="54" spans="1:18" x14ac:dyDescent="0.2">
      <c r="B54" s="15">
        <f>+B14-B52</f>
        <v>128663.7100000002</v>
      </c>
      <c r="C54" s="15">
        <f>+C14-C52</f>
        <v>121584.1599999998</v>
      </c>
      <c r="D54" s="15">
        <f>B54-C54</f>
        <v>7079.5500000003958</v>
      </c>
      <c r="E54" s="14">
        <f>+B54/C54</f>
        <v>1.058227568459579</v>
      </c>
      <c r="F54" s="4"/>
      <c r="G54" s="45" t="s">
        <v>56</v>
      </c>
      <c r="H54" s="4"/>
      <c r="I54" s="15">
        <f>+I14-I52</f>
        <v>901153.87999999896</v>
      </c>
      <c r="J54" s="15">
        <f>+J14-J52</f>
        <v>399141.72000000067</v>
      </c>
      <c r="K54" s="15">
        <f>I54-J54</f>
        <v>502012.15999999829</v>
      </c>
      <c r="L54" s="14">
        <f>+I54/J54</f>
        <v>2.2577291093499259</v>
      </c>
      <c r="M54" s="33"/>
      <c r="N54" s="15">
        <f>+N14-N52</f>
        <v>69968.339999999851</v>
      </c>
      <c r="O54" s="15">
        <f>I54-N54</f>
        <v>831185.53999999911</v>
      </c>
      <c r="P54" s="14">
        <f>+I54/N54</f>
        <v>12.879452049312601</v>
      </c>
      <c r="R54" s="43"/>
    </row>
    <row r="55" spans="1:18" s="1" customFormat="1" ht="14.25" x14ac:dyDescent="0.2">
      <c r="A55" s="2"/>
      <c r="B55" s="3"/>
      <c r="C55" s="3"/>
      <c r="D55" s="3"/>
      <c r="E55" s="14"/>
      <c r="F55" s="2"/>
      <c r="G55" s="2"/>
      <c r="H55" s="2"/>
      <c r="I55" s="3"/>
      <c r="J55" s="3"/>
      <c r="K55" s="3"/>
      <c r="L55" s="17"/>
    </row>
    <row r="56" spans="1:18" s="1" customFormat="1" ht="14.25" x14ac:dyDescent="0.2">
      <c r="A56" s="2"/>
      <c r="B56" s="3">
        <f>+B81</f>
        <v>74090.584000000003</v>
      </c>
      <c r="C56" s="3">
        <f>+C81</f>
        <v>75049.440000000002</v>
      </c>
      <c r="D56" s="3">
        <f>-C56+B56</f>
        <v>-958.85599999999977</v>
      </c>
      <c r="E56" s="14"/>
      <c r="F56" s="2"/>
      <c r="G56" s="16" t="s">
        <v>57</v>
      </c>
      <c r="H56" s="2"/>
      <c r="I56" s="3">
        <f>+I81</f>
        <v>315293.82900000003</v>
      </c>
      <c r="J56" s="3">
        <f>+J81</f>
        <v>293983.712</v>
      </c>
      <c r="K56" s="3">
        <f>+I56-J56</f>
        <v>21310.117000000027</v>
      </c>
      <c r="L56" s="17"/>
      <c r="N56" s="3">
        <f>+N81</f>
        <v>478871.1</v>
      </c>
    </row>
    <row r="57" spans="1:18" s="1" customFormat="1" ht="14.25" x14ac:dyDescent="0.2">
      <c r="A57" s="2"/>
      <c r="B57" s="3"/>
      <c r="C57" s="3"/>
      <c r="D57" s="3"/>
      <c r="E57" s="14"/>
      <c r="F57" s="2"/>
      <c r="G57" s="2"/>
      <c r="H57" s="2"/>
      <c r="I57" s="3"/>
      <c r="J57" s="3"/>
      <c r="K57" s="3"/>
      <c r="L57" s="17"/>
    </row>
    <row r="58" spans="1:18" x14ac:dyDescent="0.2">
      <c r="B58" s="15">
        <f>+B54-B56</f>
        <v>54573.126000000193</v>
      </c>
      <c r="C58" s="15">
        <f>+C54-C56</f>
        <v>46534.719999999797</v>
      </c>
      <c r="D58" s="31"/>
      <c r="E58" s="24"/>
      <c r="F58" s="4"/>
      <c r="G58" s="16" t="s">
        <v>58</v>
      </c>
      <c r="H58" s="4"/>
      <c r="I58" s="15">
        <f>+I54-I56</f>
        <v>585860.05099999893</v>
      </c>
      <c r="J58" s="15">
        <f>+J54-J56</f>
        <v>105158.00800000067</v>
      </c>
      <c r="K58" s="15">
        <f>+K54-K56</f>
        <v>480702.04299999826</v>
      </c>
      <c r="L58" s="34"/>
      <c r="M58" s="34"/>
      <c r="N58" s="15">
        <f>+N54-N56</f>
        <v>-408902.76000000013</v>
      </c>
      <c r="O58" s="23"/>
      <c r="P58" s="34"/>
    </row>
    <row r="60" spans="1:18" s="25" customFormat="1" ht="14.25" hidden="1" x14ac:dyDescent="0.2">
      <c r="A60" s="1"/>
      <c r="D60" s="26" t="s">
        <v>36</v>
      </c>
      <c r="F60" s="50" t="s">
        <v>43</v>
      </c>
      <c r="G60" s="50"/>
      <c r="H60" s="50"/>
      <c r="I60" s="50"/>
      <c r="J60" s="50"/>
      <c r="K60" s="50"/>
      <c r="L60" s="50"/>
      <c r="M60" s="50"/>
      <c r="N60" s="50"/>
    </row>
    <row r="61" spans="1:18" s="25" customFormat="1" ht="11.25" hidden="1" x14ac:dyDescent="0.2">
      <c r="C61" s="26"/>
      <c r="G61" s="27" t="s">
        <v>44</v>
      </c>
      <c r="I61" s="28">
        <f>-I6*0.03</f>
        <v>-15246.449999999999</v>
      </c>
      <c r="J61" s="28">
        <f>-J6*0.03</f>
        <v>-6000</v>
      </c>
      <c r="L61" s="25" t="s">
        <v>44</v>
      </c>
      <c r="N61" s="28">
        <v>-23100</v>
      </c>
    </row>
    <row r="62" spans="1:18" s="25" customFormat="1" ht="11.25" hidden="1" x14ac:dyDescent="0.2">
      <c r="B62" s="26"/>
      <c r="C62" s="26"/>
      <c r="D62" s="26"/>
      <c r="G62" s="27" t="s">
        <v>48</v>
      </c>
      <c r="I62" s="28">
        <f>-0.2*I11</f>
        <v>-50036.904000000002</v>
      </c>
      <c r="J62" s="28">
        <f>-0.2*J11</f>
        <v>-46093.562000000005</v>
      </c>
      <c r="L62" s="25" t="s">
        <v>48</v>
      </c>
      <c r="N62" s="28">
        <v>-38500</v>
      </c>
    </row>
    <row r="63" spans="1:18" s="25" customFormat="1" ht="11.25" hidden="1" x14ac:dyDescent="0.2">
      <c r="B63" s="26"/>
      <c r="C63" s="26"/>
      <c r="D63" s="26"/>
      <c r="G63" s="27" t="s">
        <v>49</v>
      </c>
      <c r="I63" s="28">
        <f>995729*-0.05</f>
        <v>-49786.450000000004</v>
      </c>
      <c r="J63" s="28">
        <f>-0.05*(755000)</f>
        <v>-37750</v>
      </c>
      <c r="L63" s="25" t="s">
        <v>49</v>
      </c>
      <c r="N63" s="28">
        <v>-37750</v>
      </c>
    </row>
    <row r="64" spans="1:18" s="25" customFormat="1" ht="11.25" hidden="1" x14ac:dyDescent="0.2">
      <c r="B64" s="26"/>
      <c r="C64" s="26"/>
      <c r="D64" s="26"/>
      <c r="F64" s="37" t="s">
        <v>45</v>
      </c>
      <c r="G64" s="38"/>
      <c r="H64" s="37"/>
      <c r="I64" s="39">
        <f>-SUM(I61:I63)</f>
        <v>115069.804</v>
      </c>
      <c r="J64" s="39">
        <f>-SUM(J61:J63)</f>
        <v>89843.562000000005</v>
      </c>
      <c r="K64" s="37"/>
      <c r="L64" s="37"/>
      <c r="M64" s="37"/>
      <c r="N64" s="39">
        <v>99350</v>
      </c>
    </row>
    <row r="65" spans="1:15" s="25" customFormat="1" ht="11.25" hidden="1" x14ac:dyDescent="0.2">
      <c r="B65" s="26"/>
      <c r="C65" s="26"/>
      <c r="D65" s="26"/>
      <c r="G65" s="27"/>
      <c r="I65" s="28"/>
      <c r="J65" s="28"/>
    </row>
    <row r="66" spans="1:15" s="1" customFormat="1" ht="14.25" hidden="1" x14ac:dyDescent="0.2">
      <c r="A66" s="25"/>
      <c r="B66" s="25"/>
      <c r="C66" s="25"/>
      <c r="D66" s="26"/>
      <c r="E66" s="25"/>
      <c r="F66" s="50" t="s">
        <v>46</v>
      </c>
      <c r="G66" s="50"/>
      <c r="H66" s="50"/>
      <c r="I66" s="50"/>
      <c r="J66" s="50"/>
      <c r="K66" s="50"/>
      <c r="L66" s="50"/>
      <c r="M66" s="50"/>
      <c r="N66" s="50"/>
    </row>
    <row r="67" spans="1:15" s="1" customFormat="1" ht="14.25" hidden="1" x14ac:dyDescent="0.2">
      <c r="A67" s="25"/>
      <c r="B67" s="25"/>
      <c r="C67" s="25"/>
      <c r="D67" s="36"/>
      <c r="E67" s="25"/>
      <c r="F67" s="25"/>
      <c r="G67" s="29" t="s">
        <v>42</v>
      </c>
      <c r="H67" s="25"/>
      <c r="I67" s="28">
        <f>-I8*0.5</f>
        <v>-183282.2</v>
      </c>
      <c r="J67" s="28">
        <f>-J8*0.5</f>
        <v>-170000</v>
      </c>
      <c r="K67" s="25"/>
      <c r="L67" s="44" t="s">
        <v>42</v>
      </c>
      <c r="N67" s="28">
        <v>-50000</v>
      </c>
    </row>
    <row r="68" spans="1:15" s="25" customFormat="1" ht="11.25" hidden="1" x14ac:dyDescent="0.2">
      <c r="F68" s="37" t="s">
        <v>47</v>
      </c>
      <c r="G68" s="37"/>
      <c r="H68" s="37"/>
      <c r="I68" s="40">
        <f>-I67</f>
        <v>183282.2</v>
      </c>
      <c r="J68" s="40">
        <f>-J67</f>
        <v>170000</v>
      </c>
      <c r="K68" s="37"/>
      <c r="L68" s="37"/>
      <c r="M68" s="37"/>
      <c r="N68" s="40">
        <v>50000</v>
      </c>
    </row>
    <row r="69" spans="1:15" s="25" customFormat="1" ht="11.25" hidden="1" x14ac:dyDescent="0.2">
      <c r="D69" s="26"/>
      <c r="G69" s="27"/>
      <c r="L69" s="35"/>
    </row>
    <row r="70" spans="1:15" s="25" customFormat="1" ht="14.25" hidden="1" x14ac:dyDescent="0.2">
      <c r="D70" s="26"/>
      <c r="G70" s="1"/>
      <c r="K70" s="28"/>
      <c r="N70" s="1"/>
    </row>
    <row r="71" spans="1:15" s="25" customFormat="1" hidden="1" x14ac:dyDescent="0.2">
      <c r="D71" s="26"/>
      <c r="G71" s="16" t="s">
        <v>40</v>
      </c>
      <c r="I71" s="15">
        <f>+I58-I64-I68</f>
        <v>287508.04699999891</v>
      </c>
      <c r="J71" s="15">
        <f>+J58-J64-J68</f>
        <v>-154685.55399999933</v>
      </c>
      <c r="K71" s="28"/>
      <c r="N71" s="15">
        <v>-114634</v>
      </c>
    </row>
    <row r="72" spans="1:15" s="25" customFormat="1" ht="14.25" hidden="1" x14ac:dyDescent="0.2">
      <c r="A72" s="1"/>
      <c r="B72" s="1"/>
      <c r="C72" s="1"/>
      <c r="D72" s="30"/>
      <c r="E72" s="1"/>
      <c r="F72" s="1"/>
      <c r="G72" s="1"/>
      <c r="H72" s="1"/>
      <c r="I72" s="1"/>
      <c r="J72" s="1"/>
      <c r="K72" s="28"/>
    </row>
    <row r="73" spans="1:15" ht="14.25" x14ac:dyDescent="0.2">
      <c r="A73" s="1"/>
      <c r="B73" s="1"/>
      <c r="C73" s="1"/>
      <c r="D73" s="30"/>
      <c r="E73" s="1"/>
      <c r="F73" s="1"/>
      <c r="H73" s="1"/>
      <c r="I73" s="41"/>
      <c r="J73" s="1"/>
      <c r="N73" s="46"/>
    </row>
    <row r="75" spans="1:15" x14ac:dyDescent="0.2">
      <c r="B75" s="47">
        <f>+F75*B6</f>
        <v>1792.8</v>
      </c>
      <c r="C75" s="47">
        <f>+F75*C6</f>
        <v>750</v>
      </c>
      <c r="D75" s="2"/>
      <c r="F75" s="42">
        <v>0.03</v>
      </c>
      <c r="G75" s="2" t="s">
        <v>62</v>
      </c>
      <c r="H75" s="42"/>
      <c r="I75" s="47">
        <f>+F75*I6</f>
        <v>15246.449999999999</v>
      </c>
      <c r="J75" s="47">
        <f>+F75*J6</f>
        <v>6000</v>
      </c>
      <c r="K75" s="2"/>
      <c r="N75" s="47">
        <f>+F75*N6</f>
        <v>15000</v>
      </c>
      <c r="O75" s="47"/>
    </row>
    <row r="76" spans="1:15" x14ac:dyDescent="0.2">
      <c r="B76" s="47">
        <f>+B6*F76</f>
        <v>2988</v>
      </c>
      <c r="C76" s="47">
        <f>+F76*C6</f>
        <v>1250</v>
      </c>
      <c r="D76" s="2"/>
      <c r="F76" s="42">
        <v>0.05</v>
      </c>
      <c r="G76" s="2" t="s">
        <v>63</v>
      </c>
      <c r="H76" s="42"/>
      <c r="I76" s="47">
        <f>+F76*I6</f>
        <v>25410.75</v>
      </c>
      <c r="J76" s="47">
        <f>+F76*J6</f>
        <v>10000</v>
      </c>
      <c r="K76" s="2"/>
      <c r="N76" s="47">
        <f>+F76*N6</f>
        <v>25000</v>
      </c>
      <c r="O76" s="47"/>
    </row>
    <row r="77" spans="1:15" x14ac:dyDescent="0.2">
      <c r="B77" s="47">
        <f>73959*F77</f>
        <v>3697.9500000000003</v>
      </c>
      <c r="C77" s="47">
        <f>226822*F77</f>
        <v>11341.1</v>
      </c>
      <c r="D77" s="2"/>
      <c r="F77" s="42">
        <v>0.05</v>
      </c>
      <c r="G77" s="2" t="s">
        <v>61</v>
      </c>
      <c r="H77" s="42"/>
      <c r="I77" s="47">
        <f>(477418+348932.5)*F77</f>
        <v>41317.525000000001</v>
      </c>
      <c r="J77" s="47">
        <f>(497337+740466)*F77</f>
        <v>61890.15</v>
      </c>
      <c r="K77" s="2"/>
      <c r="N77" s="47">
        <f>1377422*F77</f>
        <v>68871.100000000006</v>
      </c>
      <c r="O77" s="47"/>
    </row>
    <row r="78" spans="1:15" x14ac:dyDescent="0.2">
      <c r="B78" s="47">
        <f>+F78*B11</f>
        <v>12055.034</v>
      </c>
      <c r="C78" s="47">
        <f>+F78*C11</f>
        <v>6708.34</v>
      </c>
      <c r="D78" s="2"/>
      <c r="F78" s="42">
        <v>0.2</v>
      </c>
      <c r="G78" s="2" t="s">
        <v>59</v>
      </c>
      <c r="H78" s="42"/>
      <c r="I78" s="47">
        <f>+F78*I11</f>
        <v>50036.904000000002</v>
      </c>
      <c r="J78" s="47">
        <f>+F78*J11</f>
        <v>46093.562000000005</v>
      </c>
      <c r="K78" s="2"/>
      <c r="N78" s="47">
        <f>+F78*N11</f>
        <v>120000</v>
      </c>
      <c r="O78" s="47"/>
    </row>
    <row r="79" spans="1:15" x14ac:dyDescent="0.2">
      <c r="B79" s="47">
        <f>+F79*B8</f>
        <v>53556.800000000003</v>
      </c>
      <c r="C79" s="47">
        <f>+F79*C8</f>
        <v>55000</v>
      </c>
      <c r="D79" s="2"/>
      <c r="F79" s="42">
        <v>0.5</v>
      </c>
      <c r="G79" s="2" t="s">
        <v>60</v>
      </c>
      <c r="H79" s="42"/>
      <c r="I79" s="47">
        <f>+F79*I8</f>
        <v>183282.2</v>
      </c>
      <c r="J79" s="47">
        <f>+F79*J8</f>
        <v>170000</v>
      </c>
      <c r="K79" s="2"/>
      <c r="N79" s="47">
        <f>+F79*N8</f>
        <v>250000</v>
      </c>
      <c r="O79" s="47"/>
    </row>
    <row r="80" spans="1:15" x14ac:dyDescent="0.2">
      <c r="B80" s="47"/>
      <c r="C80" s="47"/>
      <c r="D80" s="2"/>
      <c r="I80" s="47"/>
      <c r="J80" s="47"/>
      <c r="K80" s="2"/>
      <c r="N80" s="47"/>
      <c r="O80" s="47"/>
    </row>
    <row r="81" spans="2:15" x14ac:dyDescent="0.2">
      <c r="B81" s="47">
        <f>SUM(B75:B80)</f>
        <v>74090.584000000003</v>
      </c>
      <c r="C81" s="47">
        <f>SUM(C75:C80)</f>
        <v>75049.440000000002</v>
      </c>
      <c r="D81" s="2"/>
      <c r="I81" s="47">
        <f>SUM(I75:I80)</f>
        <v>315293.82900000003</v>
      </c>
      <c r="J81" s="47">
        <f>SUM(J75:J80)</f>
        <v>293983.712</v>
      </c>
      <c r="K81" s="2"/>
      <c r="N81" s="47">
        <f>SUM(N75:N80)</f>
        <v>478871.1</v>
      </c>
      <c r="O81" s="47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91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D5BF-CFA1-4142-B1E4-A585704358B9}">
  <sheetPr>
    <pageSetUpPr fitToPage="1"/>
  </sheetPr>
  <dimension ref="A1:AB388"/>
  <sheetViews>
    <sheetView zoomScale="160" zoomScaleNormal="160" workbookViewId="0">
      <pane xSplit="2" ySplit="4" topLeftCell="I303" activePane="bottomRight" state="frozen"/>
      <selection pane="topRight" activeCell="C1" sqref="C1"/>
      <selection pane="bottomLeft" activeCell="A5" sqref="A5"/>
      <selection pane="bottomRight" activeCell="R13" sqref="R13"/>
    </sheetView>
  </sheetViews>
  <sheetFormatPr defaultColWidth="10.42578125" defaultRowHeight="11.25" x14ac:dyDescent="0.2"/>
  <cols>
    <col min="1" max="1" width="17.28515625" style="53" bestFit="1" customWidth="1"/>
    <col min="2" max="2" width="45.5703125" style="53" bestFit="1" customWidth="1"/>
    <col min="3" max="3" width="9.85546875" style="53" hidden="1" customWidth="1"/>
    <col min="4" max="4" width="10.85546875" style="55" hidden="1" customWidth="1"/>
    <col min="5" max="5" width="2.7109375" style="53" hidden="1" customWidth="1"/>
    <col min="6" max="6" width="9.85546875" style="53" hidden="1" customWidth="1"/>
    <col min="7" max="7" width="10.28515625" style="53" hidden="1" customWidth="1"/>
    <col min="8" max="8" width="2.7109375" style="53" hidden="1" customWidth="1"/>
    <col min="9" max="9" width="9.85546875" style="53" hidden="1" customWidth="1"/>
    <col min="10" max="10" width="10.28515625" style="53" hidden="1" customWidth="1"/>
    <col min="11" max="11" width="2.7109375" style="53" hidden="1" customWidth="1"/>
    <col min="12" max="12" width="9.85546875" style="53" bestFit="1" customWidth="1"/>
    <col min="13" max="13" width="10.28515625" style="53" bestFit="1" customWidth="1"/>
    <col min="14" max="14" width="2.7109375" style="53" customWidth="1"/>
    <col min="15" max="15" width="10.5703125" style="53" bestFit="1" customWidth="1"/>
    <col min="16" max="16" width="12.7109375" style="53" bestFit="1" customWidth="1"/>
    <col min="17" max="17" width="2.7109375" style="53" customWidth="1"/>
    <col min="18" max="18" width="13.85546875" style="53" bestFit="1" customWidth="1"/>
    <col min="19" max="19" width="16" style="53" bestFit="1" customWidth="1"/>
    <col min="20" max="20" width="16.42578125" style="53" bestFit="1" customWidth="1"/>
    <col min="21" max="21" width="17.140625" style="53" bestFit="1" customWidth="1"/>
    <col min="22" max="22" width="2.7109375" style="53" customWidth="1"/>
    <col min="23" max="23" width="11.140625" style="53" bestFit="1" customWidth="1"/>
    <col min="24" max="24" width="2.7109375" style="53" customWidth="1"/>
    <col min="25" max="25" width="11.5703125" style="53" bestFit="1" customWidth="1"/>
    <col min="26" max="26" width="17.140625" style="54" bestFit="1" customWidth="1"/>
    <col min="27" max="16384" width="10.42578125" style="53"/>
  </cols>
  <sheetData>
    <row r="1" spans="1:27" ht="15" customHeight="1" x14ac:dyDescent="0.2">
      <c r="A1" s="116" t="s">
        <v>479</v>
      </c>
      <c r="B1" s="113" t="s">
        <v>478</v>
      </c>
      <c r="C1" s="114" t="s">
        <v>477</v>
      </c>
      <c r="D1" s="115" t="s">
        <v>476</v>
      </c>
      <c r="E1" s="112"/>
      <c r="F1" s="114" t="s">
        <v>475</v>
      </c>
      <c r="G1" s="113" t="s">
        <v>474</v>
      </c>
      <c r="H1" s="112"/>
      <c r="I1" s="114" t="s">
        <v>473</v>
      </c>
      <c r="J1" s="113" t="s">
        <v>472</v>
      </c>
      <c r="K1" s="112"/>
      <c r="L1" s="114" t="s">
        <v>471</v>
      </c>
      <c r="M1" s="113" t="s">
        <v>470</v>
      </c>
      <c r="N1" s="112"/>
      <c r="O1" s="114" t="s">
        <v>469</v>
      </c>
      <c r="P1" s="113" t="s">
        <v>468</v>
      </c>
      <c r="Q1" s="112"/>
      <c r="R1" s="114" t="s">
        <v>467</v>
      </c>
      <c r="S1" s="113" t="s">
        <v>466</v>
      </c>
      <c r="T1" s="113" t="s">
        <v>465</v>
      </c>
      <c r="U1" s="113" t="s">
        <v>464</v>
      </c>
      <c r="V1" s="112"/>
      <c r="W1" s="111" t="s">
        <v>463</v>
      </c>
      <c r="Y1" s="110" t="s">
        <v>462</v>
      </c>
      <c r="Z1" s="110" t="s">
        <v>461</v>
      </c>
    </row>
    <row r="2" spans="1:27" x14ac:dyDescent="0.2">
      <c r="A2" s="116"/>
      <c r="B2" s="113"/>
      <c r="C2" s="114"/>
      <c r="D2" s="115"/>
      <c r="E2" s="112"/>
      <c r="F2" s="114"/>
      <c r="G2" s="113"/>
      <c r="H2" s="112"/>
      <c r="I2" s="114"/>
      <c r="J2" s="113"/>
      <c r="K2" s="112"/>
      <c r="L2" s="114"/>
      <c r="M2" s="113"/>
      <c r="N2" s="112"/>
      <c r="O2" s="114"/>
      <c r="P2" s="113"/>
      <c r="Q2" s="112"/>
      <c r="R2" s="114"/>
      <c r="S2" s="113"/>
      <c r="T2" s="113"/>
      <c r="U2" s="113"/>
      <c r="V2" s="112"/>
      <c r="W2" s="111"/>
      <c r="Y2" s="110"/>
      <c r="Z2" s="110"/>
    </row>
    <row r="3" spans="1:27" s="105" customFormat="1" x14ac:dyDescent="0.2">
      <c r="A3" s="109"/>
      <c r="B3" s="107"/>
      <c r="C3" s="107"/>
      <c r="D3" s="108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X3" s="106"/>
    </row>
    <row r="4" spans="1:27" ht="15" customHeight="1" x14ac:dyDescent="0.2">
      <c r="A4" s="96" t="s">
        <v>460</v>
      </c>
      <c r="B4" s="95" t="s">
        <v>459</v>
      </c>
      <c r="C4" s="95"/>
      <c r="D4" s="99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X4" s="97"/>
    </row>
    <row r="5" spans="1:27" ht="15" customHeight="1" x14ac:dyDescent="0.2">
      <c r="A5" s="82" t="s">
        <v>458</v>
      </c>
      <c r="B5" s="81" t="s">
        <v>457</v>
      </c>
      <c r="C5" s="102">
        <f>+(C13*0.03)+((C26+C27)*0.05)+(C29*0.2)</f>
        <v>20503.170000000002</v>
      </c>
      <c r="D5" s="76">
        <f>+(D13*0.03)+((D26+D27)*0.05)+(D29*0.2)</f>
        <v>13316.376</v>
      </c>
      <c r="E5" s="81"/>
      <c r="F5" s="102">
        <f>+(F13*0.03)+((F26+F27)*0.05)+(F29*0.2)</f>
        <v>27485.486000000001</v>
      </c>
      <c r="G5" s="102">
        <f>+(G13*0.03)+((G26+G27)*0.05)+(G29*0.2)</f>
        <v>29198.696000000004</v>
      </c>
      <c r="H5" s="81"/>
      <c r="I5" s="102">
        <f>+(I13*0.03)+((I26+I27)*0.05)+(I29*0.2)</f>
        <v>13753.183000000001</v>
      </c>
      <c r="J5" s="102">
        <f>+(J13*0.03)+((J26+J27)*0.05)+(J29*0.2)</f>
        <v>12399.338</v>
      </c>
      <c r="K5" s="81"/>
      <c r="L5" s="102">
        <f>+(L13*0.03)+((L26+L27)*0.05)+(L29*0.2)</f>
        <v>12053.727999999999</v>
      </c>
      <c r="M5" s="102">
        <f>+(M13*0.03)+((M26+M27)*0.05)+(M29*0.2)</f>
        <v>22637.027999999998</v>
      </c>
      <c r="N5" s="81"/>
      <c r="O5" s="102">
        <f>+(O13*0.03)+((O26+O27)*0.05)+(O29*0.2)</f>
        <v>15259.528</v>
      </c>
      <c r="P5" s="102">
        <f>+(P13*0.03)+((P26+P27)*0.05)+(P29*0.2)</f>
        <v>17632.834000000003</v>
      </c>
      <c r="Q5" s="81"/>
      <c r="R5" s="102">
        <f>+(R13*0.03)+((R26+R27)*0.05)+(R29*0.2)</f>
        <v>17545.784</v>
      </c>
      <c r="S5" s="102">
        <f>+(S13*0.03)+((S26+S27)*0.05)+(S29*0.2)</f>
        <v>18799.440000000002</v>
      </c>
      <c r="T5" s="80">
        <f>+C5+F5+I5+L5+O5+R5</f>
        <v>106600.87900000002</v>
      </c>
      <c r="U5" s="80">
        <f>+D5+G5+J5+M5+P5+S5</f>
        <v>113983.712</v>
      </c>
      <c r="V5" s="81"/>
      <c r="W5" s="102">
        <f>+(W13*0.03)+((W26+W27)*0.05)+(W29*0.2)</f>
        <v>203871.1</v>
      </c>
      <c r="X5" s="103"/>
      <c r="Y5" s="102"/>
      <c r="Z5" s="101">
        <f>+W5</f>
        <v>203871.1</v>
      </c>
    </row>
    <row r="6" spans="1:27" ht="15" customHeight="1" x14ac:dyDescent="0.2">
      <c r="A6" s="82">
        <v>3200750</v>
      </c>
      <c r="B6" s="81" t="s">
        <v>456</v>
      </c>
      <c r="C6" s="102">
        <f>+C15*0.5</f>
        <v>0</v>
      </c>
      <c r="D6" s="76">
        <f>+D15*0.5</f>
        <v>0</v>
      </c>
      <c r="E6" s="81"/>
      <c r="F6" s="102">
        <f>+F15*0.5</f>
        <v>9026.5</v>
      </c>
      <c r="G6" s="102">
        <f>+G15*0.5</f>
        <v>7500</v>
      </c>
      <c r="H6" s="81"/>
      <c r="I6" s="102">
        <f>+I15*0.5</f>
        <v>22618.404999999999</v>
      </c>
      <c r="J6" s="102">
        <f>+J15*0.5</f>
        <v>20000</v>
      </c>
      <c r="K6" s="81"/>
      <c r="L6" s="102">
        <f>+L15*0.5</f>
        <v>42009.845000000001</v>
      </c>
      <c r="M6" s="102">
        <f>+M15*0.5</f>
        <v>27500</v>
      </c>
      <c r="N6" s="81"/>
      <c r="O6" s="102">
        <f>+O15*0.5</f>
        <v>56070.65</v>
      </c>
      <c r="P6" s="102">
        <f>+P15*0.5</f>
        <v>60000</v>
      </c>
      <c r="Q6" s="81"/>
      <c r="R6" s="102">
        <f>+R15*0.5</f>
        <v>53556.800000000003</v>
      </c>
      <c r="S6" s="102">
        <f>+S15*0.5</f>
        <v>55000</v>
      </c>
      <c r="T6" s="80">
        <f>+C6+F6+I6+L6+O6+R6</f>
        <v>183282.2</v>
      </c>
      <c r="U6" s="80">
        <f>+D6+G6+J6+M6+P6+S6</f>
        <v>170000</v>
      </c>
      <c r="V6" s="81"/>
      <c r="W6" s="102">
        <f>+W15*0.5</f>
        <v>250000</v>
      </c>
      <c r="X6" s="103"/>
      <c r="Y6" s="102"/>
      <c r="Z6" s="101">
        <f>+W6</f>
        <v>250000</v>
      </c>
    </row>
    <row r="7" spans="1:27" ht="15" customHeight="1" x14ac:dyDescent="0.2">
      <c r="A7" s="82" t="s">
        <v>455</v>
      </c>
      <c r="B7" s="81" t="s">
        <v>454</v>
      </c>
      <c r="C7" s="102">
        <f>+C13*0.05</f>
        <v>0</v>
      </c>
      <c r="D7" s="76">
        <f>+D13*0.05</f>
        <v>0</v>
      </c>
      <c r="E7" s="81"/>
      <c r="F7" s="102">
        <f>+F13*0.05</f>
        <v>5080.5</v>
      </c>
      <c r="G7" s="102">
        <f>+G13*0.05</f>
        <v>2250</v>
      </c>
      <c r="H7" s="81"/>
      <c r="I7" s="102">
        <f>+I13*0.05</f>
        <v>7963.875</v>
      </c>
      <c r="J7" s="102">
        <f>+J13*0.05</f>
        <v>2750</v>
      </c>
      <c r="K7" s="81"/>
      <c r="L7" s="102">
        <f>+L13*0.05</f>
        <v>4553.625</v>
      </c>
      <c r="M7" s="102">
        <f>+M13*0.05</f>
        <v>1750</v>
      </c>
      <c r="N7" s="81"/>
      <c r="O7" s="102">
        <f>+O13*0.05</f>
        <v>4824.75</v>
      </c>
      <c r="P7" s="102">
        <f>+P13*0.05</f>
        <v>2000</v>
      </c>
      <c r="Q7" s="81"/>
      <c r="R7" s="102">
        <f>+R13*0.05</f>
        <v>2988</v>
      </c>
      <c r="S7" s="102">
        <f>+S13*0.05</f>
        <v>1250</v>
      </c>
      <c r="T7" s="80">
        <f>+C7+F7+I7+L7+O7+R7</f>
        <v>25410.75</v>
      </c>
      <c r="U7" s="80">
        <f>+D7+G7+J7+M7+P7+S7</f>
        <v>10000</v>
      </c>
      <c r="V7" s="81"/>
      <c r="W7" s="102">
        <f>+W13*0.05</f>
        <v>25000</v>
      </c>
      <c r="X7" s="103"/>
      <c r="Y7" s="102"/>
      <c r="Z7" s="101">
        <f>+W7</f>
        <v>25000</v>
      </c>
    </row>
    <row r="8" spans="1:27" ht="15" customHeight="1" x14ac:dyDescent="0.2">
      <c r="A8" s="82"/>
      <c r="B8" s="81"/>
      <c r="C8" s="81"/>
      <c r="D8" s="104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102"/>
      <c r="X8" s="103"/>
      <c r="Y8" s="102"/>
      <c r="Z8" s="101"/>
    </row>
    <row r="9" spans="1:27" ht="15" customHeight="1" x14ac:dyDescent="0.2">
      <c r="A9" s="75" t="s">
        <v>74</v>
      </c>
      <c r="B9" s="74" t="s">
        <v>453</v>
      </c>
      <c r="C9" s="100">
        <f>SUM(C5:C7)</f>
        <v>20503.170000000002</v>
      </c>
      <c r="D9" s="73">
        <f>SUM(D5:D7)</f>
        <v>13316.376</v>
      </c>
      <c r="E9" s="74"/>
      <c r="F9" s="100">
        <f>SUM(F5:F7)</f>
        <v>41592.486000000004</v>
      </c>
      <c r="G9" s="100">
        <f>SUM(G5:G7)</f>
        <v>38948.696000000004</v>
      </c>
      <c r="H9" s="74"/>
      <c r="I9" s="100">
        <f>SUM(I5:I7)</f>
        <v>44335.463000000003</v>
      </c>
      <c r="J9" s="100">
        <f>SUM(J5:J7)</f>
        <v>35149.338000000003</v>
      </c>
      <c r="K9" s="74"/>
      <c r="L9" s="100">
        <f>SUM(L5:L7)</f>
        <v>58617.198000000004</v>
      </c>
      <c r="M9" s="100">
        <f>SUM(M5:M7)</f>
        <v>51887.027999999998</v>
      </c>
      <c r="N9" s="74"/>
      <c r="O9" s="100">
        <f>SUM(O5:O7)</f>
        <v>76154.928</v>
      </c>
      <c r="P9" s="100">
        <f>SUM(P5:P7)</f>
        <v>79632.834000000003</v>
      </c>
      <c r="Q9" s="74"/>
      <c r="R9" s="100">
        <f>SUM(R5:R7)</f>
        <v>74090.584000000003</v>
      </c>
      <c r="S9" s="100">
        <f>SUM(S5:S7)</f>
        <v>75049.440000000002</v>
      </c>
      <c r="T9" s="100">
        <f>SUM(T5:T7)</f>
        <v>315293.82900000003</v>
      </c>
      <c r="U9" s="100">
        <f>SUM(U5:U7)</f>
        <v>293983.712</v>
      </c>
      <c r="V9" s="74"/>
      <c r="W9" s="100">
        <f>SUM(W5:W7)</f>
        <v>478871.1</v>
      </c>
      <c r="X9" s="97"/>
      <c r="Y9" s="100">
        <f>SUM(Y5:Y7)</f>
        <v>0</v>
      </c>
      <c r="Z9" s="100">
        <f>SUM(Z5:Z7)</f>
        <v>478871.1</v>
      </c>
      <c r="AA9" s="62"/>
    </row>
    <row r="10" spans="1:27" ht="15" customHeight="1" x14ac:dyDescent="0.2">
      <c r="X10" s="97"/>
      <c r="AA10" s="62"/>
    </row>
    <row r="11" spans="1:27" x14ac:dyDescent="0.2">
      <c r="A11" s="96" t="s">
        <v>452</v>
      </c>
      <c r="B11" s="95" t="s">
        <v>38</v>
      </c>
      <c r="C11" s="95"/>
      <c r="D11" s="99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53" t="s">
        <v>9</v>
      </c>
      <c r="X11" s="97"/>
      <c r="Y11" s="53" t="s">
        <v>9</v>
      </c>
      <c r="Z11" s="54" t="s">
        <v>9</v>
      </c>
      <c r="AA11" s="62"/>
    </row>
    <row r="12" spans="1:27" ht="15" customHeight="1" x14ac:dyDescent="0.2">
      <c r="A12" s="85" t="s">
        <v>451</v>
      </c>
      <c r="B12" s="84" t="s">
        <v>450</v>
      </c>
      <c r="C12" s="84"/>
      <c r="D12" s="98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X12" s="97"/>
      <c r="AA12" s="62"/>
    </row>
    <row r="13" spans="1:27" x14ac:dyDescent="0.2">
      <c r="A13" s="82" t="s">
        <v>449</v>
      </c>
      <c r="B13" s="81" t="s">
        <v>2</v>
      </c>
      <c r="C13" s="79">
        <v>0</v>
      </c>
      <c r="D13" s="79"/>
      <c r="E13" s="79"/>
      <c r="F13" s="79">
        <v>101610</v>
      </c>
      <c r="G13" s="79">
        <v>45000</v>
      </c>
      <c r="H13" s="79"/>
      <c r="I13" s="79">
        <v>159277.5</v>
      </c>
      <c r="J13" s="79">
        <v>55000</v>
      </c>
      <c r="K13" s="79"/>
      <c r="L13" s="79">
        <v>91072.5</v>
      </c>
      <c r="M13" s="79">
        <v>35000</v>
      </c>
      <c r="N13" s="79"/>
      <c r="O13" s="79">
        <v>96495</v>
      </c>
      <c r="P13" s="79">
        <v>40000</v>
      </c>
      <c r="Q13" s="79"/>
      <c r="R13" s="79">
        <v>59760</v>
      </c>
      <c r="S13" s="79">
        <v>25000</v>
      </c>
      <c r="T13" s="80">
        <f>+C13+F13+I13+L13+O13+R13</f>
        <v>508215</v>
      </c>
      <c r="U13" s="80">
        <f>+D13+G13+J13+M13+P13+S13</f>
        <v>200000</v>
      </c>
      <c r="V13" s="79"/>
      <c r="W13" s="76">
        <v>500000</v>
      </c>
      <c r="X13" s="64"/>
      <c r="Y13" s="76">
        <f>+W13*0.92</f>
        <v>460000</v>
      </c>
      <c r="Z13" s="76">
        <f>+W13-Y13</f>
        <v>40000</v>
      </c>
      <c r="AA13" s="62"/>
    </row>
    <row r="14" spans="1:27" x14ac:dyDescent="0.2">
      <c r="A14" s="82" t="s">
        <v>448</v>
      </c>
      <c r="B14" s="81" t="s">
        <v>447</v>
      </c>
      <c r="C14" s="79">
        <v>47863.86</v>
      </c>
      <c r="D14" s="79">
        <v>52500</v>
      </c>
      <c r="E14" s="79"/>
      <c r="F14" s="79">
        <v>21070.57</v>
      </c>
      <c r="G14" s="79">
        <v>7500</v>
      </c>
      <c r="H14" s="79"/>
      <c r="I14" s="79">
        <v>7132.76</v>
      </c>
      <c r="J14" s="79"/>
      <c r="K14" s="79"/>
      <c r="L14" s="79">
        <v>834.9</v>
      </c>
      <c r="M14" s="79">
        <v>0</v>
      </c>
      <c r="N14" s="79"/>
      <c r="O14" s="79">
        <v>1452.22</v>
      </c>
      <c r="P14" s="79">
        <v>7500</v>
      </c>
      <c r="Q14" s="79"/>
      <c r="R14" s="79">
        <v>19693.79</v>
      </c>
      <c r="S14" s="79">
        <v>15000</v>
      </c>
      <c r="T14" s="80">
        <f>+C14+F14+I14+L14+O14+R14</f>
        <v>98048.099999999977</v>
      </c>
      <c r="U14" s="80">
        <f>+D14+G14+J14+M14+P14+S14</f>
        <v>82500</v>
      </c>
      <c r="V14" s="79"/>
      <c r="W14" s="76">
        <v>750000</v>
      </c>
      <c r="X14" s="64"/>
      <c r="Y14" s="76">
        <f>+W14</f>
        <v>750000</v>
      </c>
      <c r="Z14" s="76"/>
      <c r="AA14" s="62"/>
    </row>
    <row r="15" spans="1:27" x14ac:dyDescent="0.2">
      <c r="A15" s="82" t="s">
        <v>446</v>
      </c>
      <c r="B15" s="81" t="s">
        <v>41</v>
      </c>
      <c r="C15" s="79"/>
      <c r="D15" s="79"/>
      <c r="E15" s="79"/>
      <c r="F15" s="79">
        <v>18053</v>
      </c>
      <c r="G15" s="79">
        <v>15000</v>
      </c>
      <c r="H15" s="79"/>
      <c r="I15" s="79">
        <v>45236.81</v>
      </c>
      <c r="J15" s="79">
        <v>40000</v>
      </c>
      <c r="K15" s="79"/>
      <c r="L15" s="79">
        <v>84019.69</v>
      </c>
      <c r="M15" s="79">
        <v>55000</v>
      </c>
      <c r="N15" s="79"/>
      <c r="O15" s="79">
        <v>112141.3</v>
      </c>
      <c r="P15" s="79">
        <v>120000</v>
      </c>
      <c r="Q15" s="79"/>
      <c r="R15" s="79">
        <v>107113.60000000001</v>
      </c>
      <c r="S15" s="79">
        <v>110000</v>
      </c>
      <c r="T15" s="80">
        <f>+C15+F15+I15+L15+O15+R15</f>
        <v>366564.4</v>
      </c>
      <c r="U15" s="80">
        <f>+D15+G15+J15+M15+P15+S15</f>
        <v>340000</v>
      </c>
      <c r="V15" s="79"/>
      <c r="W15" s="76">
        <v>500000</v>
      </c>
      <c r="X15" s="64"/>
      <c r="Y15" s="76">
        <f>+W15*0.5</f>
        <v>250000</v>
      </c>
      <c r="Z15" s="76">
        <f>+W15-Y15</f>
        <v>250000</v>
      </c>
      <c r="AA15" s="62"/>
    </row>
    <row r="16" spans="1:27" x14ac:dyDescent="0.2">
      <c r="A16" s="82" t="s">
        <v>445</v>
      </c>
      <c r="B16" s="81" t="s">
        <v>444</v>
      </c>
      <c r="C16" s="79"/>
      <c r="D16" s="79"/>
      <c r="E16" s="79"/>
      <c r="F16" s="79">
        <v>11719.69</v>
      </c>
      <c r="G16" s="79">
        <v>12500</v>
      </c>
      <c r="H16" s="79"/>
      <c r="I16" s="79"/>
      <c r="J16" s="79"/>
      <c r="K16" s="79"/>
      <c r="L16" s="79">
        <v>0</v>
      </c>
      <c r="M16" s="79">
        <v>0</v>
      </c>
      <c r="N16" s="79"/>
      <c r="O16" s="79">
        <v>13586.46</v>
      </c>
      <c r="P16" s="79">
        <v>12500</v>
      </c>
      <c r="Q16" s="79"/>
      <c r="R16" s="79">
        <v>0</v>
      </c>
      <c r="S16" s="79">
        <v>0</v>
      </c>
      <c r="T16" s="80">
        <f>+C16+F16+I16+L16+O16+R16</f>
        <v>25306.15</v>
      </c>
      <c r="U16" s="80">
        <f>+D16+G16+J16+M16+P16+S16</f>
        <v>25000</v>
      </c>
      <c r="V16" s="79"/>
      <c r="W16" s="76">
        <v>50000</v>
      </c>
      <c r="X16" s="64"/>
      <c r="Y16" s="76">
        <f>+W16</f>
        <v>50000</v>
      </c>
      <c r="Z16" s="76"/>
      <c r="AA16" s="62"/>
    </row>
    <row r="17" spans="1:27" x14ac:dyDescent="0.2">
      <c r="A17" s="82" t="s">
        <v>443</v>
      </c>
      <c r="B17" s="81" t="s">
        <v>442</v>
      </c>
      <c r="C17" s="79"/>
      <c r="D17" s="79"/>
      <c r="E17" s="79"/>
      <c r="F17" s="79"/>
      <c r="G17" s="79"/>
      <c r="H17" s="79"/>
      <c r="I17" s="79"/>
      <c r="J17" s="79"/>
      <c r="K17" s="79"/>
      <c r="L17" s="79">
        <v>42500</v>
      </c>
      <c r="M17" s="79">
        <v>42500</v>
      </c>
      <c r="N17" s="79"/>
      <c r="O17" s="79">
        <v>42500</v>
      </c>
      <c r="P17" s="79">
        <v>42500</v>
      </c>
      <c r="Q17" s="79"/>
      <c r="R17" s="79">
        <v>0</v>
      </c>
      <c r="S17" s="79">
        <v>0</v>
      </c>
      <c r="T17" s="80">
        <f>+C17+F17+I17+L17+O17+R17</f>
        <v>85000</v>
      </c>
      <c r="U17" s="80">
        <f>+D17+G17+J17+M17+P17+S17</f>
        <v>85000</v>
      </c>
      <c r="V17" s="79"/>
      <c r="W17" s="76">
        <v>85000</v>
      </c>
      <c r="X17" s="64"/>
      <c r="Y17" s="76">
        <f>+W17</f>
        <v>85000</v>
      </c>
      <c r="Z17" s="76"/>
      <c r="AA17" s="62"/>
    </row>
    <row r="18" spans="1:27" x14ac:dyDescent="0.2">
      <c r="A18" s="82"/>
      <c r="B18" s="81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6"/>
      <c r="X18" s="64"/>
      <c r="Y18" s="76"/>
      <c r="Z18" s="76"/>
      <c r="AA18" s="62"/>
    </row>
    <row r="19" spans="1:27" x14ac:dyDescent="0.2">
      <c r="A19" s="75" t="s">
        <v>74</v>
      </c>
      <c r="B19" s="74" t="s">
        <v>441</v>
      </c>
      <c r="C19" s="73">
        <f>SUM(C13:C18)</f>
        <v>47863.86</v>
      </c>
      <c r="D19" s="73">
        <f>SUM(D13:D18)</f>
        <v>52500</v>
      </c>
      <c r="E19" s="70"/>
      <c r="F19" s="73">
        <f>SUM(F13:F18)</f>
        <v>152453.26</v>
      </c>
      <c r="G19" s="73">
        <f>SUM(G13:G18)</f>
        <v>80000</v>
      </c>
      <c r="H19" s="70"/>
      <c r="I19" s="73">
        <f>SUM(I13:I18)</f>
        <v>211647.07</v>
      </c>
      <c r="J19" s="73">
        <f>SUM(J13:J18)</f>
        <v>95000</v>
      </c>
      <c r="K19" s="70"/>
      <c r="L19" s="73">
        <f>SUM(L13:L18)</f>
        <v>218427.09</v>
      </c>
      <c r="M19" s="73">
        <f>SUM(M13:M18)</f>
        <v>132500</v>
      </c>
      <c r="N19" s="70"/>
      <c r="O19" s="73">
        <f>SUM(O13:O18)</f>
        <v>266174.98</v>
      </c>
      <c r="P19" s="73">
        <f>SUM(P13:P18)</f>
        <v>222500</v>
      </c>
      <c r="Q19" s="70"/>
      <c r="R19" s="73">
        <f>SUM(R13:R18)</f>
        <v>186567.39</v>
      </c>
      <c r="S19" s="73">
        <f>SUM(S13:S18)</f>
        <v>150000</v>
      </c>
      <c r="T19" s="73">
        <f>SUM(T13:T18)</f>
        <v>1083133.6499999999</v>
      </c>
      <c r="U19" s="73">
        <f>SUM(U13:U18)</f>
        <v>732500</v>
      </c>
      <c r="V19" s="70"/>
      <c r="W19" s="73">
        <f>SUM(W13:W18)</f>
        <v>1885000</v>
      </c>
      <c r="X19" s="64"/>
      <c r="Y19" s="73">
        <f>SUM(Y13:Y18)</f>
        <v>1595000</v>
      </c>
      <c r="Z19" s="73">
        <f>SUM(Z13:Z18)</f>
        <v>290000</v>
      </c>
      <c r="AA19" s="62"/>
    </row>
    <row r="20" spans="1:27" x14ac:dyDescent="0.2"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4"/>
      <c r="Y20" s="61"/>
      <c r="Z20" s="68"/>
      <c r="AA20" s="62"/>
    </row>
    <row r="21" spans="1:27" x14ac:dyDescent="0.2">
      <c r="A21" s="85" t="s">
        <v>440</v>
      </c>
      <c r="B21" s="84" t="s">
        <v>439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61"/>
      <c r="X21" s="64"/>
      <c r="Y21" s="61"/>
      <c r="Z21" s="68"/>
      <c r="AA21" s="62"/>
    </row>
    <row r="22" spans="1:27" x14ac:dyDescent="0.2">
      <c r="A22" s="82" t="s">
        <v>438</v>
      </c>
      <c r="B22" s="81" t="s">
        <v>437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80">
        <f>+C22+F22+I22+L22+O22+R22</f>
        <v>0</v>
      </c>
      <c r="U22" s="80">
        <f>+D22+G22+J22+M22+P22+S22</f>
        <v>0</v>
      </c>
      <c r="V22" s="79"/>
      <c r="W22" s="76"/>
      <c r="X22" s="64"/>
      <c r="Y22" s="76">
        <f>+W22</f>
        <v>0</v>
      </c>
      <c r="Z22" s="76"/>
      <c r="AA22" s="62"/>
    </row>
    <row r="23" spans="1:27" x14ac:dyDescent="0.2">
      <c r="A23" s="82" t="s">
        <v>436</v>
      </c>
      <c r="B23" s="81" t="s">
        <v>435</v>
      </c>
      <c r="C23" s="79">
        <f>69015+188</f>
        <v>69203</v>
      </c>
      <c r="D23" s="79">
        <v>69397.350000000006</v>
      </c>
      <c r="E23" s="79"/>
      <c r="F23" s="79">
        <v>36975</v>
      </c>
      <c r="G23" s="79">
        <v>29020.71</v>
      </c>
      <c r="H23" s="79"/>
      <c r="I23" s="79">
        <v>9157</v>
      </c>
      <c r="J23" s="79">
        <v>12617.7</v>
      </c>
      <c r="K23" s="79"/>
      <c r="L23" s="79">
        <v>7747</v>
      </c>
      <c r="M23" s="79">
        <v>3785.31</v>
      </c>
      <c r="N23" s="79"/>
      <c r="O23" s="79">
        <v>4353</v>
      </c>
      <c r="P23" s="79">
        <v>2523.54</v>
      </c>
      <c r="Q23" s="79"/>
      <c r="R23" s="79">
        <v>579</v>
      </c>
      <c r="S23" s="79">
        <v>1261.77</v>
      </c>
      <c r="T23" s="80">
        <f>+C23+F23+I23+L23+O23+R23</f>
        <v>128014</v>
      </c>
      <c r="U23" s="80">
        <f>+D23+G23+J23+M23+P23+S23</f>
        <v>118606.37999999999</v>
      </c>
      <c r="V23" s="79"/>
      <c r="W23" s="76">
        <v>126177</v>
      </c>
      <c r="X23" s="64"/>
      <c r="Y23" s="76">
        <f>+W23</f>
        <v>126177</v>
      </c>
      <c r="Z23" s="76"/>
      <c r="AA23" s="62"/>
    </row>
    <row r="24" spans="1:27" x14ac:dyDescent="0.2">
      <c r="A24" s="82" t="s">
        <v>434</v>
      </c>
      <c r="B24" s="81" t="s">
        <v>433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>
        <v>0</v>
      </c>
      <c r="S24" s="79">
        <v>0</v>
      </c>
      <c r="T24" s="80">
        <f>+C24+F24+I24+L24+O24+R24</f>
        <v>0</v>
      </c>
      <c r="U24" s="80">
        <f>+D24+G24+J24+M24+P24+S24</f>
        <v>0</v>
      </c>
      <c r="V24" s="79"/>
      <c r="W24" s="76">
        <v>0</v>
      </c>
      <c r="X24" s="64"/>
      <c r="Y24" s="76">
        <f>+W24</f>
        <v>0</v>
      </c>
      <c r="Z24" s="76"/>
      <c r="AA24" s="62"/>
    </row>
    <row r="25" spans="1:27" x14ac:dyDescent="0.2">
      <c r="A25" s="82" t="s">
        <v>432</v>
      </c>
      <c r="B25" s="81" t="s">
        <v>431</v>
      </c>
      <c r="C25" s="79">
        <v>90079.679999999993</v>
      </c>
      <c r="D25" s="79">
        <v>138827.15</v>
      </c>
      <c r="E25" s="79"/>
      <c r="F25" s="79">
        <f>503+154389.32</f>
        <v>154892.32</v>
      </c>
      <c r="G25" s="79">
        <v>99162.25</v>
      </c>
      <c r="H25" s="79"/>
      <c r="I25" s="79">
        <v>14266</v>
      </c>
      <c r="J25" s="79">
        <v>31731.919999999998</v>
      </c>
      <c r="K25" s="79"/>
      <c r="L25" s="79">
        <v>14076</v>
      </c>
      <c r="M25" s="79">
        <v>11899.47</v>
      </c>
      <c r="N25" s="79"/>
      <c r="O25" s="79">
        <v>7894</v>
      </c>
      <c r="P25" s="79">
        <v>7932.98</v>
      </c>
      <c r="Q25" s="79"/>
      <c r="R25" s="79">
        <v>8458</v>
      </c>
      <c r="S25" s="79">
        <v>11899.47</v>
      </c>
      <c r="T25" s="80">
        <f>+C25+F25+I25+L25+O25+R25</f>
        <v>289666</v>
      </c>
      <c r="U25" s="80">
        <f>+D25+G25+J25+M25+P25+S25</f>
        <v>301453.23999999993</v>
      </c>
      <c r="V25" s="79"/>
      <c r="W25" s="76">
        <v>396649</v>
      </c>
      <c r="X25" s="64"/>
      <c r="Y25" s="76">
        <f>+W25</f>
        <v>396649</v>
      </c>
      <c r="Z25" s="76"/>
      <c r="AA25" s="62"/>
    </row>
    <row r="26" spans="1:27" x14ac:dyDescent="0.2">
      <c r="A26" s="82" t="s">
        <v>430</v>
      </c>
      <c r="B26" s="81" t="s">
        <v>429</v>
      </c>
      <c r="C26" s="79">
        <v>89985</v>
      </c>
      <c r="D26" s="79">
        <v>74398</v>
      </c>
      <c r="E26" s="79"/>
      <c r="F26" s="79">
        <v>307603</v>
      </c>
      <c r="G26" s="79">
        <v>323269</v>
      </c>
      <c r="H26" s="79"/>
      <c r="I26" s="79">
        <v>55855</v>
      </c>
      <c r="J26" s="79">
        <v>55000</v>
      </c>
      <c r="K26" s="79"/>
      <c r="L26" s="79">
        <v>21500</v>
      </c>
      <c r="M26" s="79">
        <v>44670</v>
      </c>
      <c r="N26" s="79"/>
      <c r="O26" s="79">
        <v>2550</v>
      </c>
      <c r="P26" s="79">
        <v>0</v>
      </c>
      <c r="Q26" s="79"/>
      <c r="R26" s="79">
        <v>-75</v>
      </c>
      <c r="S26" s="79">
        <v>0</v>
      </c>
      <c r="T26" s="80">
        <f>+C26+F26+I26+L26+O26+R26</f>
        <v>477418</v>
      </c>
      <c r="U26" s="80">
        <f>+D26+G26+J26+M26+P26+S26</f>
        <v>497337</v>
      </c>
      <c r="V26" s="79"/>
      <c r="W26" s="76">
        <v>497337</v>
      </c>
      <c r="X26" s="64"/>
      <c r="Y26" s="76">
        <f>+W26*0.95</f>
        <v>472470.14999999997</v>
      </c>
      <c r="Z26" s="76">
        <f>+W26-Y26</f>
        <v>24866.850000000035</v>
      </c>
      <c r="AA26" s="62"/>
    </row>
    <row r="27" spans="1:27" x14ac:dyDescent="0.2">
      <c r="A27" s="82" t="s">
        <v>428</v>
      </c>
      <c r="B27" s="81" t="s">
        <v>427</v>
      </c>
      <c r="C27" s="79"/>
      <c r="D27" s="79"/>
      <c r="E27" s="79"/>
      <c r="F27" s="79">
        <v>7385</v>
      </c>
      <c r="G27" s="79">
        <v>10000</v>
      </c>
      <c r="H27" s="79"/>
      <c r="I27" s="79">
        <v>48906</v>
      </c>
      <c r="J27" s="79">
        <v>50000</v>
      </c>
      <c r="K27" s="79"/>
      <c r="L27" s="79">
        <v>111824.5</v>
      </c>
      <c r="M27" s="79">
        <v>226822</v>
      </c>
      <c r="N27" s="79"/>
      <c r="O27" s="79">
        <v>106783</v>
      </c>
      <c r="P27" s="79">
        <v>226822</v>
      </c>
      <c r="Q27" s="79"/>
      <c r="R27" s="79">
        <v>74034</v>
      </c>
      <c r="S27" s="79">
        <v>226822</v>
      </c>
      <c r="T27" s="80">
        <f>+C27+F27+I27+L27+O27+R27</f>
        <v>348932.5</v>
      </c>
      <c r="U27" s="80">
        <f>+D27+G27+J27+M27+P27+S27</f>
        <v>740466</v>
      </c>
      <c r="V27" s="79"/>
      <c r="W27" s="76">
        <v>880085</v>
      </c>
      <c r="X27" s="64"/>
      <c r="Y27" s="76">
        <f>+W27*0.95</f>
        <v>836080.75</v>
      </c>
      <c r="Z27" s="76">
        <f>+W27-Y27</f>
        <v>44004.25</v>
      </c>
      <c r="AA27" s="62"/>
    </row>
    <row r="28" spans="1:27" x14ac:dyDescent="0.2">
      <c r="A28" s="82" t="s">
        <v>426</v>
      </c>
      <c r="B28" s="81" t="s">
        <v>425</v>
      </c>
      <c r="C28" s="79"/>
      <c r="D28" s="79"/>
      <c r="E28" s="79"/>
      <c r="F28" s="79">
        <v>3079.98</v>
      </c>
      <c r="G28" s="79">
        <v>5000</v>
      </c>
      <c r="H28" s="79"/>
      <c r="I28" s="79">
        <v>120476.34</v>
      </c>
      <c r="J28" s="79">
        <v>115000</v>
      </c>
      <c r="K28" s="79"/>
      <c r="L28" s="79">
        <v>295795.67</v>
      </c>
      <c r="M28" s="79">
        <v>140000</v>
      </c>
      <c r="N28" s="79"/>
      <c r="O28" s="79">
        <v>347179.93</v>
      </c>
      <c r="P28" s="79">
        <v>140000</v>
      </c>
      <c r="Q28" s="79"/>
      <c r="R28" s="79">
        <v>310389.46000000002</v>
      </c>
      <c r="S28" s="79">
        <v>115000</v>
      </c>
      <c r="T28" s="80">
        <f>+C28+F28+I28+L28+O28+R28</f>
        <v>1076921.3799999999</v>
      </c>
      <c r="U28" s="80">
        <f>+D28+G28+J28+M28+P28+S28</f>
        <v>515000</v>
      </c>
      <c r="V28" s="79"/>
      <c r="W28" s="76">
        <f>411257+128000</f>
        <v>539257</v>
      </c>
      <c r="X28" s="64"/>
      <c r="Y28" s="76">
        <f>+W28</f>
        <v>539257</v>
      </c>
      <c r="Z28" s="76"/>
      <c r="AA28" s="62"/>
    </row>
    <row r="29" spans="1:27" x14ac:dyDescent="0.2">
      <c r="A29" s="82" t="s">
        <v>424</v>
      </c>
      <c r="B29" s="81" t="s">
        <v>423</v>
      </c>
      <c r="C29" s="79">
        <v>80019.600000000006</v>
      </c>
      <c r="D29" s="79">
        <v>47982.38</v>
      </c>
      <c r="E29" s="79"/>
      <c r="F29" s="79">
        <v>43438.93</v>
      </c>
      <c r="G29" s="79">
        <v>55926.23</v>
      </c>
      <c r="H29" s="79"/>
      <c r="I29" s="79">
        <v>18684.04</v>
      </c>
      <c r="J29" s="79">
        <v>27496.69</v>
      </c>
      <c r="K29" s="79"/>
      <c r="L29" s="79">
        <v>13276.64</v>
      </c>
      <c r="M29" s="79">
        <v>40062.14</v>
      </c>
      <c r="N29" s="79"/>
      <c r="O29" s="79">
        <v>34490.14</v>
      </c>
      <c r="P29" s="79">
        <v>25458.67</v>
      </c>
      <c r="Q29" s="79"/>
      <c r="R29" s="79">
        <v>60275.17</v>
      </c>
      <c r="S29" s="79">
        <v>33541.699999999997</v>
      </c>
      <c r="T29" s="80">
        <f>+C29+F29+I29+L29+O29+R29</f>
        <v>250184.52000000002</v>
      </c>
      <c r="U29" s="80">
        <f>+D29+G29+J29+M29+P29+S29</f>
        <v>230467.81</v>
      </c>
      <c r="V29" s="79"/>
      <c r="W29" s="76">
        <v>600000</v>
      </c>
      <c r="X29" s="64"/>
      <c r="Y29" s="76">
        <f>+W29*0.8</f>
        <v>480000</v>
      </c>
      <c r="Z29" s="76">
        <f>+W29-Y29</f>
        <v>120000</v>
      </c>
      <c r="AA29" s="62"/>
    </row>
    <row r="30" spans="1:27" x14ac:dyDescent="0.2">
      <c r="A30" s="82" t="s">
        <v>422</v>
      </c>
      <c r="B30" s="81" t="s">
        <v>421</v>
      </c>
      <c r="C30" s="79">
        <v>2100</v>
      </c>
      <c r="D30" s="79">
        <v>1666.66</v>
      </c>
      <c r="E30" s="79"/>
      <c r="F30" s="79">
        <v>2100</v>
      </c>
      <c r="G30" s="79">
        <v>1666.66</v>
      </c>
      <c r="H30" s="79"/>
      <c r="I30" s="79">
        <v>1050</v>
      </c>
      <c r="J30" s="79">
        <v>1666.66</v>
      </c>
      <c r="K30" s="79"/>
      <c r="L30" s="79">
        <v>900</v>
      </c>
      <c r="M30" s="79">
        <v>1666.66</v>
      </c>
      <c r="N30" s="79"/>
      <c r="O30" s="79">
        <v>1200</v>
      </c>
      <c r="P30" s="79">
        <v>1666.67</v>
      </c>
      <c r="Q30" s="79"/>
      <c r="R30" s="79">
        <v>1350</v>
      </c>
      <c r="S30" s="79">
        <v>1666.67</v>
      </c>
      <c r="T30" s="80">
        <f>+C30+F30+I30+L30+O30+R30</f>
        <v>8700</v>
      </c>
      <c r="U30" s="80">
        <f>+D30+G30+J30+M30+P30+S30</f>
        <v>9999.9800000000014</v>
      </c>
      <c r="V30" s="79"/>
      <c r="W30" s="76">
        <v>20000</v>
      </c>
      <c r="X30" s="64"/>
      <c r="Y30" s="76">
        <f>+W30</f>
        <v>20000</v>
      </c>
      <c r="Z30" s="76"/>
      <c r="AA30" s="62"/>
    </row>
    <row r="31" spans="1:27" x14ac:dyDescent="0.2">
      <c r="A31" s="82" t="s">
        <v>420</v>
      </c>
      <c r="B31" s="81" t="s">
        <v>419</v>
      </c>
      <c r="C31" s="79">
        <v>4850</v>
      </c>
      <c r="D31" s="79">
        <v>2400</v>
      </c>
      <c r="E31" s="79"/>
      <c r="F31" s="79">
        <v>6795</v>
      </c>
      <c r="G31" s="79">
        <v>3600</v>
      </c>
      <c r="H31" s="79"/>
      <c r="I31" s="79">
        <v>11185</v>
      </c>
      <c r="J31" s="79">
        <v>8100</v>
      </c>
      <c r="K31" s="79"/>
      <c r="L31" s="79">
        <v>11670</v>
      </c>
      <c r="M31" s="79">
        <v>6300</v>
      </c>
      <c r="N31" s="79"/>
      <c r="O31" s="79">
        <v>9350</v>
      </c>
      <c r="P31" s="79">
        <v>6300</v>
      </c>
      <c r="Q31" s="79"/>
      <c r="R31" s="79">
        <v>4070</v>
      </c>
      <c r="S31" s="79">
        <v>1200</v>
      </c>
      <c r="T31" s="80">
        <f>+C31+F31+I31+L31+O31+R31</f>
        <v>47920</v>
      </c>
      <c r="U31" s="80">
        <f>+D31+G31+J31+M31+P31+S31</f>
        <v>27900</v>
      </c>
      <c r="V31" s="79"/>
      <c r="W31" s="76">
        <v>30000</v>
      </c>
      <c r="X31" s="64"/>
      <c r="Y31" s="76">
        <f>+W31</f>
        <v>30000</v>
      </c>
      <c r="Z31" s="76"/>
      <c r="AA31" s="62"/>
    </row>
    <row r="32" spans="1:27" x14ac:dyDescent="0.2">
      <c r="A32" s="82" t="s">
        <v>418</v>
      </c>
      <c r="B32" s="81" t="s">
        <v>417</v>
      </c>
      <c r="C32" s="79">
        <v>5737</v>
      </c>
      <c r="D32" s="79">
        <v>3934.33</v>
      </c>
      <c r="E32" s="79"/>
      <c r="F32" s="79">
        <v>8795</v>
      </c>
      <c r="G32" s="79">
        <v>7608.76</v>
      </c>
      <c r="H32" s="79"/>
      <c r="I32" s="79">
        <v>9892</v>
      </c>
      <c r="J32" s="79">
        <v>10205.120000000001</v>
      </c>
      <c r="K32" s="79"/>
      <c r="L32" s="79">
        <v>11454</v>
      </c>
      <c r="M32" s="79">
        <v>8530.1200000000008</v>
      </c>
      <c r="N32" s="79"/>
      <c r="O32" s="79">
        <v>8965</v>
      </c>
      <c r="P32" s="79">
        <v>8697.0300000000007</v>
      </c>
      <c r="Q32" s="79"/>
      <c r="R32" s="79">
        <v>6729</v>
      </c>
      <c r="S32" s="79">
        <v>8046.86</v>
      </c>
      <c r="T32" s="80">
        <f>+C32+F32+I32+L32+O32+R32</f>
        <v>51572</v>
      </c>
      <c r="U32" s="80">
        <f>+D32+G32+J32+M32+P32+S32</f>
        <v>47022.22</v>
      </c>
      <c r="V32" s="79"/>
      <c r="W32" s="76">
        <v>55000</v>
      </c>
      <c r="X32" s="64"/>
      <c r="Y32" s="76">
        <f>+W32</f>
        <v>55000</v>
      </c>
      <c r="Z32" s="76"/>
      <c r="AA32" s="62"/>
    </row>
    <row r="33" spans="1:27" x14ac:dyDescent="0.2">
      <c r="A33" s="82"/>
      <c r="B33" s="81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6"/>
      <c r="X33" s="64"/>
      <c r="Y33" s="76"/>
      <c r="Z33" s="76"/>
      <c r="AA33" s="62"/>
    </row>
    <row r="34" spans="1:27" x14ac:dyDescent="0.2">
      <c r="A34" s="75" t="s">
        <v>74</v>
      </c>
      <c r="B34" s="74" t="s">
        <v>416</v>
      </c>
      <c r="C34" s="73">
        <f>SUM(C22:C33)</f>
        <v>341974.28</v>
      </c>
      <c r="D34" s="73">
        <f>SUM(D22:D33)</f>
        <v>338605.87</v>
      </c>
      <c r="E34" s="70"/>
      <c r="F34" s="73">
        <f>SUM(F22:F33)</f>
        <v>571064.23</v>
      </c>
      <c r="G34" s="73">
        <f>SUM(G22:G33)</f>
        <v>535253.60999999987</v>
      </c>
      <c r="H34" s="70"/>
      <c r="I34" s="73">
        <f>SUM(I22:I33)</f>
        <v>289471.38</v>
      </c>
      <c r="J34" s="73">
        <f>SUM(J22:J33)</f>
        <v>311818.08999999997</v>
      </c>
      <c r="K34" s="70"/>
      <c r="L34" s="73">
        <f>SUM(L22:L33)</f>
        <v>488243.81</v>
      </c>
      <c r="M34" s="73">
        <f>SUM(M22:M33)</f>
        <v>483735.7</v>
      </c>
      <c r="N34" s="70"/>
      <c r="O34" s="73">
        <f>SUM(O22:O33)</f>
        <v>522765.07</v>
      </c>
      <c r="P34" s="73">
        <f>SUM(P22:P33)</f>
        <v>419400.89</v>
      </c>
      <c r="Q34" s="70"/>
      <c r="R34" s="73">
        <f>SUM(R22:R33)</f>
        <v>465809.63</v>
      </c>
      <c r="S34" s="73">
        <f>SUM(S22:S33)</f>
        <v>399438.47</v>
      </c>
      <c r="T34" s="73">
        <f>SUM(T22:T33)</f>
        <v>2679328.4</v>
      </c>
      <c r="U34" s="73">
        <f>SUM(U22:U33)</f>
        <v>2488252.6300000004</v>
      </c>
      <c r="V34" s="70"/>
      <c r="W34" s="73">
        <f>SUM(W22:W33)</f>
        <v>3144505</v>
      </c>
      <c r="X34" s="64"/>
      <c r="Y34" s="73">
        <f>SUM(Y22:Y33)</f>
        <v>2955633.9</v>
      </c>
      <c r="Z34" s="73">
        <f>SUM(Z22:Z33)</f>
        <v>188871.10000000003</v>
      </c>
      <c r="AA34" s="62"/>
    </row>
    <row r="35" spans="1:27" x14ac:dyDescent="0.2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4"/>
      <c r="Y35" s="61"/>
      <c r="Z35" s="68"/>
      <c r="AA35" s="62"/>
    </row>
    <row r="36" spans="1:27" x14ac:dyDescent="0.2">
      <c r="A36" s="85" t="s">
        <v>415</v>
      </c>
      <c r="B36" s="84" t="s">
        <v>414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61"/>
      <c r="X36" s="64"/>
      <c r="Y36" s="61"/>
      <c r="Z36" s="68"/>
      <c r="AA36" s="62"/>
    </row>
    <row r="37" spans="1:27" x14ac:dyDescent="0.2">
      <c r="A37" s="82" t="s">
        <v>413</v>
      </c>
      <c r="B37" s="81" t="s">
        <v>412</v>
      </c>
      <c r="C37" s="79">
        <v>4187.41</v>
      </c>
      <c r="D37" s="79">
        <v>2696.02</v>
      </c>
      <c r="E37" s="79"/>
      <c r="F37" s="79">
        <v>20978.83</v>
      </c>
      <c r="G37" s="79">
        <v>9225.6200000000008</v>
      </c>
      <c r="H37" s="79"/>
      <c r="I37" s="79">
        <v>45813.8</v>
      </c>
      <c r="J37" s="79">
        <v>43969.120000000003</v>
      </c>
      <c r="K37" s="79"/>
      <c r="L37" s="79">
        <v>56375.58</v>
      </c>
      <c r="M37" s="79">
        <v>56649.29</v>
      </c>
      <c r="N37" s="79"/>
      <c r="O37" s="79">
        <v>60287.15</v>
      </c>
      <c r="P37" s="79">
        <v>65032.36</v>
      </c>
      <c r="Q37" s="79"/>
      <c r="R37" s="79">
        <v>52554.86</v>
      </c>
      <c r="S37" s="79">
        <v>58654.55</v>
      </c>
      <c r="T37" s="80">
        <f>+C37+F37+I37+L37+O37+R37</f>
        <v>240197.63</v>
      </c>
      <c r="U37" s="80">
        <f>+D37+G37+J37+M37+P37+S37</f>
        <v>236226.96000000002</v>
      </c>
      <c r="V37" s="79"/>
      <c r="W37" s="76">
        <v>301500</v>
      </c>
      <c r="X37" s="64"/>
      <c r="Y37" s="76">
        <f>+W37</f>
        <v>301500</v>
      </c>
      <c r="Z37" s="76"/>
      <c r="AA37" s="62"/>
    </row>
    <row r="38" spans="1:27" x14ac:dyDescent="0.2">
      <c r="A38" s="82" t="s">
        <v>411</v>
      </c>
      <c r="B38" s="81" t="s">
        <v>410</v>
      </c>
      <c r="C38" s="79"/>
      <c r="D38" s="79"/>
      <c r="E38" s="79"/>
      <c r="F38" s="79"/>
      <c r="G38" s="79"/>
      <c r="H38" s="79"/>
      <c r="I38" s="79">
        <v>1152.25</v>
      </c>
      <c r="J38" s="79"/>
      <c r="K38" s="79"/>
      <c r="L38" s="79">
        <v>725</v>
      </c>
      <c r="M38" s="79"/>
      <c r="N38" s="79"/>
      <c r="O38" s="79">
        <v>1095.25</v>
      </c>
      <c r="P38" s="79"/>
      <c r="Q38" s="79"/>
      <c r="R38" s="79">
        <v>887.25</v>
      </c>
      <c r="S38" s="79">
        <v>0</v>
      </c>
      <c r="T38" s="80">
        <f>+C38+F38+I38+L38+O38+R38</f>
        <v>3859.75</v>
      </c>
      <c r="U38" s="80">
        <f>+D38+G38+J38+M38+P38+S38</f>
        <v>0</v>
      </c>
      <c r="V38" s="79"/>
      <c r="W38" s="76"/>
      <c r="X38" s="64"/>
      <c r="Y38" s="76">
        <f>+W38</f>
        <v>0</v>
      </c>
      <c r="Z38" s="76"/>
      <c r="AA38" s="62"/>
    </row>
    <row r="39" spans="1:27" x14ac:dyDescent="0.2">
      <c r="A39" s="82" t="s">
        <v>409</v>
      </c>
      <c r="B39" s="81" t="s">
        <v>408</v>
      </c>
      <c r="C39" s="79">
        <v>2499.33</v>
      </c>
      <c r="D39" s="79">
        <v>5000</v>
      </c>
      <c r="E39" s="79"/>
      <c r="F39" s="79">
        <v>2600</v>
      </c>
      <c r="G39" s="79">
        <v>5000</v>
      </c>
      <c r="H39" s="79"/>
      <c r="I39" s="79">
        <v>16161.99</v>
      </c>
      <c r="J39" s="79">
        <v>5000</v>
      </c>
      <c r="K39" s="79"/>
      <c r="L39" s="79">
        <v>18149.490000000002</v>
      </c>
      <c r="M39" s="79">
        <v>5000</v>
      </c>
      <c r="N39" s="79"/>
      <c r="O39" s="79">
        <v>10143.11</v>
      </c>
      <c r="P39" s="79">
        <v>5000</v>
      </c>
      <c r="Q39" s="79"/>
      <c r="R39" s="79">
        <v>6459.24</v>
      </c>
      <c r="S39" s="79">
        <v>5000</v>
      </c>
      <c r="T39" s="80">
        <f>+C39+F39+I39+L39+O39+R39</f>
        <v>56013.159999999996</v>
      </c>
      <c r="U39" s="80">
        <f>+D39+G39+J39+M39+P39+S39</f>
        <v>30000</v>
      </c>
      <c r="V39" s="79"/>
      <c r="W39" s="76">
        <v>60000</v>
      </c>
      <c r="X39" s="64"/>
      <c r="Y39" s="76">
        <f>+W39</f>
        <v>60000</v>
      </c>
      <c r="Z39" s="76"/>
      <c r="AA39" s="62"/>
    </row>
    <row r="40" spans="1:27" x14ac:dyDescent="0.2">
      <c r="A40" s="82" t="s">
        <v>407</v>
      </c>
      <c r="B40" s="81" t="s">
        <v>406</v>
      </c>
      <c r="C40" s="79">
        <v>1088.75</v>
      </c>
      <c r="D40" s="79">
        <v>1041.6600000000001</v>
      </c>
      <c r="E40" s="79"/>
      <c r="F40" s="79">
        <v>1544</v>
      </c>
      <c r="G40" s="79">
        <v>1041.6600000000001</v>
      </c>
      <c r="H40" s="79"/>
      <c r="I40" s="79">
        <v>2842</v>
      </c>
      <c r="J40" s="79">
        <v>1041.6600000000001</v>
      </c>
      <c r="K40" s="79"/>
      <c r="L40" s="79">
        <v>2986.75</v>
      </c>
      <c r="M40" s="79">
        <v>1041.6600000000001</v>
      </c>
      <c r="N40" s="79"/>
      <c r="O40" s="79">
        <v>1480</v>
      </c>
      <c r="P40" s="79">
        <v>1041.67</v>
      </c>
      <c r="Q40" s="79"/>
      <c r="R40" s="79">
        <v>1968.75</v>
      </c>
      <c r="S40" s="79">
        <v>1041.67</v>
      </c>
      <c r="T40" s="80">
        <f>+C40+F40+I40+L40+O40+R40</f>
        <v>11910.25</v>
      </c>
      <c r="U40" s="80">
        <f>+D40+G40+J40+M40+P40+S40</f>
        <v>6249.9800000000005</v>
      </c>
      <c r="V40" s="79"/>
      <c r="W40" s="76">
        <v>12500</v>
      </c>
      <c r="X40" s="64"/>
      <c r="Y40" s="76">
        <f>+W40</f>
        <v>12500</v>
      </c>
      <c r="Z40" s="76"/>
      <c r="AA40" s="62"/>
    </row>
    <row r="41" spans="1:27" x14ac:dyDescent="0.2">
      <c r="A41" s="82" t="s">
        <v>405</v>
      </c>
      <c r="B41" s="81" t="s">
        <v>404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>
        <v>0</v>
      </c>
      <c r="S41" s="79">
        <v>0</v>
      </c>
      <c r="T41" s="80">
        <f>+C41+F41+I41+L41+O41+R41</f>
        <v>0</v>
      </c>
      <c r="U41" s="80">
        <f>+D41+G41+J41+M41+P41+S41</f>
        <v>0</v>
      </c>
      <c r="V41" s="79"/>
      <c r="W41" s="76"/>
      <c r="X41" s="64"/>
      <c r="Y41" s="76">
        <f>+W41</f>
        <v>0</v>
      </c>
      <c r="Z41" s="76"/>
      <c r="AA41" s="62"/>
    </row>
    <row r="42" spans="1:27" x14ac:dyDescent="0.2">
      <c r="A42" s="82" t="s">
        <v>403</v>
      </c>
      <c r="B42" s="81" t="s">
        <v>402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>
        <v>229.57</v>
      </c>
      <c r="P42" s="79"/>
      <c r="Q42" s="79"/>
      <c r="R42" s="79">
        <v>0</v>
      </c>
      <c r="S42" s="79">
        <v>0</v>
      </c>
      <c r="T42" s="80">
        <f>+C42+F42+I42+L42+O42+R42</f>
        <v>229.57</v>
      </c>
      <c r="U42" s="80">
        <f>+D42+G42+J42+M42+P42+S42</f>
        <v>0</v>
      </c>
      <c r="V42" s="79"/>
      <c r="W42" s="76"/>
      <c r="X42" s="64"/>
      <c r="Y42" s="76">
        <f>+W42</f>
        <v>0</v>
      </c>
      <c r="Z42" s="76"/>
      <c r="AA42" s="62"/>
    </row>
    <row r="43" spans="1:27" x14ac:dyDescent="0.2">
      <c r="A43" s="82" t="s">
        <v>401</v>
      </c>
      <c r="B43" s="81" t="s">
        <v>400</v>
      </c>
      <c r="C43" s="79">
        <v>328.75</v>
      </c>
      <c r="D43" s="79">
        <v>375</v>
      </c>
      <c r="E43" s="79"/>
      <c r="F43" s="79">
        <v>225</v>
      </c>
      <c r="G43" s="79">
        <v>375</v>
      </c>
      <c r="H43" s="79"/>
      <c r="I43" s="79">
        <v>250</v>
      </c>
      <c r="J43" s="79">
        <v>375</v>
      </c>
      <c r="K43" s="79"/>
      <c r="L43" s="79">
        <v>634</v>
      </c>
      <c r="M43" s="79">
        <v>375</v>
      </c>
      <c r="N43" s="79"/>
      <c r="O43" s="79">
        <v>240</v>
      </c>
      <c r="P43" s="79">
        <v>375</v>
      </c>
      <c r="Q43" s="79"/>
      <c r="R43" s="79">
        <v>475</v>
      </c>
      <c r="S43" s="79">
        <v>375</v>
      </c>
      <c r="T43" s="80">
        <f>+C43+F43+I43+L43+O43+R43</f>
        <v>2152.75</v>
      </c>
      <c r="U43" s="80">
        <f>+D43+G43+J43+M43+P43+S43</f>
        <v>2250</v>
      </c>
      <c r="V43" s="79"/>
      <c r="W43" s="76">
        <v>4500</v>
      </c>
      <c r="X43" s="64"/>
      <c r="Y43" s="76">
        <f>+W43</f>
        <v>4500</v>
      </c>
      <c r="Z43" s="76"/>
      <c r="AA43" s="62"/>
    </row>
    <row r="44" spans="1:27" x14ac:dyDescent="0.2">
      <c r="A44" s="82"/>
      <c r="B44" s="81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6"/>
      <c r="X44" s="64"/>
      <c r="Y44" s="76"/>
      <c r="Z44" s="76"/>
      <c r="AA44" s="62"/>
    </row>
    <row r="45" spans="1:27" x14ac:dyDescent="0.2">
      <c r="A45" s="75" t="s">
        <v>74</v>
      </c>
      <c r="B45" s="74" t="s">
        <v>399</v>
      </c>
      <c r="C45" s="73">
        <f>SUM(C37:C44)</f>
        <v>8104.24</v>
      </c>
      <c r="D45" s="73">
        <f>SUM(D37:D44)</f>
        <v>9112.68</v>
      </c>
      <c r="E45" s="70"/>
      <c r="F45" s="73">
        <f>SUM(F37:F44)</f>
        <v>25347.83</v>
      </c>
      <c r="G45" s="73">
        <f>SUM(G37:G44)</f>
        <v>15642.28</v>
      </c>
      <c r="H45" s="70"/>
      <c r="I45" s="73">
        <f>SUM(I37:I44)</f>
        <v>66220.040000000008</v>
      </c>
      <c r="J45" s="73">
        <f>SUM(J37:J44)</f>
        <v>50385.780000000006</v>
      </c>
      <c r="K45" s="70"/>
      <c r="L45" s="73">
        <f>SUM(L37:L44)</f>
        <v>78870.820000000007</v>
      </c>
      <c r="M45" s="73">
        <f>SUM(M37:M44)</f>
        <v>63065.950000000004</v>
      </c>
      <c r="N45" s="70"/>
      <c r="O45" s="73">
        <f>SUM(O37:O44)</f>
        <v>73475.080000000016</v>
      </c>
      <c r="P45" s="73">
        <f>SUM(P37:P44)</f>
        <v>71449.03</v>
      </c>
      <c r="Q45" s="70"/>
      <c r="R45" s="73">
        <f>SUM(R37:R44)</f>
        <v>62345.1</v>
      </c>
      <c r="S45" s="73">
        <f>SUM(S37:S44)</f>
        <v>65071.22</v>
      </c>
      <c r="T45" s="73">
        <f>SUM(T37:T44)</f>
        <v>314363.11</v>
      </c>
      <c r="U45" s="73">
        <f>SUM(U37:U44)</f>
        <v>274726.94</v>
      </c>
      <c r="V45" s="70"/>
      <c r="W45" s="73">
        <f>SUM(W37:W44)</f>
        <v>378500</v>
      </c>
      <c r="X45" s="64"/>
      <c r="Y45" s="73">
        <f>SUM(Y37:Y44)</f>
        <v>378500</v>
      </c>
      <c r="Z45" s="73">
        <f>SUM(Z37:Z44)</f>
        <v>0</v>
      </c>
      <c r="AA45" s="62"/>
    </row>
    <row r="46" spans="1:27" x14ac:dyDescent="0.2"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4"/>
      <c r="Y46" s="61"/>
      <c r="Z46" s="68"/>
      <c r="AA46" s="62"/>
    </row>
    <row r="47" spans="1:27" x14ac:dyDescent="0.2">
      <c r="A47" s="85" t="s">
        <v>398</v>
      </c>
      <c r="B47" s="84" t="s">
        <v>397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61"/>
      <c r="X47" s="64"/>
      <c r="Y47" s="61"/>
      <c r="Z47" s="68"/>
      <c r="AA47" s="62"/>
    </row>
    <row r="48" spans="1:27" x14ac:dyDescent="0.2">
      <c r="A48" s="82">
        <v>4040980</v>
      </c>
      <c r="B48" s="81" t="s">
        <v>396</v>
      </c>
      <c r="C48" s="79"/>
      <c r="D48" s="79">
        <v>6250</v>
      </c>
      <c r="E48" s="79"/>
      <c r="F48" s="79"/>
      <c r="G48" s="79">
        <v>6250</v>
      </c>
      <c r="H48" s="79"/>
      <c r="I48" s="79">
        <v>3215.19</v>
      </c>
      <c r="J48" s="79">
        <v>6250</v>
      </c>
      <c r="K48" s="79"/>
      <c r="L48" s="79"/>
      <c r="M48" s="79">
        <v>6250</v>
      </c>
      <c r="N48" s="79"/>
      <c r="O48" s="79"/>
      <c r="P48" s="79">
        <v>6250</v>
      </c>
      <c r="Q48" s="79"/>
      <c r="R48" s="79">
        <v>0</v>
      </c>
      <c r="S48" s="79">
        <v>6250</v>
      </c>
      <c r="T48" s="80">
        <f>+C48+F48+I48+L48+O48+R48</f>
        <v>3215.19</v>
      </c>
      <c r="U48" s="80">
        <f>+D48+G48+J48+M48+P48+S48</f>
        <v>37500</v>
      </c>
      <c r="V48" s="79"/>
      <c r="W48" s="76">
        <v>75000</v>
      </c>
      <c r="X48" s="64"/>
      <c r="Y48" s="76"/>
      <c r="Z48" s="76">
        <f>+W48</f>
        <v>75000</v>
      </c>
      <c r="AA48" s="62"/>
    </row>
    <row r="49" spans="1:27" x14ac:dyDescent="0.2">
      <c r="A49" s="82" t="s">
        <v>395</v>
      </c>
      <c r="B49" s="81" t="s">
        <v>394</v>
      </c>
      <c r="C49" s="79"/>
      <c r="D49" s="79">
        <v>416.66</v>
      </c>
      <c r="E49" s="79"/>
      <c r="F49" s="79"/>
      <c r="G49" s="79">
        <v>416.66</v>
      </c>
      <c r="H49" s="79"/>
      <c r="I49" s="79"/>
      <c r="J49" s="79">
        <v>416.66</v>
      </c>
      <c r="K49" s="79"/>
      <c r="L49" s="79">
        <v>0</v>
      </c>
      <c r="M49" s="79">
        <v>416.66</v>
      </c>
      <c r="N49" s="79"/>
      <c r="O49" s="79">
        <v>0</v>
      </c>
      <c r="P49" s="79">
        <v>416.67</v>
      </c>
      <c r="Q49" s="79"/>
      <c r="R49" s="79">
        <v>0</v>
      </c>
      <c r="S49" s="79">
        <v>416.67</v>
      </c>
      <c r="T49" s="80">
        <f>+C49+F49+I49+L49+O49+R49</f>
        <v>0</v>
      </c>
      <c r="U49" s="80">
        <f>+D49+G49+J49+M49+P49+S49</f>
        <v>2499.98</v>
      </c>
      <c r="V49" s="79"/>
      <c r="W49" s="76">
        <v>5000</v>
      </c>
      <c r="X49" s="64"/>
      <c r="Y49" s="76"/>
      <c r="Z49" s="76">
        <f>+W49</f>
        <v>5000</v>
      </c>
      <c r="AA49" s="62"/>
    </row>
    <row r="50" spans="1:27" x14ac:dyDescent="0.2">
      <c r="A50" s="82" t="s">
        <v>393</v>
      </c>
      <c r="B50" s="81" t="s">
        <v>392</v>
      </c>
      <c r="C50" s="79">
        <v>1242.94</v>
      </c>
      <c r="D50" s="79">
        <v>416.66</v>
      </c>
      <c r="E50" s="79"/>
      <c r="F50" s="79"/>
      <c r="G50" s="79">
        <v>416.66</v>
      </c>
      <c r="H50" s="79"/>
      <c r="I50" s="79"/>
      <c r="J50" s="79">
        <v>416.66</v>
      </c>
      <c r="K50" s="79"/>
      <c r="L50" s="79"/>
      <c r="M50" s="79">
        <v>416.66</v>
      </c>
      <c r="N50" s="79"/>
      <c r="O50" s="79"/>
      <c r="P50" s="79">
        <v>416.67</v>
      </c>
      <c r="Q50" s="79"/>
      <c r="R50" s="79">
        <v>0</v>
      </c>
      <c r="S50" s="79">
        <v>416.67</v>
      </c>
      <c r="T50" s="80">
        <f>+C50+F50+I50+L50+O50+R50</f>
        <v>1242.94</v>
      </c>
      <c r="U50" s="80">
        <f>+D50+G50+J50+M50+P50+S50</f>
        <v>2499.98</v>
      </c>
      <c r="V50" s="79"/>
      <c r="W50" s="76">
        <v>5000</v>
      </c>
      <c r="X50" s="64"/>
      <c r="Y50" s="76"/>
      <c r="Z50" s="76">
        <f>+W50</f>
        <v>5000</v>
      </c>
      <c r="AA50" s="62"/>
    </row>
    <row r="51" spans="1:27" x14ac:dyDescent="0.2">
      <c r="A51" s="82" t="s">
        <v>391</v>
      </c>
      <c r="B51" s="81" t="s">
        <v>390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>
        <v>10436.52</v>
      </c>
      <c r="S51" s="79">
        <v>20000</v>
      </c>
      <c r="T51" s="80">
        <f>+C51+F51+I51+L51+O51+R51</f>
        <v>10436.52</v>
      </c>
      <c r="U51" s="80">
        <f>+D51+G51+J51+M51+P51+S51</f>
        <v>20000</v>
      </c>
      <c r="V51" s="79"/>
      <c r="W51" s="76">
        <v>20000</v>
      </c>
      <c r="X51" s="64"/>
      <c r="Y51" s="76"/>
      <c r="Z51" s="76">
        <f>+W51</f>
        <v>20000</v>
      </c>
      <c r="AA51" s="62"/>
    </row>
    <row r="52" spans="1:27" x14ac:dyDescent="0.2">
      <c r="A52" s="82">
        <v>4060400</v>
      </c>
      <c r="B52" s="81" t="s">
        <v>389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>
        <v>0</v>
      </c>
      <c r="S52" s="79">
        <v>0</v>
      </c>
      <c r="T52" s="80">
        <f>+C52+F52+I52+L52+O52+R52</f>
        <v>0</v>
      </c>
      <c r="U52" s="80">
        <f>+D52+G52+J52+M52+P52+S52</f>
        <v>0</v>
      </c>
      <c r="V52" s="79"/>
      <c r="W52" s="76"/>
      <c r="X52" s="64"/>
      <c r="Y52" s="76"/>
      <c r="Z52" s="76"/>
      <c r="AA52" s="62"/>
    </row>
    <row r="53" spans="1:27" x14ac:dyDescent="0.2">
      <c r="A53" s="82" t="s">
        <v>388</v>
      </c>
      <c r="B53" s="81" t="s">
        <v>387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>
        <v>0</v>
      </c>
      <c r="S53" s="79">
        <v>0</v>
      </c>
      <c r="T53" s="80">
        <f>+C53+F53+I53+L53+O53+R53</f>
        <v>0</v>
      </c>
      <c r="U53" s="80">
        <f>+D53+G53+J53+M53+P53+S53</f>
        <v>0</v>
      </c>
      <c r="V53" s="79"/>
      <c r="W53" s="76">
        <v>0</v>
      </c>
      <c r="X53" s="64"/>
      <c r="Y53" s="76"/>
      <c r="Z53" s="76">
        <f>+W53</f>
        <v>0</v>
      </c>
      <c r="AA53" s="62"/>
    </row>
    <row r="54" spans="1:27" x14ac:dyDescent="0.2">
      <c r="A54" s="82">
        <v>4060600</v>
      </c>
      <c r="B54" s="81" t="s">
        <v>386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>
        <v>0</v>
      </c>
      <c r="S54" s="79">
        <v>0</v>
      </c>
      <c r="T54" s="80">
        <f>+C54+F54+I54+L54+O54+R54</f>
        <v>0</v>
      </c>
      <c r="U54" s="80">
        <f>+D54+G54+J54+M54+P54+S54</f>
        <v>0</v>
      </c>
      <c r="V54" s="79"/>
      <c r="W54" s="76">
        <v>0</v>
      </c>
      <c r="X54" s="64"/>
      <c r="Y54" s="76"/>
      <c r="Z54" s="76">
        <f>+W54</f>
        <v>0</v>
      </c>
      <c r="AA54" s="62"/>
    </row>
    <row r="55" spans="1:27" x14ac:dyDescent="0.2">
      <c r="A55" s="82">
        <v>4060800</v>
      </c>
      <c r="B55" s="81" t="s">
        <v>385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>
        <v>0</v>
      </c>
      <c r="S55" s="79">
        <v>0</v>
      </c>
      <c r="T55" s="80">
        <f>+C55+F55+I55+L55+O55+R55</f>
        <v>0</v>
      </c>
      <c r="U55" s="80">
        <f>+D55+G55+J55+M55+P55+S55</f>
        <v>0</v>
      </c>
      <c r="V55" s="79"/>
      <c r="W55" s="76">
        <v>0</v>
      </c>
      <c r="X55" s="64"/>
      <c r="Y55" s="76"/>
      <c r="Z55" s="76">
        <f>+W55</f>
        <v>0</v>
      </c>
      <c r="AA55" s="62"/>
    </row>
    <row r="56" spans="1:27" x14ac:dyDescent="0.2">
      <c r="A56" s="82">
        <v>4060900</v>
      </c>
      <c r="B56" s="81" t="s">
        <v>384</v>
      </c>
      <c r="C56" s="79"/>
      <c r="D56" s="79"/>
      <c r="E56" s="79"/>
      <c r="F56" s="79"/>
      <c r="G56" s="79"/>
      <c r="H56" s="79"/>
      <c r="I56" s="79">
        <v>10174.450000000001</v>
      </c>
      <c r="J56" s="79"/>
      <c r="K56" s="79"/>
      <c r="L56" s="79">
        <v>5000</v>
      </c>
      <c r="M56" s="79"/>
      <c r="N56" s="79"/>
      <c r="O56" s="79"/>
      <c r="P56" s="79"/>
      <c r="Q56" s="79"/>
      <c r="R56" s="79">
        <v>1957.9</v>
      </c>
      <c r="S56" s="79">
        <v>0</v>
      </c>
      <c r="T56" s="80">
        <f>+C56+F56+I56+L56+O56+R56</f>
        <v>17132.350000000002</v>
      </c>
      <c r="U56" s="80">
        <f>+D56+G56+J56+M56+P56+S56</f>
        <v>0</v>
      </c>
      <c r="V56" s="79"/>
      <c r="W56" s="76">
        <v>0</v>
      </c>
      <c r="X56" s="64"/>
      <c r="Y56" s="76"/>
      <c r="Z56" s="76">
        <f>+W56</f>
        <v>0</v>
      </c>
      <c r="AA56" s="62"/>
    </row>
    <row r="57" spans="1:27" x14ac:dyDescent="0.2">
      <c r="A57" s="82" t="s">
        <v>383</v>
      </c>
      <c r="B57" s="81" t="s">
        <v>382</v>
      </c>
      <c r="C57" s="79">
        <v>4750</v>
      </c>
      <c r="D57" s="79">
        <v>13334</v>
      </c>
      <c r="E57" s="79"/>
      <c r="F57" s="79">
        <v>500</v>
      </c>
      <c r="G57" s="79">
        <v>13334</v>
      </c>
      <c r="H57" s="79"/>
      <c r="I57" s="79">
        <v>425</v>
      </c>
      <c r="J57" s="79">
        <v>13334</v>
      </c>
      <c r="K57" s="79"/>
      <c r="L57" s="79">
        <v>16494</v>
      </c>
      <c r="M57" s="79">
        <v>13334</v>
      </c>
      <c r="N57" s="79"/>
      <c r="O57" s="79">
        <v>40000</v>
      </c>
      <c r="P57" s="79">
        <v>13333</v>
      </c>
      <c r="Q57" s="79"/>
      <c r="R57" s="79">
        <v>0</v>
      </c>
      <c r="S57" s="79">
        <v>13333</v>
      </c>
      <c r="T57" s="80">
        <f>+C57+F57+I57+L57+O57+R57</f>
        <v>62169</v>
      </c>
      <c r="U57" s="80">
        <f>+D57+G57+J57+M57+P57+S57</f>
        <v>80002</v>
      </c>
      <c r="V57" s="79"/>
      <c r="W57" s="76">
        <f>30000+130000</f>
        <v>160000</v>
      </c>
      <c r="X57" s="64"/>
      <c r="Y57" s="76"/>
      <c r="Z57" s="76">
        <f>+W57</f>
        <v>160000</v>
      </c>
      <c r="AA57" s="62"/>
    </row>
    <row r="58" spans="1:27" x14ac:dyDescent="0.2">
      <c r="A58" s="78"/>
      <c r="B58" s="77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64"/>
      <c r="Y58" s="76"/>
      <c r="Z58" s="76"/>
      <c r="AA58" s="62"/>
    </row>
    <row r="59" spans="1:27" x14ac:dyDescent="0.2">
      <c r="A59" s="75" t="s">
        <v>74</v>
      </c>
      <c r="B59" s="74" t="s">
        <v>381</v>
      </c>
      <c r="C59" s="73">
        <f>SUM(C48:C58)</f>
        <v>5992.9400000000005</v>
      </c>
      <c r="D59" s="73">
        <f>SUM(D48:D58)</f>
        <v>20417.32</v>
      </c>
      <c r="E59" s="70"/>
      <c r="F59" s="73">
        <f>SUM(F48:F58)</f>
        <v>500</v>
      </c>
      <c r="G59" s="73">
        <f>SUM(G48:G58)</f>
        <v>20417.32</v>
      </c>
      <c r="H59" s="70"/>
      <c r="I59" s="73">
        <f>SUM(I48:I58)</f>
        <v>13814.640000000001</v>
      </c>
      <c r="J59" s="73">
        <f>SUM(J48:J58)</f>
        <v>20417.32</v>
      </c>
      <c r="K59" s="70"/>
      <c r="L59" s="73">
        <f>SUM(L48:L58)</f>
        <v>21494</v>
      </c>
      <c r="M59" s="73">
        <f>SUM(M48:M58)</f>
        <v>20417.32</v>
      </c>
      <c r="N59" s="70"/>
      <c r="O59" s="73">
        <f>SUM(O48:O58)</f>
        <v>40000</v>
      </c>
      <c r="P59" s="73">
        <f>SUM(P48:P58)</f>
        <v>20416.34</v>
      </c>
      <c r="Q59" s="70"/>
      <c r="R59" s="73">
        <f>SUM(R48:R58)</f>
        <v>12394.42</v>
      </c>
      <c r="S59" s="73">
        <f>SUM(S48:S58)</f>
        <v>40416.339999999997</v>
      </c>
      <c r="T59" s="73">
        <f>SUM(T48:T58)</f>
        <v>94196</v>
      </c>
      <c r="U59" s="73">
        <f>SUM(U48:U58)</f>
        <v>142501.96000000002</v>
      </c>
      <c r="V59" s="70"/>
      <c r="W59" s="73">
        <f>SUM(W48:W58)</f>
        <v>265000</v>
      </c>
      <c r="X59" s="64"/>
      <c r="Y59" s="73">
        <f>SUM(Y48:Y58)</f>
        <v>0</v>
      </c>
      <c r="Z59" s="73">
        <f>SUM(Z48:Z58)</f>
        <v>265000</v>
      </c>
      <c r="AA59" s="62"/>
    </row>
    <row r="60" spans="1:27" x14ac:dyDescent="0.2"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4"/>
      <c r="Y60" s="61"/>
      <c r="Z60" s="68"/>
      <c r="AA60" s="62"/>
    </row>
    <row r="61" spans="1:27" x14ac:dyDescent="0.2">
      <c r="A61" s="85" t="s">
        <v>380</v>
      </c>
      <c r="B61" s="84" t="s">
        <v>379</v>
      </c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61"/>
      <c r="X61" s="64"/>
      <c r="Y61" s="61"/>
      <c r="Z61" s="68"/>
      <c r="AA61" s="62"/>
    </row>
    <row r="62" spans="1:27" x14ac:dyDescent="0.2">
      <c r="A62" s="82" t="s">
        <v>378</v>
      </c>
      <c r="B62" s="81" t="s">
        <v>313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80">
        <f>+C62+F62+I62+L62+O62+R62</f>
        <v>0</v>
      </c>
      <c r="U62" s="80">
        <f>+D62+G62+J62+M62+P62+S62</f>
        <v>0</v>
      </c>
      <c r="V62" s="79"/>
      <c r="W62" s="76"/>
      <c r="X62" s="64"/>
      <c r="Y62" s="76"/>
      <c r="Z62" s="76"/>
      <c r="AA62" s="62"/>
    </row>
    <row r="63" spans="1:27" x14ac:dyDescent="0.2">
      <c r="A63" s="82" t="s">
        <v>377</v>
      </c>
      <c r="B63" s="81" t="s">
        <v>376</v>
      </c>
      <c r="C63" s="79">
        <v>2000</v>
      </c>
      <c r="D63" s="79">
        <v>416.66</v>
      </c>
      <c r="E63" s="79"/>
      <c r="F63" s="79">
        <v>1100</v>
      </c>
      <c r="G63" s="79">
        <v>416.66</v>
      </c>
      <c r="H63" s="79"/>
      <c r="I63" s="79">
        <v>660</v>
      </c>
      <c r="J63" s="79">
        <v>416.66</v>
      </c>
      <c r="K63" s="79"/>
      <c r="L63" s="79">
        <v>118</v>
      </c>
      <c r="M63" s="79">
        <v>416.66</v>
      </c>
      <c r="N63" s="79"/>
      <c r="O63" s="79">
        <v>200</v>
      </c>
      <c r="P63" s="79">
        <v>416.67</v>
      </c>
      <c r="Q63" s="79"/>
      <c r="R63" s="79">
        <v>1000</v>
      </c>
      <c r="S63" s="79">
        <v>416.67</v>
      </c>
      <c r="T63" s="80">
        <f>+C63+F63+I63+L63+O63+R63</f>
        <v>5078</v>
      </c>
      <c r="U63" s="80">
        <f>+D63+G63+J63+M63+P63+S63</f>
        <v>2499.98</v>
      </c>
      <c r="V63" s="79"/>
      <c r="W63" s="76">
        <v>5000</v>
      </c>
      <c r="X63" s="64"/>
      <c r="Y63" s="76"/>
      <c r="Z63" s="76">
        <f>+W63</f>
        <v>5000</v>
      </c>
      <c r="AA63" s="62"/>
    </row>
    <row r="64" spans="1:27" x14ac:dyDescent="0.2">
      <c r="A64" s="82" t="s">
        <v>375</v>
      </c>
      <c r="B64" s="81" t="s">
        <v>374</v>
      </c>
      <c r="C64" s="79"/>
      <c r="D64" s="79">
        <v>80</v>
      </c>
      <c r="E64" s="79"/>
      <c r="F64" s="79"/>
      <c r="G64" s="79">
        <v>85</v>
      </c>
      <c r="H64" s="79"/>
      <c r="I64" s="79">
        <v>200</v>
      </c>
      <c r="J64" s="79">
        <v>80</v>
      </c>
      <c r="K64" s="79"/>
      <c r="L64" s="79">
        <v>100</v>
      </c>
      <c r="M64" s="79">
        <v>85</v>
      </c>
      <c r="N64" s="79"/>
      <c r="O64" s="79">
        <v>175</v>
      </c>
      <c r="P64" s="79">
        <v>80</v>
      </c>
      <c r="Q64" s="79"/>
      <c r="R64" s="79">
        <v>125</v>
      </c>
      <c r="S64" s="79">
        <v>85</v>
      </c>
      <c r="T64" s="80">
        <f>+C64+F64+I64+L64+O64+R64</f>
        <v>600</v>
      </c>
      <c r="U64" s="80">
        <f>+D64+G64+J64+M64+P64+S64</f>
        <v>495</v>
      </c>
      <c r="V64" s="79"/>
      <c r="W64" s="76">
        <v>1000</v>
      </c>
      <c r="X64" s="64"/>
      <c r="Y64" s="76">
        <f>+W64</f>
        <v>1000</v>
      </c>
      <c r="Z64" s="76"/>
      <c r="AA64" s="62"/>
    </row>
    <row r="65" spans="1:27" x14ac:dyDescent="0.2">
      <c r="A65" s="82" t="s">
        <v>373</v>
      </c>
      <c r="B65" s="81" t="s">
        <v>372</v>
      </c>
      <c r="C65" s="79">
        <v>1794.12</v>
      </c>
      <c r="D65" s="79">
        <v>1250</v>
      </c>
      <c r="E65" s="79"/>
      <c r="F65" s="79">
        <v>642.24</v>
      </c>
      <c r="G65" s="79">
        <v>1250</v>
      </c>
      <c r="H65" s="79"/>
      <c r="I65" s="79"/>
      <c r="J65" s="79">
        <v>1250</v>
      </c>
      <c r="K65" s="79"/>
      <c r="L65" s="79">
        <v>14832.17</v>
      </c>
      <c r="M65" s="79">
        <v>1250</v>
      </c>
      <c r="N65" s="79"/>
      <c r="O65" s="79">
        <v>11906.59</v>
      </c>
      <c r="P65" s="79">
        <v>1250</v>
      </c>
      <c r="Q65" s="79"/>
      <c r="R65" s="79">
        <v>14521.7</v>
      </c>
      <c r="S65" s="79">
        <v>1250</v>
      </c>
      <c r="T65" s="80">
        <f>+C65+F65+I65+L65+O65+R65</f>
        <v>43696.82</v>
      </c>
      <c r="U65" s="80">
        <f>+D65+G65+J65+M65+P65+S65</f>
        <v>7500</v>
      </c>
      <c r="V65" s="79"/>
      <c r="W65" s="76">
        <v>15000</v>
      </c>
      <c r="X65" s="64"/>
      <c r="Y65" s="76">
        <f>+W65</f>
        <v>15000</v>
      </c>
      <c r="Z65" s="76"/>
      <c r="AA65" s="62"/>
    </row>
    <row r="66" spans="1:27" x14ac:dyDescent="0.2">
      <c r="A66" s="82" t="s">
        <v>371</v>
      </c>
      <c r="B66" s="81" t="s">
        <v>370</v>
      </c>
      <c r="C66" s="79"/>
      <c r="D66" s="79"/>
      <c r="E66" s="79"/>
      <c r="F66" s="79">
        <v>35739.71</v>
      </c>
      <c r="G66" s="79">
        <v>35000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>
        <v>0</v>
      </c>
      <c r="S66" s="79">
        <v>0</v>
      </c>
      <c r="T66" s="80">
        <f>+C66+F66+I66+L66+O66+R66</f>
        <v>35739.71</v>
      </c>
      <c r="U66" s="80">
        <f>+D66+G66+J66+M66+P66+S66</f>
        <v>35000</v>
      </c>
      <c r="V66" s="79"/>
      <c r="W66" s="76">
        <v>70000</v>
      </c>
      <c r="X66" s="64"/>
      <c r="Y66" s="76">
        <f>+W66</f>
        <v>70000</v>
      </c>
      <c r="Z66" s="76"/>
      <c r="AA66" s="62"/>
    </row>
    <row r="67" spans="1:27" x14ac:dyDescent="0.2">
      <c r="A67" s="82"/>
      <c r="B67" s="81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6"/>
      <c r="X67" s="64"/>
      <c r="Y67" s="76"/>
      <c r="Z67" s="76"/>
      <c r="AA67" s="62"/>
    </row>
    <row r="68" spans="1:27" x14ac:dyDescent="0.2">
      <c r="A68" s="75" t="s">
        <v>74</v>
      </c>
      <c r="B68" s="74" t="s">
        <v>369</v>
      </c>
      <c r="C68" s="73">
        <f>SUM(C62:C67)</f>
        <v>3794.12</v>
      </c>
      <c r="D68" s="73">
        <f>SUM(D62:D67)</f>
        <v>1746.66</v>
      </c>
      <c r="E68" s="70"/>
      <c r="F68" s="73">
        <f>SUM(F62:F67)</f>
        <v>37481.949999999997</v>
      </c>
      <c r="G68" s="73">
        <f>SUM(G62:G67)</f>
        <v>36751.660000000003</v>
      </c>
      <c r="H68" s="70"/>
      <c r="I68" s="73">
        <f>SUM(I62:I67)</f>
        <v>860</v>
      </c>
      <c r="J68" s="73">
        <f>SUM(J62:J67)</f>
        <v>1746.66</v>
      </c>
      <c r="K68" s="70"/>
      <c r="L68" s="73">
        <f>SUM(L62:L67)</f>
        <v>15050.17</v>
      </c>
      <c r="M68" s="73">
        <f>SUM(M62:M67)</f>
        <v>1751.66</v>
      </c>
      <c r="N68" s="70"/>
      <c r="O68" s="73">
        <f>SUM(O62:O67)</f>
        <v>12281.59</v>
      </c>
      <c r="P68" s="73">
        <f>SUM(P62:P67)</f>
        <v>1746.67</v>
      </c>
      <c r="Q68" s="70"/>
      <c r="R68" s="73">
        <f>SUM(R62:R67)</f>
        <v>15646.7</v>
      </c>
      <c r="S68" s="73">
        <f>SUM(S62:S67)</f>
        <v>1751.67</v>
      </c>
      <c r="T68" s="73">
        <f>SUM(T62:T67)</f>
        <v>85114.53</v>
      </c>
      <c r="U68" s="73">
        <f>SUM(U62:U67)</f>
        <v>45494.979999999996</v>
      </c>
      <c r="V68" s="70"/>
      <c r="W68" s="73">
        <f>SUM(W62:W67)</f>
        <v>91000</v>
      </c>
      <c r="X68" s="64"/>
      <c r="Y68" s="73">
        <f>SUM(Y62:Y67)</f>
        <v>86000</v>
      </c>
      <c r="Z68" s="73">
        <f>SUM(Z62:Z67)</f>
        <v>5000</v>
      </c>
      <c r="AA68" s="62"/>
    </row>
    <row r="69" spans="1:27" x14ac:dyDescent="0.2"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4"/>
      <c r="Y69" s="61"/>
      <c r="Z69" s="68"/>
      <c r="AA69" s="62"/>
    </row>
    <row r="70" spans="1:27" x14ac:dyDescent="0.2">
      <c r="A70" s="85" t="s">
        <v>368</v>
      </c>
      <c r="B70" s="84" t="s">
        <v>367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61"/>
      <c r="X70" s="64"/>
      <c r="Y70" s="61"/>
      <c r="Z70" s="68"/>
      <c r="AA70" s="62"/>
    </row>
    <row r="71" spans="1:27" x14ac:dyDescent="0.2">
      <c r="A71" s="82" t="s">
        <v>366</v>
      </c>
      <c r="B71" s="81" t="s">
        <v>365</v>
      </c>
      <c r="C71" s="79"/>
      <c r="D71" s="79">
        <v>166.66</v>
      </c>
      <c r="E71" s="79"/>
      <c r="F71" s="79"/>
      <c r="G71" s="79">
        <v>166.66</v>
      </c>
      <c r="H71" s="79"/>
      <c r="I71" s="79">
        <v>250</v>
      </c>
      <c r="J71" s="79">
        <v>166.66</v>
      </c>
      <c r="K71" s="79"/>
      <c r="L71" s="79">
        <v>1715</v>
      </c>
      <c r="M71" s="79">
        <v>166.66</v>
      </c>
      <c r="N71" s="79"/>
      <c r="O71" s="79">
        <v>850</v>
      </c>
      <c r="P71" s="79">
        <v>166.67</v>
      </c>
      <c r="Q71" s="79"/>
      <c r="R71" s="79">
        <v>1100</v>
      </c>
      <c r="S71" s="79">
        <v>166.67</v>
      </c>
      <c r="T71" s="80">
        <f>+C71+F71+I71+L71+O71+R71</f>
        <v>3915</v>
      </c>
      <c r="U71" s="80">
        <f>+D71+G71+J71+M71+P71+S71</f>
        <v>999.9799999999999</v>
      </c>
      <c r="V71" s="79"/>
      <c r="W71" s="76">
        <v>2000</v>
      </c>
      <c r="X71" s="64"/>
      <c r="Y71" s="76"/>
      <c r="Z71" s="76">
        <f>+W71</f>
        <v>2000</v>
      </c>
      <c r="AA71" s="62"/>
    </row>
    <row r="72" spans="1:27" x14ac:dyDescent="0.2">
      <c r="A72" s="82" t="s">
        <v>364</v>
      </c>
      <c r="B72" s="81" t="s">
        <v>363</v>
      </c>
      <c r="C72" s="79">
        <v>401</v>
      </c>
      <c r="D72" s="79">
        <v>250</v>
      </c>
      <c r="E72" s="79"/>
      <c r="F72" s="79">
        <v>275</v>
      </c>
      <c r="G72" s="79">
        <v>250</v>
      </c>
      <c r="H72" s="79"/>
      <c r="I72" s="79">
        <v>2250</v>
      </c>
      <c r="J72" s="79">
        <v>250</v>
      </c>
      <c r="K72" s="79"/>
      <c r="L72" s="79">
        <v>1595</v>
      </c>
      <c r="M72" s="79">
        <v>250</v>
      </c>
      <c r="N72" s="79"/>
      <c r="O72" s="79">
        <v>0</v>
      </c>
      <c r="P72" s="79">
        <v>250</v>
      </c>
      <c r="Q72" s="79"/>
      <c r="R72" s="79">
        <v>0</v>
      </c>
      <c r="S72" s="79">
        <v>250</v>
      </c>
      <c r="T72" s="80">
        <f>+C72+F72+I72+L72+O72+R72</f>
        <v>4521</v>
      </c>
      <c r="U72" s="80">
        <f>+D72+G72+J72+M72+P72+S72</f>
        <v>1500</v>
      </c>
      <c r="V72" s="79"/>
      <c r="W72" s="76">
        <v>3000</v>
      </c>
      <c r="X72" s="64"/>
      <c r="Y72" s="76"/>
      <c r="Z72" s="76">
        <f>+W72</f>
        <v>3000</v>
      </c>
      <c r="AA72" s="62"/>
    </row>
    <row r="73" spans="1:27" x14ac:dyDescent="0.2">
      <c r="A73" s="82" t="s">
        <v>362</v>
      </c>
      <c r="B73" s="81" t="s">
        <v>361</v>
      </c>
      <c r="C73" s="79"/>
      <c r="D73" s="79">
        <v>250</v>
      </c>
      <c r="E73" s="79"/>
      <c r="F73" s="79">
        <v>1104</v>
      </c>
      <c r="G73" s="79">
        <v>250</v>
      </c>
      <c r="H73" s="79"/>
      <c r="I73" s="79"/>
      <c r="J73" s="79">
        <v>250</v>
      </c>
      <c r="K73" s="79"/>
      <c r="L73" s="79">
        <v>2225</v>
      </c>
      <c r="M73" s="79">
        <v>250</v>
      </c>
      <c r="N73" s="79"/>
      <c r="O73" s="79">
        <v>2550</v>
      </c>
      <c r="P73" s="79">
        <v>250</v>
      </c>
      <c r="Q73" s="79"/>
      <c r="R73" s="79">
        <v>0</v>
      </c>
      <c r="S73" s="79">
        <v>250</v>
      </c>
      <c r="T73" s="80">
        <f>+C73+F73+I73+L73+O73+R73</f>
        <v>5879</v>
      </c>
      <c r="U73" s="80">
        <f>+D73+G73+J73+M73+P73+S73</f>
        <v>1500</v>
      </c>
      <c r="V73" s="79"/>
      <c r="W73" s="76">
        <v>3000</v>
      </c>
      <c r="X73" s="64"/>
      <c r="Y73" s="76"/>
      <c r="Z73" s="76">
        <f>+W73</f>
        <v>3000</v>
      </c>
      <c r="AA73" s="62"/>
    </row>
    <row r="74" spans="1:27" x14ac:dyDescent="0.2">
      <c r="A74" s="82"/>
      <c r="B74" s="81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6"/>
      <c r="X74" s="64"/>
      <c r="Y74" s="76"/>
      <c r="Z74" s="76"/>
      <c r="AA74" s="62"/>
    </row>
    <row r="75" spans="1:27" x14ac:dyDescent="0.2">
      <c r="A75" s="75" t="s">
        <v>74</v>
      </c>
      <c r="B75" s="74" t="s">
        <v>360</v>
      </c>
      <c r="C75" s="73">
        <f>SUM(C71:C74)</f>
        <v>401</v>
      </c>
      <c r="D75" s="73">
        <f>SUM(D71:D74)</f>
        <v>666.66</v>
      </c>
      <c r="E75" s="70"/>
      <c r="F75" s="73">
        <f>SUM(F71:F74)</f>
        <v>1379</v>
      </c>
      <c r="G75" s="73">
        <f>SUM(G71:G74)</f>
        <v>666.66</v>
      </c>
      <c r="H75" s="70"/>
      <c r="I75" s="73">
        <f>SUM(I71:I74)</f>
        <v>2500</v>
      </c>
      <c r="J75" s="73">
        <f>SUM(J71:J74)</f>
        <v>666.66</v>
      </c>
      <c r="K75" s="70"/>
      <c r="L75" s="73">
        <f>SUM(L71:L74)</f>
        <v>5535</v>
      </c>
      <c r="M75" s="73">
        <f>SUM(M71:M74)</f>
        <v>666.66</v>
      </c>
      <c r="N75" s="70"/>
      <c r="O75" s="73">
        <f>SUM(O71:O74)</f>
        <v>3400</v>
      </c>
      <c r="P75" s="73">
        <f>SUM(P71:P74)</f>
        <v>666.67</v>
      </c>
      <c r="Q75" s="70"/>
      <c r="R75" s="73">
        <f>SUM(R71:R74)</f>
        <v>1100</v>
      </c>
      <c r="S75" s="73">
        <f>SUM(S71:S74)</f>
        <v>666.67</v>
      </c>
      <c r="T75" s="73">
        <f>SUM(T71:T74)</f>
        <v>14315</v>
      </c>
      <c r="U75" s="73">
        <f>SUM(U71:U74)</f>
        <v>3999.98</v>
      </c>
      <c r="V75" s="70"/>
      <c r="W75" s="73">
        <f>SUM(W71:W74)</f>
        <v>8000</v>
      </c>
      <c r="X75" s="64"/>
      <c r="Y75" s="73">
        <f>SUM(Y71:Y74)</f>
        <v>0</v>
      </c>
      <c r="Z75" s="73">
        <f>SUM(Z71:Z74)</f>
        <v>8000</v>
      </c>
      <c r="AA75" s="62"/>
    </row>
    <row r="76" spans="1:27" x14ac:dyDescent="0.2"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4"/>
      <c r="Y76" s="61"/>
      <c r="Z76" s="68"/>
      <c r="AA76" s="62"/>
    </row>
    <row r="77" spans="1:27" x14ac:dyDescent="0.2">
      <c r="A77" s="85" t="s">
        <v>359</v>
      </c>
      <c r="B77" s="84" t="s">
        <v>355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61"/>
      <c r="X77" s="64"/>
      <c r="Y77" s="61"/>
      <c r="Z77" s="68"/>
      <c r="AA77" s="62"/>
    </row>
    <row r="78" spans="1:27" x14ac:dyDescent="0.2">
      <c r="A78" s="82" t="s">
        <v>358</v>
      </c>
      <c r="B78" s="81" t="s">
        <v>357</v>
      </c>
      <c r="C78" s="79">
        <v>28743.07</v>
      </c>
      <c r="D78" s="79">
        <v>22166.66</v>
      </c>
      <c r="E78" s="79"/>
      <c r="F78" s="79">
        <v>22963.22</v>
      </c>
      <c r="G78" s="79">
        <v>22166.66</v>
      </c>
      <c r="H78" s="79"/>
      <c r="I78" s="79">
        <v>38583.21</v>
      </c>
      <c r="J78" s="79">
        <v>22166.66</v>
      </c>
      <c r="K78" s="79"/>
      <c r="L78" s="79">
        <v>31404.16</v>
      </c>
      <c r="M78" s="79">
        <v>22166.66</v>
      </c>
      <c r="N78" s="79"/>
      <c r="O78" s="79">
        <v>31580.99</v>
      </c>
      <c r="P78" s="79">
        <v>22166.67</v>
      </c>
      <c r="Q78" s="79"/>
      <c r="R78" s="79">
        <v>33087.58</v>
      </c>
      <c r="S78" s="79">
        <v>22166.67</v>
      </c>
      <c r="T78" s="80">
        <f>+C78+F78+I78+L78+O78+R78</f>
        <v>186362.22999999998</v>
      </c>
      <c r="U78" s="80">
        <f>+D78+G78+J78+M78+P78+S78</f>
        <v>132999.97999999998</v>
      </c>
      <c r="V78" s="79"/>
      <c r="W78" s="76">
        <v>266000</v>
      </c>
      <c r="X78" s="64"/>
      <c r="Y78" s="76">
        <f>+W78</f>
        <v>266000</v>
      </c>
      <c r="Z78" s="76">
        <v>0</v>
      </c>
      <c r="AA78" s="62"/>
    </row>
    <row r="79" spans="1:27" x14ac:dyDescent="0.2">
      <c r="A79" s="82" t="s">
        <v>356</v>
      </c>
      <c r="B79" s="81" t="s">
        <v>355</v>
      </c>
      <c r="C79" s="79">
        <v>18472.009999999998</v>
      </c>
      <c r="D79" s="79"/>
      <c r="E79" s="79"/>
      <c r="F79" s="79">
        <v>4038.69</v>
      </c>
      <c r="G79" s="79"/>
      <c r="H79" s="79"/>
      <c r="I79" s="79">
        <v>5368.52</v>
      </c>
      <c r="J79" s="79"/>
      <c r="K79" s="79"/>
      <c r="L79" s="79">
        <v>5475.28</v>
      </c>
      <c r="M79" s="79"/>
      <c r="N79" s="79"/>
      <c r="O79" s="79">
        <v>2663.16</v>
      </c>
      <c r="P79" s="79"/>
      <c r="Q79" s="79"/>
      <c r="R79" s="79">
        <v>11374.71</v>
      </c>
      <c r="S79" s="79">
        <v>0</v>
      </c>
      <c r="T79" s="80">
        <f>+C79+F79+I79+L79+O79+R79</f>
        <v>47392.37</v>
      </c>
      <c r="U79" s="80">
        <f>+D79+G79+J79+M79+P79+S79</f>
        <v>0</v>
      </c>
      <c r="V79" s="79"/>
      <c r="W79" s="76">
        <v>0</v>
      </c>
      <c r="X79" s="64"/>
      <c r="Y79" s="76">
        <v>0</v>
      </c>
      <c r="Z79" s="76">
        <v>0</v>
      </c>
      <c r="AA79" s="62"/>
    </row>
    <row r="80" spans="1:27" x14ac:dyDescent="0.2">
      <c r="A80" s="82"/>
      <c r="B80" s="81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6">
        <v>0</v>
      </c>
      <c r="X80" s="64"/>
      <c r="Y80" s="76"/>
      <c r="Z80" s="76"/>
      <c r="AA80" s="62"/>
    </row>
    <row r="81" spans="1:27" x14ac:dyDescent="0.2">
      <c r="A81" s="75" t="s">
        <v>74</v>
      </c>
      <c r="B81" s="74" t="s">
        <v>354</v>
      </c>
      <c r="C81" s="73">
        <f>SUM(C78:C80)</f>
        <v>47215.08</v>
      </c>
      <c r="D81" s="73">
        <f>SUM(D78:D80)</f>
        <v>22166.66</v>
      </c>
      <c r="E81" s="70"/>
      <c r="F81" s="73">
        <f>SUM(F78:F80)</f>
        <v>27001.91</v>
      </c>
      <c r="G81" s="73">
        <f>SUM(G78:G80)</f>
        <v>22166.66</v>
      </c>
      <c r="H81" s="70"/>
      <c r="I81" s="73">
        <f>SUM(I78:I80)</f>
        <v>43951.729999999996</v>
      </c>
      <c r="J81" s="73">
        <f>SUM(J78:J80)</f>
        <v>22166.66</v>
      </c>
      <c r="K81" s="70"/>
      <c r="L81" s="73">
        <f>SUM(L78:L80)</f>
        <v>36879.440000000002</v>
      </c>
      <c r="M81" s="73">
        <f>SUM(M78:M80)</f>
        <v>22166.66</v>
      </c>
      <c r="N81" s="70"/>
      <c r="O81" s="73">
        <f>SUM(O78:O80)</f>
        <v>34244.15</v>
      </c>
      <c r="P81" s="73">
        <f>SUM(P78:P80)</f>
        <v>22166.67</v>
      </c>
      <c r="Q81" s="70"/>
      <c r="R81" s="73">
        <f>SUM(R78:R80)</f>
        <v>44462.29</v>
      </c>
      <c r="S81" s="73">
        <f>SUM(S78:S80)</f>
        <v>22166.67</v>
      </c>
      <c r="T81" s="73">
        <f>SUM(T78:T80)</f>
        <v>233754.59999999998</v>
      </c>
      <c r="U81" s="73">
        <f>SUM(U78:U80)</f>
        <v>132999.97999999998</v>
      </c>
      <c r="V81" s="70"/>
      <c r="W81" s="73">
        <f>SUM(W78:W80)</f>
        <v>266000</v>
      </c>
      <c r="X81" s="64"/>
      <c r="Y81" s="73">
        <f>SUM(Y78:Y80)</f>
        <v>266000</v>
      </c>
      <c r="Z81" s="73">
        <f>SUM(Z78:Z80)</f>
        <v>0</v>
      </c>
      <c r="AA81" s="62"/>
    </row>
    <row r="82" spans="1:27" x14ac:dyDescent="0.2"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4"/>
      <c r="Y82" s="61"/>
      <c r="Z82" s="68"/>
      <c r="AA82" s="62"/>
    </row>
    <row r="83" spans="1:27" x14ac:dyDescent="0.2">
      <c r="A83" s="85" t="s">
        <v>353</v>
      </c>
      <c r="B83" s="84" t="s">
        <v>352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61"/>
      <c r="X83" s="64"/>
      <c r="Y83" s="61"/>
      <c r="Z83" s="68"/>
      <c r="AA83" s="62"/>
    </row>
    <row r="84" spans="1:27" x14ac:dyDescent="0.2">
      <c r="A84" s="82" t="s">
        <v>351</v>
      </c>
      <c r="B84" s="81" t="s">
        <v>350</v>
      </c>
      <c r="C84" s="79">
        <v>35380.83</v>
      </c>
      <c r="D84" s="79"/>
      <c r="E84" s="79"/>
      <c r="F84" s="79"/>
      <c r="G84" s="79"/>
      <c r="H84" s="79"/>
      <c r="I84" s="79"/>
      <c r="J84" s="79"/>
      <c r="K84" s="79"/>
      <c r="L84" s="79">
        <v>1077.51</v>
      </c>
      <c r="M84" s="79"/>
      <c r="N84" s="79"/>
      <c r="O84" s="79">
        <v>4152.96</v>
      </c>
      <c r="P84" s="79"/>
      <c r="Q84" s="79"/>
      <c r="R84" s="79">
        <v>-9415.4500000000007</v>
      </c>
      <c r="S84" s="79">
        <v>0</v>
      </c>
      <c r="T84" s="80">
        <f>+C84+F84+I84+L84+O84+R84</f>
        <v>31195.850000000002</v>
      </c>
      <c r="U84" s="80">
        <f>+D84+G84+J84+M84+P84+S84</f>
        <v>0</v>
      </c>
      <c r="V84" s="79"/>
      <c r="W84" s="76"/>
      <c r="X84" s="64"/>
      <c r="Y84" s="76">
        <v>0</v>
      </c>
      <c r="Z84" s="76">
        <v>0</v>
      </c>
      <c r="AA84" s="62"/>
    </row>
    <row r="85" spans="1:27" x14ac:dyDescent="0.2">
      <c r="A85" s="82">
        <v>4050400</v>
      </c>
      <c r="B85" s="81" t="s">
        <v>349</v>
      </c>
      <c r="C85" s="79">
        <v>-67112.539999999994</v>
      </c>
      <c r="D85" s="79"/>
      <c r="E85" s="79"/>
      <c r="F85" s="79">
        <v>974.99</v>
      </c>
      <c r="G85" s="79"/>
      <c r="H85" s="79"/>
      <c r="I85" s="79">
        <v>3344.2</v>
      </c>
      <c r="J85" s="79"/>
      <c r="K85" s="79"/>
      <c r="L85" s="79"/>
      <c r="M85" s="79"/>
      <c r="N85" s="79"/>
      <c r="O85" s="79"/>
      <c r="P85" s="79"/>
      <c r="Q85" s="79"/>
      <c r="R85" s="79">
        <v>0</v>
      </c>
      <c r="S85" s="79">
        <v>0</v>
      </c>
      <c r="T85" s="80">
        <f>+C85+F85+I85+L85+O85+R85</f>
        <v>-62793.349999999991</v>
      </c>
      <c r="U85" s="80">
        <f>+D85+G85+J85+M85+P85+S85</f>
        <v>0</v>
      </c>
      <c r="V85" s="79"/>
      <c r="W85" s="76"/>
      <c r="X85" s="64"/>
      <c r="Y85" s="76"/>
      <c r="Z85" s="76"/>
      <c r="AA85" s="62"/>
    </row>
    <row r="86" spans="1:27" x14ac:dyDescent="0.2">
      <c r="A86" s="82"/>
      <c r="B86" s="81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6"/>
      <c r="X86" s="64"/>
      <c r="Y86" s="76"/>
      <c r="Z86" s="76"/>
      <c r="AA86" s="62"/>
    </row>
    <row r="87" spans="1:27" x14ac:dyDescent="0.2">
      <c r="A87" s="75" t="s">
        <v>74</v>
      </c>
      <c r="B87" s="74" t="s">
        <v>348</v>
      </c>
      <c r="C87" s="73">
        <f>SUM(C84:C86)</f>
        <v>-31731.709999999992</v>
      </c>
      <c r="D87" s="73">
        <f>SUM(D84:D86)</f>
        <v>0</v>
      </c>
      <c r="E87" s="70"/>
      <c r="F87" s="73">
        <f>SUM(F84:F86)</f>
        <v>974.99</v>
      </c>
      <c r="G87" s="73">
        <f>SUM(G84:G86)</f>
        <v>0</v>
      </c>
      <c r="H87" s="70"/>
      <c r="I87" s="73">
        <f>SUM(I84:I86)</f>
        <v>3344.2</v>
      </c>
      <c r="J87" s="73">
        <f>SUM(J84:J86)</f>
        <v>0</v>
      </c>
      <c r="K87" s="70"/>
      <c r="L87" s="73">
        <f>SUM(L84:L86)</f>
        <v>1077.51</v>
      </c>
      <c r="M87" s="73">
        <f>SUM(M84:M86)</f>
        <v>0</v>
      </c>
      <c r="N87" s="70"/>
      <c r="O87" s="73">
        <f>SUM(O84:O86)</f>
        <v>4152.96</v>
      </c>
      <c r="P87" s="73">
        <f>SUM(P84:P86)</f>
        <v>0</v>
      </c>
      <c r="Q87" s="70"/>
      <c r="R87" s="73">
        <f>SUM(R84:R86)</f>
        <v>-9415.4500000000007</v>
      </c>
      <c r="S87" s="73">
        <f>SUM(S84:S86)</f>
        <v>0</v>
      </c>
      <c r="T87" s="73">
        <f>SUM(T84:T86)</f>
        <v>-31597.499999999989</v>
      </c>
      <c r="U87" s="73">
        <f>SUM(U84:U86)</f>
        <v>0</v>
      </c>
      <c r="V87" s="70"/>
      <c r="W87" s="73">
        <f>SUM(W84:W86)</f>
        <v>0</v>
      </c>
      <c r="X87" s="64"/>
      <c r="Y87" s="73">
        <f>SUM(Y84:Y86)</f>
        <v>0</v>
      </c>
      <c r="Z87" s="73">
        <f>SUM(Z84:Z86)</f>
        <v>0</v>
      </c>
      <c r="AA87" s="62"/>
    </row>
    <row r="88" spans="1:27" x14ac:dyDescent="0.2"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4"/>
      <c r="Y88" s="61"/>
      <c r="Z88" s="68"/>
      <c r="AA88" s="62"/>
    </row>
    <row r="89" spans="1:27" x14ac:dyDescent="0.2">
      <c r="A89" s="85" t="s">
        <v>347</v>
      </c>
      <c r="B89" s="84" t="s">
        <v>346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61"/>
      <c r="X89" s="64"/>
      <c r="Y89" s="61"/>
      <c r="Z89" s="68"/>
      <c r="AA89" s="62"/>
    </row>
    <row r="90" spans="1:27" x14ac:dyDescent="0.2">
      <c r="A90" s="82" t="s">
        <v>345</v>
      </c>
      <c r="B90" s="81" t="s">
        <v>344</v>
      </c>
      <c r="C90" s="79">
        <v>750</v>
      </c>
      <c r="D90" s="79">
        <v>125</v>
      </c>
      <c r="E90" s="79"/>
      <c r="F90" s="79"/>
      <c r="G90" s="79">
        <v>125</v>
      </c>
      <c r="H90" s="79"/>
      <c r="I90" s="79"/>
      <c r="J90" s="79">
        <v>125</v>
      </c>
      <c r="K90" s="79"/>
      <c r="L90" s="79">
        <v>1000</v>
      </c>
      <c r="M90" s="79">
        <v>125</v>
      </c>
      <c r="N90" s="79"/>
      <c r="O90" s="79"/>
      <c r="P90" s="79">
        <v>125</v>
      </c>
      <c r="Q90" s="79"/>
      <c r="R90" s="79">
        <v>0</v>
      </c>
      <c r="S90" s="79">
        <v>125</v>
      </c>
      <c r="T90" s="80">
        <f>+C90+F90+I90+L90+O90+R90</f>
        <v>1750</v>
      </c>
      <c r="U90" s="80">
        <f>+D90+G90+J90+M90+P90+S90</f>
        <v>750</v>
      </c>
      <c r="V90" s="79"/>
      <c r="W90" s="76">
        <v>1500</v>
      </c>
      <c r="X90" s="64"/>
      <c r="Y90" s="76">
        <f>+W90</f>
        <v>1500</v>
      </c>
      <c r="Z90" s="76"/>
      <c r="AA90" s="62"/>
    </row>
    <row r="91" spans="1:27" x14ac:dyDescent="0.2">
      <c r="A91" s="82" t="s">
        <v>343</v>
      </c>
      <c r="B91" s="81" t="s">
        <v>342</v>
      </c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>
        <v>0</v>
      </c>
      <c r="S91" s="79">
        <v>0</v>
      </c>
      <c r="T91" s="80">
        <f>+C91+F91+I91+L91+O91+R91</f>
        <v>0</v>
      </c>
      <c r="U91" s="80">
        <f>+D91+G91+J91+M91+P91+S91</f>
        <v>0</v>
      </c>
      <c r="V91" s="79"/>
      <c r="W91" s="76"/>
      <c r="X91" s="64"/>
      <c r="Y91" s="76">
        <f>+W91</f>
        <v>0</v>
      </c>
      <c r="Z91" s="76">
        <f>+W91</f>
        <v>0</v>
      </c>
      <c r="AA91" s="62"/>
    </row>
    <row r="92" spans="1:27" x14ac:dyDescent="0.2">
      <c r="A92" s="82" t="s">
        <v>341</v>
      </c>
      <c r="B92" s="81" t="s">
        <v>81</v>
      </c>
      <c r="C92" s="79">
        <v>6332.73</v>
      </c>
      <c r="D92" s="79">
        <v>208.34</v>
      </c>
      <c r="E92" s="79"/>
      <c r="F92" s="79">
        <v>513</v>
      </c>
      <c r="G92" s="79">
        <v>208.34</v>
      </c>
      <c r="H92" s="79"/>
      <c r="I92" s="79">
        <v>1678.45</v>
      </c>
      <c r="J92" s="79">
        <v>208.34</v>
      </c>
      <c r="K92" s="79"/>
      <c r="L92" s="79">
        <v>6097.75</v>
      </c>
      <c r="M92" s="79">
        <v>208.34</v>
      </c>
      <c r="N92" s="79"/>
      <c r="O92" s="79">
        <v>3499.26</v>
      </c>
      <c r="P92" s="79">
        <v>208.33</v>
      </c>
      <c r="Q92" s="79"/>
      <c r="R92" s="79">
        <v>2531.4499999999998</v>
      </c>
      <c r="S92" s="79">
        <v>208.33</v>
      </c>
      <c r="T92" s="80">
        <f>+C92+F92+I92+L92+O92+R92</f>
        <v>20652.640000000003</v>
      </c>
      <c r="U92" s="80">
        <f>+D92+G92+J92+M92+P92+S92</f>
        <v>1250.02</v>
      </c>
      <c r="V92" s="79"/>
      <c r="W92" s="76">
        <v>2500</v>
      </c>
      <c r="X92" s="64"/>
      <c r="Y92" s="76">
        <v>2500</v>
      </c>
      <c r="Z92" s="76">
        <f>+W92-Y92</f>
        <v>0</v>
      </c>
      <c r="AA92" s="62"/>
    </row>
    <row r="93" spans="1:27" x14ac:dyDescent="0.2">
      <c r="A93" s="82" t="s">
        <v>340</v>
      </c>
      <c r="B93" s="81" t="s">
        <v>339</v>
      </c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>
        <v>0</v>
      </c>
      <c r="S93" s="79">
        <v>0</v>
      </c>
      <c r="T93" s="80">
        <f>+C93+F93+I93+L93+O93+R93</f>
        <v>0</v>
      </c>
      <c r="U93" s="80">
        <f>+D93+G93+J93+M93+P93+S93</f>
        <v>0</v>
      </c>
      <c r="V93" s="79"/>
      <c r="W93" s="76">
        <v>0</v>
      </c>
      <c r="X93" s="64"/>
      <c r="Y93" s="76">
        <f>+W93</f>
        <v>0</v>
      </c>
      <c r="Z93" s="76">
        <v>0</v>
      </c>
      <c r="AA93" s="62"/>
    </row>
    <row r="94" spans="1:27" x14ac:dyDescent="0.2">
      <c r="A94" s="82" t="s">
        <v>338</v>
      </c>
      <c r="B94" s="81" t="s">
        <v>337</v>
      </c>
      <c r="C94" s="79"/>
      <c r="D94" s="79"/>
      <c r="E94" s="79"/>
      <c r="F94" s="79">
        <v>12312</v>
      </c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>
        <v>0</v>
      </c>
      <c r="S94" s="79">
        <v>0</v>
      </c>
      <c r="T94" s="80">
        <f>+C94+F94+I94+L94+O94+R94</f>
        <v>12312</v>
      </c>
      <c r="U94" s="80">
        <f>+D94+G94+J94+M94+P94+S94</f>
        <v>0</v>
      </c>
      <c r="V94" s="79"/>
      <c r="W94" s="76">
        <v>2000000</v>
      </c>
      <c r="X94" s="64"/>
      <c r="Y94" s="76"/>
      <c r="Z94" s="76">
        <f>+W94</f>
        <v>2000000</v>
      </c>
      <c r="AA94" s="62"/>
    </row>
    <row r="95" spans="1:27" x14ac:dyDescent="0.2">
      <c r="A95" s="82" t="s">
        <v>336</v>
      </c>
      <c r="B95" s="81" t="s">
        <v>335</v>
      </c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>
        <v>0</v>
      </c>
      <c r="S95" s="79">
        <v>0</v>
      </c>
      <c r="T95" s="80">
        <f>+C95+F95+I95+L95+O95+R95</f>
        <v>0</v>
      </c>
      <c r="U95" s="80">
        <f>+D95+G95+J95+M95+P95+S95</f>
        <v>0</v>
      </c>
      <c r="V95" s="79"/>
      <c r="W95" s="76"/>
      <c r="X95" s="64"/>
      <c r="Y95" s="76"/>
      <c r="Z95" s="76"/>
      <c r="AA95" s="62"/>
    </row>
    <row r="96" spans="1:27" x14ac:dyDescent="0.2">
      <c r="A96" s="82" t="s">
        <v>334</v>
      </c>
      <c r="B96" s="81" t="s">
        <v>333</v>
      </c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>
        <v>0</v>
      </c>
      <c r="S96" s="79">
        <v>0</v>
      </c>
      <c r="T96" s="80">
        <f>+C96+F96+I96+L96+O96+R96</f>
        <v>0</v>
      </c>
      <c r="U96" s="80">
        <f>+D96+G96+J96+M96+P96+S96</f>
        <v>0</v>
      </c>
      <c r="V96" s="79"/>
      <c r="W96" s="76">
        <v>50000</v>
      </c>
      <c r="X96" s="64"/>
      <c r="Y96" s="76">
        <f>+W96</f>
        <v>50000</v>
      </c>
      <c r="Z96" s="76"/>
      <c r="AA96" s="62"/>
    </row>
    <row r="97" spans="1:27" x14ac:dyDescent="0.2">
      <c r="A97" s="78"/>
      <c r="B97" s="77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64"/>
      <c r="Y97" s="76"/>
      <c r="Z97" s="76"/>
      <c r="AA97" s="62"/>
    </row>
    <row r="98" spans="1:27" x14ac:dyDescent="0.2">
      <c r="A98" s="75" t="s">
        <v>74</v>
      </c>
      <c r="B98" s="74" t="s">
        <v>332</v>
      </c>
      <c r="C98" s="73">
        <f>SUM(C90:C97)</f>
        <v>7082.73</v>
      </c>
      <c r="D98" s="73">
        <f>SUM(D90:D97)</f>
        <v>333.34000000000003</v>
      </c>
      <c r="E98" s="70"/>
      <c r="F98" s="73">
        <f>SUM(F90:F97)</f>
        <v>12825</v>
      </c>
      <c r="G98" s="73">
        <f>SUM(G90:G97)</f>
        <v>333.34000000000003</v>
      </c>
      <c r="H98" s="70"/>
      <c r="I98" s="73">
        <f>SUM(I90:I97)</f>
        <v>1678.45</v>
      </c>
      <c r="J98" s="73">
        <f>SUM(J90:J97)</f>
        <v>333.34000000000003</v>
      </c>
      <c r="K98" s="70"/>
      <c r="L98" s="73">
        <f>SUM(L90:L97)</f>
        <v>7097.75</v>
      </c>
      <c r="M98" s="73">
        <f>SUM(M90:M97)</f>
        <v>333.34000000000003</v>
      </c>
      <c r="N98" s="70"/>
      <c r="O98" s="73">
        <f>SUM(O90:O97)</f>
        <v>3499.26</v>
      </c>
      <c r="P98" s="73">
        <f>SUM(P90:P97)</f>
        <v>333.33000000000004</v>
      </c>
      <c r="Q98" s="70"/>
      <c r="R98" s="73">
        <f>SUM(R90:R97)</f>
        <v>2531.4499999999998</v>
      </c>
      <c r="S98" s="73">
        <f>SUM(S90:S97)</f>
        <v>333.33000000000004</v>
      </c>
      <c r="T98" s="73">
        <f>SUM(T90:T97)</f>
        <v>34714.639999999999</v>
      </c>
      <c r="U98" s="73">
        <f>SUM(U90:U97)</f>
        <v>2000.02</v>
      </c>
      <c r="V98" s="70"/>
      <c r="W98" s="73">
        <f>SUM(W90:W97)</f>
        <v>2054000</v>
      </c>
      <c r="X98" s="64"/>
      <c r="Y98" s="73">
        <f>SUM(Y90:Y97)</f>
        <v>54000</v>
      </c>
      <c r="Z98" s="73">
        <f>SUM(Z90:Z97)</f>
        <v>2000000</v>
      </c>
      <c r="AA98" s="62"/>
    </row>
    <row r="99" spans="1:27" x14ac:dyDescent="0.2"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4"/>
      <c r="Y99" s="61"/>
      <c r="Z99" s="68"/>
      <c r="AA99" s="62"/>
    </row>
    <row r="100" spans="1:27" ht="12" thickBot="1" x14ac:dyDescent="0.25">
      <c r="A100" s="72"/>
      <c r="B100" s="71" t="s">
        <v>331</v>
      </c>
      <c r="C100" s="69">
        <f>+C98+C87+C81+C75+C68+C59+C45+C34+C19</f>
        <v>430696.54000000004</v>
      </c>
      <c r="D100" s="69">
        <f>+D98+D87+D81+D75+D68+D59+D45+D34+D19</f>
        <v>445549.19</v>
      </c>
      <c r="E100" s="70"/>
      <c r="F100" s="69">
        <f>+F98+F87+F81+F75+F68+F59+F45+F34+F19</f>
        <v>829028.17</v>
      </c>
      <c r="G100" s="69">
        <f>+G98+G87+G81+G75+G68+G59+G45+G34+G19</f>
        <v>711231.52999999991</v>
      </c>
      <c r="H100" s="70"/>
      <c r="I100" s="69">
        <f>+I98+I87+I81+I75+I68+I59+I45+I34+I19</f>
        <v>633487.51</v>
      </c>
      <c r="J100" s="69">
        <f>+J98+J87+J81+J75+J68+J59+J45+J34+J19</f>
        <v>502534.51</v>
      </c>
      <c r="K100" s="70"/>
      <c r="L100" s="69">
        <f>+L98+L87+L81+L75+L68+L59+L45+L34+L19</f>
        <v>872675.59</v>
      </c>
      <c r="M100" s="69">
        <f>+M98+M87+M81+M75+M68+M59+M45+M34+M19</f>
        <v>724637.29</v>
      </c>
      <c r="N100" s="70"/>
      <c r="O100" s="69">
        <f>+O98+O87+O81+O75+O68+O59+O45+O34+O19</f>
        <v>959993.09000000008</v>
      </c>
      <c r="P100" s="69">
        <f>+P98+P87+P81+P75+P68+P59+P45+P34+P19</f>
        <v>758679.6</v>
      </c>
      <c r="Q100" s="70"/>
      <c r="R100" s="69">
        <f>+R98+R87+R81+R75+R68+R59+R45+R34+R19</f>
        <v>781441.53</v>
      </c>
      <c r="S100" s="69">
        <f>+S98+S87+S81+S75+S68+S59+S45+S34+S19</f>
        <v>679844.37</v>
      </c>
      <c r="T100" s="69">
        <f>+T98+T87+T81+T75+T68+T59+T45+T34+T19</f>
        <v>4507322.43</v>
      </c>
      <c r="U100" s="69">
        <f>+U98+U87+U81+U75+U68+U59+U45+U34+U19</f>
        <v>3822476.49</v>
      </c>
      <c r="V100" s="70"/>
      <c r="W100" s="69">
        <f>+W98+W87+W81+W75+W68+W59+W45+W34+W19</f>
        <v>8092005</v>
      </c>
      <c r="X100" s="64"/>
      <c r="Y100" s="69">
        <f>+Y98+Y87+Y81+Y75+Y68+Y59+Y45+Y34+Y19</f>
        <v>5335133.9000000004</v>
      </c>
      <c r="Z100" s="69">
        <f>+Z98+Z87+Z81+Z75+Z68+Z59+Z45+Z34+Z19</f>
        <v>2756871.1</v>
      </c>
      <c r="AA100" s="62"/>
    </row>
    <row r="101" spans="1:27" ht="12" thickTop="1" x14ac:dyDescent="0.2"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4"/>
      <c r="Y101" s="61"/>
      <c r="Z101" s="68"/>
      <c r="AA101" s="62"/>
    </row>
    <row r="102" spans="1:27" x14ac:dyDescent="0.2">
      <c r="A102" s="96" t="s">
        <v>330</v>
      </c>
      <c r="B102" s="95" t="s">
        <v>329</v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61"/>
      <c r="X102" s="64"/>
      <c r="Y102" s="61"/>
      <c r="Z102" s="68"/>
      <c r="AA102" s="62"/>
    </row>
    <row r="103" spans="1:27" x14ac:dyDescent="0.2">
      <c r="A103" s="85" t="s">
        <v>328</v>
      </c>
      <c r="B103" s="84" t="s">
        <v>327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61"/>
      <c r="X103" s="64"/>
      <c r="Y103" s="61"/>
      <c r="Z103" s="68"/>
      <c r="AA103" s="62"/>
    </row>
    <row r="104" spans="1:27" x14ac:dyDescent="0.2">
      <c r="A104" s="82" t="s">
        <v>326</v>
      </c>
      <c r="B104" s="81" t="s">
        <v>325</v>
      </c>
      <c r="C104" s="79">
        <v>1333.18</v>
      </c>
      <c r="D104" s="79">
        <v>5000</v>
      </c>
      <c r="E104" s="79"/>
      <c r="F104" s="79">
        <v>3822.17</v>
      </c>
      <c r="G104" s="79">
        <v>5000</v>
      </c>
      <c r="H104" s="79"/>
      <c r="I104" s="79">
        <v>29336.720000000001</v>
      </c>
      <c r="J104" s="79">
        <v>5000</v>
      </c>
      <c r="K104" s="79"/>
      <c r="L104" s="79">
        <v>39901.199999999997</v>
      </c>
      <c r="M104" s="79">
        <v>5000</v>
      </c>
      <c r="N104" s="79"/>
      <c r="O104" s="79">
        <v>44780.86</v>
      </c>
      <c r="P104" s="79">
        <v>5000</v>
      </c>
      <c r="Q104" s="79"/>
      <c r="R104" s="79">
        <v>39068.51</v>
      </c>
      <c r="S104" s="79">
        <v>5000</v>
      </c>
      <c r="T104" s="80">
        <f>+C104+F104+I104+L104+O104+R104</f>
        <v>158242.63999999998</v>
      </c>
      <c r="U104" s="80">
        <f>+D104+G104+J104+M104+P104+S104</f>
        <v>30000</v>
      </c>
      <c r="V104" s="79"/>
      <c r="W104" s="76">
        <v>60000</v>
      </c>
      <c r="X104" s="64"/>
      <c r="Y104" s="76">
        <f>+W104</f>
        <v>60000</v>
      </c>
      <c r="Z104" s="76"/>
      <c r="AA104" s="62"/>
    </row>
    <row r="105" spans="1:27" x14ac:dyDescent="0.2">
      <c r="A105" s="82" t="s">
        <v>324</v>
      </c>
      <c r="B105" s="81" t="s">
        <v>323</v>
      </c>
      <c r="C105" s="79"/>
      <c r="D105" s="79"/>
      <c r="E105" s="79"/>
      <c r="F105" s="79">
        <v>1016.1</v>
      </c>
      <c r="G105" s="79">
        <v>450</v>
      </c>
      <c r="H105" s="79"/>
      <c r="I105" s="79">
        <v>1592.78</v>
      </c>
      <c r="J105" s="79">
        <v>550</v>
      </c>
      <c r="K105" s="79"/>
      <c r="L105" s="79">
        <v>910.73</v>
      </c>
      <c r="M105" s="79">
        <v>350</v>
      </c>
      <c r="N105" s="79"/>
      <c r="O105" s="79">
        <v>964.95</v>
      </c>
      <c r="P105" s="79">
        <v>400</v>
      </c>
      <c r="Q105" s="79"/>
      <c r="R105" s="79">
        <v>597.6</v>
      </c>
      <c r="S105" s="79">
        <v>250</v>
      </c>
      <c r="T105" s="80">
        <f>+C105+F105+I105+L105+O105+R105</f>
        <v>5082.1600000000008</v>
      </c>
      <c r="U105" s="80">
        <f>+D105+G105+J105+M105+P105+S105</f>
        <v>2000</v>
      </c>
      <c r="V105" s="79"/>
      <c r="W105" s="76">
        <f>+W13*0.01</f>
        <v>5000</v>
      </c>
      <c r="X105" s="64"/>
      <c r="Y105" s="76">
        <f>+W105</f>
        <v>5000</v>
      </c>
      <c r="Z105" s="76"/>
      <c r="AA105" s="62"/>
    </row>
    <row r="106" spans="1:27" x14ac:dyDescent="0.2">
      <c r="A106" s="82" t="s">
        <v>322</v>
      </c>
      <c r="B106" s="81" t="s">
        <v>321</v>
      </c>
      <c r="C106" s="79">
        <v>1013.02</v>
      </c>
      <c r="D106" s="79"/>
      <c r="E106" s="79"/>
      <c r="F106" s="79"/>
      <c r="G106" s="79"/>
      <c r="H106" s="79"/>
      <c r="I106" s="79"/>
      <c r="J106" s="79"/>
      <c r="K106" s="79"/>
      <c r="L106" s="79">
        <v>1011.73</v>
      </c>
      <c r="M106" s="79"/>
      <c r="N106" s="79"/>
      <c r="O106" s="79"/>
      <c r="P106" s="79"/>
      <c r="Q106" s="79"/>
      <c r="R106" s="79">
        <v>0</v>
      </c>
      <c r="S106" s="79">
        <v>0</v>
      </c>
      <c r="T106" s="80">
        <f>+C106+F106+I106+L106+O106+R106</f>
        <v>2024.75</v>
      </c>
      <c r="U106" s="80">
        <f>+D106+G106+J106+M106+P106+S106</f>
        <v>0</v>
      </c>
      <c r="V106" s="79"/>
      <c r="W106" s="76"/>
      <c r="X106" s="64"/>
      <c r="Y106" s="76">
        <f>+W106</f>
        <v>0</v>
      </c>
      <c r="Z106" s="76"/>
      <c r="AA106" s="62"/>
    </row>
    <row r="107" spans="1:27" x14ac:dyDescent="0.2">
      <c r="A107" s="82" t="s">
        <v>320</v>
      </c>
      <c r="B107" s="81" t="s">
        <v>319</v>
      </c>
      <c r="C107" s="79"/>
      <c r="D107" s="79"/>
      <c r="E107" s="79"/>
      <c r="F107" s="79"/>
      <c r="G107" s="79"/>
      <c r="H107" s="79"/>
      <c r="I107" s="79">
        <v>70</v>
      </c>
      <c r="J107" s="79"/>
      <c r="K107" s="79"/>
      <c r="L107" s="79">
        <v>325.25</v>
      </c>
      <c r="M107" s="79"/>
      <c r="N107" s="79"/>
      <c r="O107" s="79">
        <v>377.85</v>
      </c>
      <c r="P107" s="79"/>
      <c r="Q107" s="79"/>
      <c r="R107" s="79">
        <v>356.75</v>
      </c>
      <c r="S107" s="79">
        <v>0</v>
      </c>
      <c r="T107" s="80">
        <f>+C107+F107+I107+L107+O107+R107</f>
        <v>1129.8499999999999</v>
      </c>
      <c r="U107" s="80">
        <f>+D107+G107+J107+M107+P107+S107</f>
        <v>0</v>
      </c>
      <c r="V107" s="79"/>
      <c r="W107" s="76">
        <v>0</v>
      </c>
      <c r="X107" s="64"/>
      <c r="Y107" s="76">
        <f>+W107</f>
        <v>0</v>
      </c>
      <c r="Z107" s="76"/>
      <c r="AA107" s="62"/>
    </row>
    <row r="108" spans="1:27" x14ac:dyDescent="0.2">
      <c r="A108" s="82" t="s">
        <v>318</v>
      </c>
      <c r="B108" s="81" t="s">
        <v>317</v>
      </c>
      <c r="C108" s="79">
        <v>2024</v>
      </c>
      <c r="D108" s="79">
        <v>250</v>
      </c>
      <c r="E108" s="79"/>
      <c r="F108" s="79">
        <v>171.32</v>
      </c>
      <c r="G108" s="79">
        <v>250</v>
      </c>
      <c r="H108" s="79"/>
      <c r="I108" s="79"/>
      <c r="J108" s="79">
        <v>250</v>
      </c>
      <c r="K108" s="79"/>
      <c r="L108" s="79">
        <v>230</v>
      </c>
      <c r="M108" s="79">
        <v>250</v>
      </c>
      <c r="N108" s="79"/>
      <c r="O108" s="79">
        <v>251.98</v>
      </c>
      <c r="P108" s="79">
        <v>250</v>
      </c>
      <c r="Q108" s="79"/>
      <c r="R108" s="79">
        <v>85</v>
      </c>
      <c r="S108" s="79">
        <v>250</v>
      </c>
      <c r="T108" s="80">
        <f>+C108+F108+I108+L108+O108+R108</f>
        <v>2762.3</v>
      </c>
      <c r="U108" s="80">
        <f>+D108+G108+J108+M108+P108+S108</f>
        <v>1500</v>
      </c>
      <c r="V108" s="79"/>
      <c r="W108" s="76">
        <v>3000</v>
      </c>
      <c r="X108" s="64"/>
      <c r="Y108" s="76">
        <f>+W108</f>
        <v>3000</v>
      </c>
      <c r="Z108" s="76"/>
      <c r="AA108" s="62"/>
    </row>
    <row r="109" spans="1:27" x14ac:dyDescent="0.2">
      <c r="A109" s="82" t="s">
        <v>316</v>
      </c>
      <c r="B109" s="81" t="s">
        <v>315</v>
      </c>
      <c r="C109" s="79"/>
      <c r="D109" s="79"/>
      <c r="E109" s="79"/>
      <c r="F109" s="79"/>
      <c r="G109" s="79"/>
      <c r="H109" s="79"/>
      <c r="I109" s="79">
        <v>239</v>
      </c>
      <c r="J109" s="79"/>
      <c r="K109" s="79"/>
      <c r="L109" s="79"/>
      <c r="M109" s="79">
        <v>1250</v>
      </c>
      <c r="N109" s="79"/>
      <c r="O109" s="79"/>
      <c r="P109" s="79">
        <v>1250</v>
      </c>
      <c r="Q109" s="79"/>
      <c r="R109" s="79">
        <v>0</v>
      </c>
      <c r="S109" s="79">
        <v>1250</v>
      </c>
      <c r="T109" s="80">
        <f>+C109+F109+I109+L109+O109+R109</f>
        <v>239</v>
      </c>
      <c r="U109" s="80">
        <f>+D109+G109+J109+M109+P109+S109</f>
        <v>3750</v>
      </c>
      <c r="V109" s="79"/>
      <c r="W109" s="76">
        <v>5000</v>
      </c>
      <c r="X109" s="64"/>
      <c r="Y109" s="76">
        <f>+W109</f>
        <v>5000</v>
      </c>
      <c r="Z109" s="76"/>
      <c r="AA109" s="62"/>
    </row>
    <row r="110" spans="1:27" x14ac:dyDescent="0.2">
      <c r="A110" s="82" t="s">
        <v>314</v>
      </c>
      <c r="B110" s="81" t="s">
        <v>313</v>
      </c>
      <c r="C110" s="79"/>
      <c r="D110" s="79">
        <v>416.66</v>
      </c>
      <c r="E110" s="79"/>
      <c r="F110" s="79"/>
      <c r="G110" s="79">
        <v>416.66</v>
      </c>
      <c r="H110" s="79"/>
      <c r="I110" s="79"/>
      <c r="J110" s="79">
        <v>416.66</v>
      </c>
      <c r="K110" s="79"/>
      <c r="L110" s="79"/>
      <c r="M110" s="79">
        <v>416.66</v>
      </c>
      <c r="N110" s="79"/>
      <c r="O110" s="79"/>
      <c r="P110" s="79">
        <v>416.67</v>
      </c>
      <c r="Q110" s="79"/>
      <c r="R110" s="79">
        <v>11650</v>
      </c>
      <c r="S110" s="79">
        <v>416.67</v>
      </c>
      <c r="T110" s="80">
        <f>+C110+F110+I110+L110+O110+R110</f>
        <v>11650</v>
      </c>
      <c r="U110" s="80">
        <f>+D110+G110+J110+M110+P110+S110</f>
        <v>2499.98</v>
      </c>
      <c r="V110" s="79"/>
      <c r="W110" s="76">
        <v>5000</v>
      </c>
      <c r="X110" s="64"/>
      <c r="Y110" s="76">
        <f>+W110</f>
        <v>5000</v>
      </c>
      <c r="Z110" s="76"/>
      <c r="AA110" s="62"/>
    </row>
    <row r="111" spans="1:27" x14ac:dyDescent="0.2">
      <c r="A111" s="82" t="s">
        <v>312</v>
      </c>
      <c r="B111" s="81" t="s">
        <v>311</v>
      </c>
      <c r="C111" s="79"/>
      <c r="D111" s="79"/>
      <c r="E111" s="79"/>
      <c r="F111" s="79"/>
      <c r="G111" s="79">
        <v>5000</v>
      </c>
      <c r="H111" s="79"/>
      <c r="I111" s="79">
        <v>4340</v>
      </c>
      <c r="J111" s="79"/>
      <c r="K111" s="79"/>
      <c r="L111" s="79"/>
      <c r="M111" s="79"/>
      <c r="N111" s="79"/>
      <c r="O111" s="79"/>
      <c r="P111" s="79"/>
      <c r="Q111" s="79"/>
      <c r="R111" s="79">
        <v>4600</v>
      </c>
      <c r="S111" s="79">
        <v>0</v>
      </c>
      <c r="T111" s="80">
        <f>+C111+F111+I111+L111+O111+R111</f>
        <v>8940</v>
      </c>
      <c r="U111" s="80">
        <f>+D111+G111+J111+M111+P111+S111</f>
        <v>5000</v>
      </c>
      <c r="V111" s="79"/>
      <c r="W111" s="76">
        <v>5000</v>
      </c>
      <c r="X111" s="64"/>
      <c r="Y111" s="76">
        <f>+W111</f>
        <v>5000</v>
      </c>
      <c r="Z111" s="76"/>
      <c r="AA111" s="62"/>
    </row>
    <row r="112" spans="1:27" x14ac:dyDescent="0.2">
      <c r="A112" s="82" t="s">
        <v>310</v>
      </c>
      <c r="B112" s="81" t="s">
        <v>309</v>
      </c>
      <c r="C112" s="79">
        <v>4829</v>
      </c>
      <c r="D112" s="79">
        <v>8333.34</v>
      </c>
      <c r="E112" s="79"/>
      <c r="F112" s="79">
        <v>11991.25</v>
      </c>
      <c r="G112" s="79">
        <v>8333.34</v>
      </c>
      <c r="H112" s="79"/>
      <c r="I112" s="79">
        <v>15289.5</v>
      </c>
      <c r="J112" s="79">
        <v>8333.34</v>
      </c>
      <c r="K112" s="79"/>
      <c r="L112" s="79">
        <v>12302.16</v>
      </c>
      <c r="M112" s="79">
        <v>8333.34</v>
      </c>
      <c r="N112" s="79"/>
      <c r="O112" s="79">
        <v>4278</v>
      </c>
      <c r="P112" s="79">
        <v>8333.33</v>
      </c>
      <c r="Q112" s="79"/>
      <c r="R112" s="79">
        <v>4060.5</v>
      </c>
      <c r="S112" s="79">
        <v>8333.33</v>
      </c>
      <c r="T112" s="80">
        <f>+C112+F112+I112+L112+O112+R112</f>
        <v>52750.41</v>
      </c>
      <c r="U112" s="80">
        <f>+D112+G112+J112+M112+P112+S112</f>
        <v>50000.020000000004</v>
      </c>
      <c r="V112" s="79"/>
      <c r="W112" s="76">
        <v>100000</v>
      </c>
      <c r="X112" s="64"/>
      <c r="Y112" s="76">
        <f>+W112</f>
        <v>100000</v>
      </c>
      <c r="Z112" s="76"/>
      <c r="AA112" s="62"/>
    </row>
    <row r="113" spans="1:27" x14ac:dyDescent="0.2">
      <c r="A113" s="82" t="s">
        <v>308</v>
      </c>
      <c r="B113" s="81" t="s">
        <v>307</v>
      </c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>
        <v>0</v>
      </c>
      <c r="S113" s="79">
        <v>0</v>
      </c>
      <c r="T113" s="80">
        <f>+C113+F113+I113+L113+O113+R113</f>
        <v>0</v>
      </c>
      <c r="U113" s="80">
        <f>+D113+G113+J113+M113+P113+S113</f>
        <v>0</v>
      </c>
      <c r="V113" s="79"/>
      <c r="W113" s="76"/>
      <c r="X113" s="64"/>
      <c r="Y113" s="76">
        <f>+W113</f>
        <v>0</v>
      </c>
      <c r="Z113" s="76"/>
      <c r="AA113" s="62"/>
    </row>
    <row r="114" spans="1:27" x14ac:dyDescent="0.2">
      <c r="A114" s="82" t="s">
        <v>306</v>
      </c>
      <c r="B114" s="81" t="s">
        <v>305</v>
      </c>
      <c r="C114" s="79"/>
      <c r="D114" s="79"/>
      <c r="E114" s="79"/>
      <c r="F114" s="79">
        <v>30000</v>
      </c>
      <c r="G114" s="79">
        <v>30000</v>
      </c>
      <c r="H114" s="79"/>
      <c r="I114" s="79">
        <v>3000</v>
      </c>
      <c r="J114" s="79"/>
      <c r="K114" s="79"/>
      <c r="L114" s="79"/>
      <c r="M114" s="79"/>
      <c r="N114" s="79"/>
      <c r="O114" s="79">
        <v>34393</v>
      </c>
      <c r="P114" s="79">
        <v>30000</v>
      </c>
      <c r="Q114" s="79"/>
      <c r="R114" s="79">
        <v>0</v>
      </c>
      <c r="S114" s="79">
        <v>0</v>
      </c>
      <c r="T114" s="80">
        <f>+C114+F114+I114+L114+O114+R114</f>
        <v>67393</v>
      </c>
      <c r="U114" s="80">
        <f>+D114+G114+J114+M114+P114+S114</f>
        <v>60000</v>
      </c>
      <c r="V114" s="79"/>
      <c r="W114" s="76">
        <v>60000</v>
      </c>
      <c r="X114" s="64"/>
      <c r="Y114" s="76">
        <f>+W114</f>
        <v>60000</v>
      </c>
      <c r="Z114" s="76"/>
      <c r="AA114" s="62"/>
    </row>
    <row r="115" spans="1:27" x14ac:dyDescent="0.2">
      <c r="A115" s="82" t="s">
        <v>304</v>
      </c>
      <c r="B115" s="81" t="s">
        <v>303</v>
      </c>
      <c r="C115" s="79"/>
      <c r="D115" s="79">
        <v>166.66</v>
      </c>
      <c r="E115" s="79"/>
      <c r="F115" s="79"/>
      <c r="G115" s="79">
        <v>166.66</v>
      </c>
      <c r="H115" s="79"/>
      <c r="I115" s="79"/>
      <c r="J115" s="79">
        <v>166.66</v>
      </c>
      <c r="K115" s="79"/>
      <c r="L115" s="79"/>
      <c r="M115" s="79">
        <v>166.66</v>
      </c>
      <c r="N115" s="79"/>
      <c r="O115" s="79"/>
      <c r="P115" s="79">
        <v>166.67</v>
      </c>
      <c r="Q115" s="79"/>
      <c r="R115" s="79">
        <v>0</v>
      </c>
      <c r="S115" s="79">
        <v>166.67</v>
      </c>
      <c r="T115" s="80">
        <f>+C115+F115+I115+L115+O115+R115</f>
        <v>0</v>
      </c>
      <c r="U115" s="80">
        <f>+D115+G115+J115+M115+P115+S115</f>
        <v>999.9799999999999</v>
      </c>
      <c r="V115" s="79"/>
      <c r="W115" s="76">
        <v>2000</v>
      </c>
      <c r="X115" s="64"/>
      <c r="Y115" s="76">
        <f>+W115</f>
        <v>2000</v>
      </c>
      <c r="Z115" s="76"/>
      <c r="AA115" s="62"/>
    </row>
    <row r="116" spans="1:27" x14ac:dyDescent="0.2">
      <c r="A116" s="82" t="s">
        <v>302</v>
      </c>
      <c r="B116" s="81" t="s">
        <v>301</v>
      </c>
      <c r="C116" s="79"/>
      <c r="D116" s="79">
        <v>250</v>
      </c>
      <c r="E116" s="79"/>
      <c r="F116" s="79"/>
      <c r="G116" s="79">
        <v>250</v>
      </c>
      <c r="H116" s="79"/>
      <c r="I116" s="79">
        <v>750</v>
      </c>
      <c r="J116" s="79">
        <v>250</v>
      </c>
      <c r="K116" s="79"/>
      <c r="L116" s="79">
        <v>477.5</v>
      </c>
      <c r="M116" s="79">
        <v>250</v>
      </c>
      <c r="N116" s="79"/>
      <c r="O116" s="79">
        <v>1942.5</v>
      </c>
      <c r="P116" s="79">
        <v>250</v>
      </c>
      <c r="Q116" s="79"/>
      <c r="R116" s="79">
        <v>0</v>
      </c>
      <c r="S116" s="79">
        <v>250</v>
      </c>
      <c r="T116" s="80">
        <f>+C116+F116+I116+L116+O116+R116</f>
        <v>3170</v>
      </c>
      <c r="U116" s="80">
        <f>+D116+G116+J116+M116+P116+S116</f>
        <v>1500</v>
      </c>
      <c r="V116" s="79"/>
      <c r="W116" s="76">
        <v>3000</v>
      </c>
      <c r="X116" s="64"/>
      <c r="Y116" s="76">
        <f>+W116</f>
        <v>3000</v>
      </c>
      <c r="Z116" s="76"/>
      <c r="AA116" s="62"/>
    </row>
    <row r="117" spans="1:27" x14ac:dyDescent="0.2">
      <c r="A117" s="82">
        <v>6010850</v>
      </c>
      <c r="B117" s="81" t="s">
        <v>300</v>
      </c>
      <c r="C117" s="79"/>
      <c r="D117" s="79">
        <v>416.66</v>
      </c>
      <c r="E117" s="79"/>
      <c r="F117" s="79">
        <v>1380</v>
      </c>
      <c r="G117" s="79">
        <v>416.66</v>
      </c>
      <c r="H117" s="79"/>
      <c r="I117" s="79">
        <v>2769.92</v>
      </c>
      <c r="J117" s="79">
        <v>416.66</v>
      </c>
      <c r="K117" s="79"/>
      <c r="L117" s="79">
        <v>3519</v>
      </c>
      <c r="M117" s="79">
        <v>416.66</v>
      </c>
      <c r="N117" s="79"/>
      <c r="O117" s="79"/>
      <c r="P117" s="79">
        <v>416.67</v>
      </c>
      <c r="Q117" s="79"/>
      <c r="R117" s="79">
        <v>0</v>
      </c>
      <c r="S117" s="79">
        <v>416.67</v>
      </c>
      <c r="T117" s="80">
        <f>+C117+F117+I117+L117+O117+R117</f>
        <v>7668.92</v>
      </c>
      <c r="U117" s="80">
        <f>+D117+G117+J117+M117+P117+S117</f>
        <v>2499.98</v>
      </c>
      <c r="V117" s="79"/>
      <c r="W117" s="76">
        <f>+W63</f>
        <v>5000</v>
      </c>
      <c r="X117" s="64"/>
      <c r="Y117" s="76"/>
      <c r="Z117" s="76">
        <f>+W117</f>
        <v>5000</v>
      </c>
      <c r="AA117" s="62"/>
    </row>
    <row r="118" spans="1:27" x14ac:dyDescent="0.2">
      <c r="A118" s="82" t="s">
        <v>299</v>
      </c>
      <c r="B118" s="81" t="s">
        <v>298</v>
      </c>
      <c r="C118" s="79">
        <v>3959.76</v>
      </c>
      <c r="D118" s="79">
        <v>7083.34</v>
      </c>
      <c r="E118" s="79"/>
      <c r="F118" s="79">
        <v>3579.06</v>
      </c>
      <c r="G118" s="79">
        <v>7083.34</v>
      </c>
      <c r="H118" s="79"/>
      <c r="I118" s="79">
        <v>3660.35</v>
      </c>
      <c r="J118" s="79">
        <v>7083.34</v>
      </c>
      <c r="K118" s="79"/>
      <c r="L118" s="79">
        <v>6402.39</v>
      </c>
      <c r="M118" s="79">
        <v>7083.34</v>
      </c>
      <c r="N118" s="79"/>
      <c r="O118" s="79">
        <v>8804.18</v>
      </c>
      <c r="P118" s="79">
        <v>7083.33</v>
      </c>
      <c r="Q118" s="79"/>
      <c r="R118" s="79">
        <v>8030.86</v>
      </c>
      <c r="S118" s="79">
        <v>7083.33</v>
      </c>
      <c r="T118" s="80">
        <f>+C118+F118+I118+L118+O118+R118</f>
        <v>34436.6</v>
      </c>
      <c r="U118" s="80">
        <f>+D118+G118+J118+M118+P118+S118</f>
        <v>42500.020000000004</v>
      </c>
      <c r="V118" s="79"/>
      <c r="W118" s="76">
        <v>85000</v>
      </c>
      <c r="X118" s="64"/>
      <c r="Y118" s="76">
        <f>+W118</f>
        <v>85000</v>
      </c>
      <c r="Z118" s="76"/>
      <c r="AA118" s="62"/>
    </row>
    <row r="119" spans="1:27" x14ac:dyDescent="0.2">
      <c r="A119" s="82">
        <v>6010950</v>
      </c>
      <c r="B119" s="81" t="s">
        <v>297</v>
      </c>
      <c r="C119" s="79"/>
      <c r="D119" s="79">
        <v>4166.66</v>
      </c>
      <c r="E119" s="79"/>
      <c r="F119" s="79">
        <v>5415.35</v>
      </c>
      <c r="G119" s="79">
        <v>4166.66</v>
      </c>
      <c r="H119" s="79"/>
      <c r="I119" s="79">
        <v>11938.5</v>
      </c>
      <c r="J119" s="79">
        <v>4166.66</v>
      </c>
      <c r="K119" s="79"/>
      <c r="L119" s="79"/>
      <c r="M119" s="79">
        <v>4166.66</v>
      </c>
      <c r="N119" s="79"/>
      <c r="O119" s="79"/>
      <c r="P119" s="79">
        <v>4166.67</v>
      </c>
      <c r="Q119" s="79"/>
      <c r="R119" s="79">
        <v>599</v>
      </c>
      <c r="S119" s="79">
        <v>4166.67</v>
      </c>
      <c r="T119" s="80">
        <f>+C119+F119+I119+L119+O119+R119</f>
        <v>17952.849999999999</v>
      </c>
      <c r="U119" s="80">
        <f>+D119+G119+J119+M119+P119+S119</f>
        <v>24999.979999999996</v>
      </c>
      <c r="V119" s="79"/>
      <c r="W119" s="76">
        <v>50000</v>
      </c>
      <c r="X119" s="64"/>
      <c r="Y119" s="76">
        <f>+W119</f>
        <v>50000</v>
      </c>
      <c r="Z119" s="76"/>
      <c r="AA119" s="62"/>
    </row>
    <row r="120" spans="1:27" x14ac:dyDescent="0.2">
      <c r="A120" s="82" t="s">
        <v>296</v>
      </c>
      <c r="B120" s="81" t="s">
        <v>122</v>
      </c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>
        <v>0</v>
      </c>
      <c r="S120" s="79">
        <v>0</v>
      </c>
      <c r="T120" s="80">
        <f>+C120+F120+I120+L120+O120+R120</f>
        <v>0</v>
      </c>
      <c r="U120" s="80">
        <f>+D120+G120+J120+M120+P120+S120</f>
        <v>0</v>
      </c>
      <c r="V120" s="79"/>
      <c r="W120" s="76"/>
      <c r="X120" s="64"/>
      <c r="Y120" s="76">
        <f>+W120</f>
        <v>0</v>
      </c>
      <c r="Z120" s="76"/>
      <c r="AA120" s="62"/>
    </row>
    <row r="121" spans="1:27" x14ac:dyDescent="0.2">
      <c r="A121" s="82" t="s">
        <v>295</v>
      </c>
      <c r="B121" s="81" t="s">
        <v>294</v>
      </c>
      <c r="C121" s="79"/>
      <c r="D121" s="79"/>
      <c r="E121" s="79"/>
      <c r="F121" s="79"/>
      <c r="G121" s="79"/>
      <c r="H121" s="79"/>
      <c r="I121" s="79"/>
      <c r="J121" s="79"/>
      <c r="K121" s="79"/>
      <c r="L121" s="79">
        <v>0</v>
      </c>
      <c r="M121" s="79">
        <v>0</v>
      </c>
      <c r="N121" s="79"/>
      <c r="O121" s="79">
        <v>3300</v>
      </c>
      <c r="P121" s="79">
        <v>3000</v>
      </c>
      <c r="Q121" s="79"/>
      <c r="R121" s="79">
        <v>1100</v>
      </c>
      <c r="S121" s="79">
        <v>0</v>
      </c>
      <c r="T121" s="80">
        <f>+C121+F121+I121+L121+O121+R121</f>
        <v>4400</v>
      </c>
      <c r="U121" s="80">
        <f>+D121+G121+J121+M121+P121+S121</f>
        <v>3000</v>
      </c>
      <c r="V121" s="79"/>
      <c r="W121" s="76">
        <v>15000</v>
      </c>
      <c r="X121" s="64"/>
      <c r="Y121" s="76">
        <f>+W121</f>
        <v>15000</v>
      </c>
      <c r="Z121" s="76"/>
      <c r="AA121" s="62"/>
    </row>
    <row r="122" spans="1:27" x14ac:dyDescent="0.2">
      <c r="A122" s="82" t="s">
        <v>293</v>
      </c>
      <c r="B122" s="81" t="s">
        <v>292</v>
      </c>
      <c r="C122" s="79">
        <v>382.43</v>
      </c>
      <c r="D122" s="79">
        <v>750</v>
      </c>
      <c r="E122" s="79"/>
      <c r="F122" s="79">
        <v>630.61</v>
      </c>
      <c r="G122" s="79">
        <v>750</v>
      </c>
      <c r="H122" s="79"/>
      <c r="I122" s="79">
        <v>5373.78</v>
      </c>
      <c r="J122" s="79">
        <v>750</v>
      </c>
      <c r="K122" s="79"/>
      <c r="L122" s="79">
        <v>1002.5</v>
      </c>
      <c r="M122" s="79">
        <v>750</v>
      </c>
      <c r="N122" s="79"/>
      <c r="O122" s="79">
        <v>1455.03</v>
      </c>
      <c r="P122" s="79">
        <v>750</v>
      </c>
      <c r="Q122" s="79"/>
      <c r="R122" s="79">
        <f>+-4734.49+2.48</f>
        <v>-4732.01</v>
      </c>
      <c r="S122" s="79">
        <v>750</v>
      </c>
      <c r="T122" s="80">
        <f>+C122+F122+I122+L122+O122+R122</f>
        <v>4112.34</v>
      </c>
      <c r="U122" s="80">
        <f>+D122+G122+J122+M122+P122+S122</f>
        <v>4500</v>
      </c>
      <c r="V122" s="79"/>
      <c r="W122" s="76">
        <v>9000</v>
      </c>
      <c r="X122" s="64"/>
      <c r="Y122" s="76">
        <f>+W122</f>
        <v>9000</v>
      </c>
      <c r="Z122" s="76"/>
      <c r="AA122" s="62"/>
    </row>
    <row r="123" spans="1:27" x14ac:dyDescent="0.2">
      <c r="A123" s="82" t="s">
        <v>291</v>
      </c>
      <c r="B123" s="81" t="s">
        <v>290</v>
      </c>
      <c r="C123" s="79"/>
      <c r="D123" s="79">
        <v>541.65</v>
      </c>
      <c r="E123" s="79"/>
      <c r="F123" s="79"/>
      <c r="G123" s="79">
        <v>541.65</v>
      </c>
      <c r="H123" s="79"/>
      <c r="I123" s="79">
        <v>300</v>
      </c>
      <c r="J123" s="79">
        <v>541.66999999999996</v>
      </c>
      <c r="K123" s="79"/>
      <c r="L123" s="79"/>
      <c r="M123" s="79">
        <v>541.66999999999996</v>
      </c>
      <c r="N123" s="79"/>
      <c r="O123" s="79">
        <v>250</v>
      </c>
      <c r="P123" s="79">
        <v>541.66999999999996</v>
      </c>
      <c r="Q123" s="79"/>
      <c r="R123" s="79">
        <v>1575</v>
      </c>
      <c r="S123" s="79">
        <v>541.66999999999996</v>
      </c>
      <c r="T123" s="80">
        <f>+C123+F123+I123+L123+O123+R123</f>
        <v>2125</v>
      </c>
      <c r="U123" s="80">
        <f>+D123+G123+J123+M123+P123+S123</f>
        <v>3249.98</v>
      </c>
      <c r="V123" s="79"/>
      <c r="W123" s="76">
        <v>6500</v>
      </c>
      <c r="X123" s="64"/>
      <c r="Y123" s="76">
        <f>+W123</f>
        <v>6500</v>
      </c>
      <c r="Z123" s="76"/>
      <c r="AA123" s="62"/>
    </row>
    <row r="124" spans="1:27" x14ac:dyDescent="0.2">
      <c r="A124" s="82" t="s">
        <v>289</v>
      </c>
      <c r="B124" s="81" t="s">
        <v>288</v>
      </c>
      <c r="C124" s="79"/>
      <c r="D124" s="79">
        <v>625</v>
      </c>
      <c r="E124" s="79"/>
      <c r="F124" s="79">
        <v>-1931.08</v>
      </c>
      <c r="G124" s="79">
        <v>625</v>
      </c>
      <c r="H124" s="79"/>
      <c r="I124" s="79">
        <v>396.48</v>
      </c>
      <c r="J124" s="79">
        <v>625</v>
      </c>
      <c r="K124" s="79"/>
      <c r="L124" s="79">
        <v>204.12</v>
      </c>
      <c r="M124" s="79">
        <v>625</v>
      </c>
      <c r="N124" s="79"/>
      <c r="O124" s="79">
        <v>176.76</v>
      </c>
      <c r="P124" s="79">
        <v>625</v>
      </c>
      <c r="Q124" s="79"/>
      <c r="R124" s="79">
        <v>155.52000000000001</v>
      </c>
      <c r="S124" s="79">
        <v>625</v>
      </c>
      <c r="T124" s="80">
        <f>+C124+F124+I124+L124+O124+R124</f>
        <v>-998.2</v>
      </c>
      <c r="U124" s="80">
        <f>+D124+G124+J124+M124+P124+S124</f>
        <v>3750</v>
      </c>
      <c r="V124" s="79"/>
      <c r="W124" s="76">
        <v>7500</v>
      </c>
      <c r="X124" s="64"/>
      <c r="Y124" s="76">
        <f>+W124</f>
        <v>7500</v>
      </c>
      <c r="Z124" s="76"/>
      <c r="AA124" s="62"/>
    </row>
    <row r="125" spans="1:27" x14ac:dyDescent="0.2">
      <c r="A125" s="82" t="s">
        <v>287</v>
      </c>
      <c r="B125" s="81" t="s">
        <v>286</v>
      </c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>
        <v>0</v>
      </c>
      <c r="S125" s="79">
        <v>0</v>
      </c>
      <c r="T125" s="80">
        <f>+C125+F125+I125+L125+O125+R125</f>
        <v>0</v>
      </c>
      <c r="U125" s="80">
        <f>+D125+G125+J125+M125+P125+S125</f>
        <v>0</v>
      </c>
      <c r="V125" s="79"/>
      <c r="W125" s="76"/>
      <c r="X125" s="64"/>
      <c r="Y125" s="76">
        <f>+W125</f>
        <v>0</v>
      </c>
      <c r="Z125" s="76"/>
      <c r="AA125" s="62"/>
    </row>
    <row r="126" spans="1:27" x14ac:dyDescent="0.2">
      <c r="A126" s="82" t="s">
        <v>285</v>
      </c>
      <c r="B126" s="81" t="s">
        <v>284</v>
      </c>
      <c r="C126" s="79">
        <v>53441.09</v>
      </c>
      <c r="D126" s="79"/>
      <c r="E126" s="79"/>
      <c r="F126" s="79">
        <v>-4677.75</v>
      </c>
      <c r="G126" s="79"/>
      <c r="H126" s="79"/>
      <c r="I126" s="79">
        <v>19902.689999999999</v>
      </c>
      <c r="J126" s="79"/>
      <c r="K126" s="79"/>
      <c r="L126" s="79">
        <v>-6865.5</v>
      </c>
      <c r="M126" s="79"/>
      <c r="N126" s="79"/>
      <c r="O126" s="79">
        <v>-3230.29</v>
      </c>
      <c r="P126" s="79"/>
      <c r="Q126" s="79"/>
      <c r="R126" s="79">
        <v>-11238.27</v>
      </c>
      <c r="S126" s="79">
        <v>0</v>
      </c>
      <c r="T126" s="80">
        <f>+C126+F126+I126+L126+O126+R126</f>
        <v>47331.97</v>
      </c>
      <c r="U126" s="80">
        <f>+D126+G126+J126+M126+P126+S126</f>
        <v>0</v>
      </c>
      <c r="V126" s="79"/>
      <c r="W126" s="76"/>
      <c r="X126" s="64"/>
      <c r="Y126" s="76">
        <f>+W126</f>
        <v>0</v>
      </c>
      <c r="Z126" s="76"/>
      <c r="AA126" s="62"/>
    </row>
    <row r="127" spans="1:27" x14ac:dyDescent="0.2">
      <c r="A127" s="82" t="s">
        <v>283</v>
      </c>
      <c r="B127" s="81" t="s">
        <v>282</v>
      </c>
      <c r="C127" s="79">
        <v>5800</v>
      </c>
      <c r="D127" s="79">
        <v>2916.66</v>
      </c>
      <c r="E127" s="79"/>
      <c r="F127" s="79">
        <v>5193.6400000000003</v>
      </c>
      <c r="G127" s="79">
        <v>2916.66</v>
      </c>
      <c r="H127" s="79"/>
      <c r="I127" s="79">
        <v>642.23</v>
      </c>
      <c r="J127" s="79">
        <v>2916.66</v>
      </c>
      <c r="K127" s="79"/>
      <c r="L127" s="79">
        <v>850</v>
      </c>
      <c r="M127" s="79">
        <v>2916.66</v>
      </c>
      <c r="N127" s="79"/>
      <c r="O127" s="79">
        <v>2137.4699999999998</v>
      </c>
      <c r="P127" s="79">
        <v>2916.67</v>
      </c>
      <c r="Q127" s="79"/>
      <c r="R127" s="79">
        <v>0</v>
      </c>
      <c r="S127" s="79">
        <v>2916.67</v>
      </c>
      <c r="T127" s="80">
        <f>+C127+F127+I127+L127+O127+R127</f>
        <v>14623.339999999998</v>
      </c>
      <c r="U127" s="80">
        <f>+D127+G127+J127+M127+P127+S127</f>
        <v>17499.98</v>
      </c>
      <c r="V127" s="79"/>
      <c r="W127" s="76">
        <v>35000</v>
      </c>
      <c r="X127" s="64"/>
      <c r="Y127" s="76">
        <f>+W127</f>
        <v>35000</v>
      </c>
      <c r="Z127" s="76"/>
      <c r="AA127" s="62"/>
    </row>
    <row r="128" spans="1:27" x14ac:dyDescent="0.2">
      <c r="A128" s="82" t="s">
        <v>281</v>
      </c>
      <c r="B128" s="81" t="s">
        <v>280</v>
      </c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>
        <v>0</v>
      </c>
      <c r="S128" s="79">
        <v>0</v>
      </c>
      <c r="T128" s="80">
        <f>+C128+F128+I128+L128+O128+R128</f>
        <v>0</v>
      </c>
      <c r="U128" s="80">
        <f>+D128+G128+J128+M128+P128+S128</f>
        <v>0</v>
      </c>
      <c r="V128" s="79"/>
      <c r="W128" s="76"/>
      <c r="X128" s="64"/>
      <c r="Y128" s="76">
        <f>+W128</f>
        <v>0</v>
      </c>
      <c r="Z128" s="76"/>
      <c r="AA128" s="62"/>
    </row>
    <row r="129" spans="1:28" x14ac:dyDescent="0.2">
      <c r="A129" s="82"/>
      <c r="B129" s="81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6"/>
      <c r="X129" s="64"/>
      <c r="Y129" s="76"/>
      <c r="Z129" s="76"/>
      <c r="AA129" s="62"/>
    </row>
    <row r="130" spans="1:28" s="92" customFormat="1" x14ac:dyDescent="0.2">
      <c r="A130" s="89"/>
      <c r="B130" s="88" t="s">
        <v>279</v>
      </c>
      <c r="C130" s="86">
        <f>SUM(C104:C128)</f>
        <v>72782.48</v>
      </c>
      <c r="D130" s="86">
        <f>SUM(D104:D128)</f>
        <v>30916.63</v>
      </c>
      <c r="E130" s="70"/>
      <c r="F130" s="86">
        <f>SUM(F104:F128)</f>
        <v>56590.669999999991</v>
      </c>
      <c r="G130" s="86">
        <f>SUM(G104:G128)</f>
        <v>66366.63</v>
      </c>
      <c r="H130" s="70"/>
      <c r="I130" s="86">
        <f>SUM(I104:I128)</f>
        <v>99601.949999999983</v>
      </c>
      <c r="J130" s="86">
        <f>SUM(J104:J128)</f>
        <v>31466.649999999998</v>
      </c>
      <c r="K130" s="70"/>
      <c r="L130" s="86">
        <f>SUM(L104:L128)</f>
        <v>60271.08</v>
      </c>
      <c r="M130" s="86">
        <f>SUM(M104:M128)</f>
        <v>32516.649999999998</v>
      </c>
      <c r="N130" s="70"/>
      <c r="O130" s="86">
        <f>SUM(O104:O128)</f>
        <v>99882.290000000008</v>
      </c>
      <c r="P130" s="86">
        <f>SUM(P104:P128)</f>
        <v>65566.679999999993</v>
      </c>
      <c r="Q130" s="70"/>
      <c r="R130" s="86">
        <f>SUM(R104:R128)</f>
        <v>55908.459999999992</v>
      </c>
      <c r="S130" s="86">
        <f>SUM(S104:S128)</f>
        <v>32416.679999999993</v>
      </c>
      <c r="T130" s="86">
        <f>SUM(T104:T128)</f>
        <v>445036.93</v>
      </c>
      <c r="U130" s="86">
        <f>SUM(U104:U128)</f>
        <v>259249.92000000004</v>
      </c>
      <c r="V130" s="70"/>
      <c r="W130" s="86">
        <f>SUM(W104:W128)</f>
        <v>461000</v>
      </c>
      <c r="X130" s="87"/>
      <c r="Y130" s="86">
        <f>SUM(Y104:Y128)</f>
        <v>456000</v>
      </c>
      <c r="Z130" s="86">
        <f>SUM(Z104:Z128)</f>
        <v>5000</v>
      </c>
      <c r="AA130" s="93"/>
    </row>
    <row r="131" spans="1:28" s="92" customFormat="1" x14ac:dyDescent="0.2">
      <c r="A131" s="89"/>
      <c r="B131" s="88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90"/>
      <c r="X131" s="91"/>
      <c r="Y131" s="90"/>
      <c r="Z131" s="90"/>
      <c r="AA131" s="93"/>
    </row>
    <row r="132" spans="1:28" x14ac:dyDescent="0.2">
      <c r="A132" s="82" t="s">
        <v>278</v>
      </c>
      <c r="B132" s="81" t="s">
        <v>116</v>
      </c>
      <c r="C132" s="79">
        <v>-11447.82</v>
      </c>
      <c r="D132" s="79">
        <v>29383.77</v>
      </c>
      <c r="E132" s="79"/>
      <c r="F132" s="79">
        <v>27578.19</v>
      </c>
      <c r="G132" s="79">
        <v>29383.77</v>
      </c>
      <c r="H132" s="79"/>
      <c r="I132" s="79">
        <v>31668.06</v>
      </c>
      <c r="J132" s="79">
        <v>29383.77</v>
      </c>
      <c r="K132" s="79"/>
      <c r="L132" s="79">
        <v>30847.19</v>
      </c>
      <c r="M132" s="79">
        <v>29383.77</v>
      </c>
      <c r="N132" s="79"/>
      <c r="O132" s="79">
        <v>44992.32</v>
      </c>
      <c r="P132" s="79">
        <v>44075.65</v>
      </c>
      <c r="Q132" s="79"/>
      <c r="R132" s="79">
        <v>29430.39</v>
      </c>
      <c r="S132" s="79">
        <v>29383.77</v>
      </c>
      <c r="T132" s="80">
        <f>+C132+F132+I132+L132+O132+R132</f>
        <v>153068.33000000002</v>
      </c>
      <c r="U132" s="80">
        <f>+D132+G132+J132+M132+P132+S132</f>
        <v>190994.5</v>
      </c>
      <c r="V132" s="79"/>
      <c r="W132" s="76">
        <v>381989</v>
      </c>
      <c r="X132" s="64"/>
      <c r="Y132" s="76">
        <f>+W132</f>
        <v>381989</v>
      </c>
      <c r="Z132" s="76"/>
      <c r="AA132" s="62"/>
    </row>
    <row r="133" spans="1:28" x14ac:dyDescent="0.2">
      <c r="A133" s="82" t="s">
        <v>277</v>
      </c>
      <c r="B133" s="81" t="s">
        <v>114</v>
      </c>
      <c r="C133" s="79">
        <v>2327.7800000000002</v>
      </c>
      <c r="D133" s="79">
        <v>2350.6999999999998</v>
      </c>
      <c r="E133" s="79"/>
      <c r="F133" s="79">
        <v>2303.35</v>
      </c>
      <c r="G133" s="79">
        <v>2350.6999999999998</v>
      </c>
      <c r="H133" s="79"/>
      <c r="I133" s="79">
        <v>1595.97</v>
      </c>
      <c r="J133" s="79">
        <v>2350.69</v>
      </c>
      <c r="K133" s="79"/>
      <c r="L133" s="79">
        <v>2225.89</v>
      </c>
      <c r="M133" s="79">
        <v>2350.69</v>
      </c>
      <c r="N133" s="79"/>
      <c r="O133" s="79">
        <v>3406.98</v>
      </c>
      <c r="P133" s="79">
        <v>3526.04</v>
      </c>
      <c r="Q133" s="79"/>
      <c r="R133" s="79">
        <v>2183.0500000000002</v>
      </c>
      <c r="S133" s="79">
        <v>2350.69</v>
      </c>
      <c r="T133" s="80">
        <f>+C133+F133+I133+L133+O133+R133</f>
        <v>14043.02</v>
      </c>
      <c r="U133" s="80">
        <f>+D133+G133+J133+M133+P133+S133</f>
        <v>15279.51</v>
      </c>
      <c r="V133" s="79"/>
      <c r="W133" s="76">
        <v>30559</v>
      </c>
      <c r="X133" s="64"/>
      <c r="Y133" s="76">
        <f>+W133</f>
        <v>30559</v>
      </c>
      <c r="Z133" s="76"/>
      <c r="AA133" s="62"/>
    </row>
    <row r="134" spans="1:28" x14ac:dyDescent="0.2">
      <c r="A134" s="82" t="s">
        <v>276</v>
      </c>
      <c r="B134" s="81" t="s">
        <v>112</v>
      </c>
      <c r="C134" s="79">
        <v>5359.99</v>
      </c>
      <c r="D134" s="79">
        <v>6031</v>
      </c>
      <c r="E134" s="79"/>
      <c r="F134" s="79">
        <v>5462.13</v>
      </c>
      <c r="G134" s="79">
        <v>6031</v>
      </c>
      <c r="H134" s="79"/>
      <c r="I134" s="79">
        <v>5535.05</v>
      </c>
      <c r="J134" s="79">
        <v>6031</v>
      </c>
      <c r="K134" s="79"/>
      <c r="L134" s="79">
        <v>6820.07</v>
      </c>
      <c r="M134" s="79">
        <v>6031</v>
      </c>
      <c r="N134" s="79"/>
      <c r="O134" s="79">
        <v>6978.02</v>
      </c>
      <c r="P134" s="79">
        <v>6032</v>
      </c>
      <c r="Q134" s="79"/>
      <c r="R134" s="79">
        <v>6978.04</v>
      </c>
      <c r="S134" s="79">
        <v>6032</v>
      </c>
      <c r="T134" s="80">
        <f>+C134+F134+I134+L134+O134+R134</f>
        <v>37133.299999999996</v>
      </c>
      <c r="U134" s="80">
        <f>+D134+G134+J134+M134+P134+S134</f>
        <v>36188</v>
      </c>
      <c r="V134" s="79"/>
      <c r="W134" s="76">
        <f>67402+3616+1226+136</f>
        <v>72380</v>
      </c>
      <c r="X134" s="64"/>
      <c r="Y134" s="76">
        <f>+W134</f>
        <v>72380</v>
      </c>
      <c r="Z134" s="76"/>
      <c r="AA134" s="62"/>
    </row>
    <row r="135" spans="1:28" x14ac:dyDescent="0.2">
      <c r="A135" s="82" t="s">
        <v>275</v>
      </c>
      <c r="B135" s="81" t="s">
        <v>134</v>
      </c>
      <c r="C135" s="79">
        <v>312.52</v>
      </c>
      <c r="D135" s="79">
        <v>316.3</v>
      </c>
      <c r="E135" s="79"/>
      <c r="F135" s="79">
        <v>307.35000000000002</v>
      </c>
      <c r="G135" s="79">
        <v>316.3</v>
      </c>
      <c r="H135" s="79"/>
      <c r="I135" s="79">
        <v>307.33999999999997</v>
      </c>
      <c r="J135" s="79">
        <v>316.31</v>
      </c>
      <c r="K135" s="79"/>
      <c r="L135" s="79">
        <v>315.97000000000003</v>
      </c>
      <c r="M135" s="79">
        <v>316.31</v>
      </c>
      <c r="N135" s="79"/>
      <c r="O135" s="79">
        <v>468.66</v>
      </c>
      <c r="P135" s="79">
        <v>474.46</v>
      </c>
      <c r="Q135" s="79"/>
      <c r="R135" s="79">
        <v>315.51</v>
      </c>
      <c r="S135" s="79">
        <v>316.31</v>
      </c>
      <c r="T135" s="80">
        <f>+C135+F135+I135+L135+O135+R135</f>
        <v>2027.3500000000001</v>
      </c>
      <c r="U135" s="80">
        <f>+D135+G135+J135+M135+P135+S135</f>
        <v>2055.9900000000002</v>
      </c>
      <c r="V135" s="79"/>
      <c r="W135" s="76">
        <v>4112</v>
      </c>
      <c r="X135" s="64"/>
      <c r="Y135" s="76">
        <f>+W135</f>
        <v>4112</v>
      </c>
      <c r="Z135" s="76"/>
      <c r="AA135" s="62"/>
    </row>
    <row r="136" spans="1:28" x14ac:dyDescent="0.2">
      <c r="A136" s="82" t="s">
        <v>274</v>
      </c>
      <c r="B136" s="81" t="s">
        <v>110</v>
      </c>
      <c r="C136" s="79">
        <v>1206.79</v>
      </c>
      <c r="D136" s="79">
        <v>41.34</v>
      </c>
      <c r="E136" s="79"/>
      <c r="F136" s="79">
        <v>1206.79</v>
      </c>
      <c r="G136" s="79">
        <v>41.34</v>
      </c>
      <c r="H136" s="79"/>
      <c r="I136" s="79">
        <v>1206.79</v>
      </c>
      <c r="J136" s="79">
        <v>41.34</v>
      </c>
      <c r="K136" s="79"/>
      <c r="L136" s="79">
        <v>1206.79</v>
      </c>
      <c r="M136" s="79">
        <v>41.34</v>
      </c>
      <c r="N136" s="79"/>
      <c r="O136" s="79">
        <v>1206.79</v>
      </c>
      <c r="P136" s="79">
        <v>41.33</v>
      </c>
      <c r="Q136" s="79"/>
      <c r="R136" s="79">
        <v>40.44</v>
      </c>
      <c r="S136" s="79">
        <v>41.33</v>
      </c>
      <c r="T136" s="80">
        <f>+C136+F136+I136+L136+O136+R136</f>
        <v>6074.3899999999994</v>
      </c>
      <c r="U136" s="80">
        <f>+D136+G136+J136+M136+P136+S136</f>
        <v>248.01999999999998</v>
      </c>
      <c r="V136" s="79"/>
      <c r="W136" s="76">
        <v>496</v>
      </c>
      <c r="X136" s="64"/>
      <c r="Y136" s="76">
        <f>+W136</f>
        <v>496</v>
      </c>
      <c r="Z136" s="76"/>
      <c r="AA136" s="62"/>
      <c r="AB136" s="62"/>
    </row>
    <row r="137" spans="1:28" x14ac:dyDescent="0.2">
      <c r="A137" s="82" t="s">
        <v>273</v>
      </c>
      <c r="B137" s="81" t="s">
        <v>109</v>
      </c>
      <c r="C137" s="79">
        <v>183.2</v>
      </c>
      <c r="D137" s="79">
        <v>555.55999999999995</v>
      </c>
      <c r="E137" s="79"/>
      <c r="F137" s="79">
        <v>335.84</v>
      </c>
      <c r="G137" s="79"/>
      <c r="H137" s="79"/>
      <c r="I137" s="79">
        <v>612.32000000000005</v>
      </c>
      <c r="J137" s="79">
        <v>1111.1099999999999</v>
      </c>
      <c r="K137" s="79"/>
      <c r="L137" s="79">
        <v>738.88</v>
      </c>
      <c r="M137" s="79">
        <v>1111.1099999999999</v>
      </c>
      <c r="N137" s="79"/>
      <c r="O137" s="79">
        <v>961.6</v>
      </c>
      <c r="P137" s="79">
        <v>1666.67</v>
      </c>
      <c r="Q137" s="79"/>
      <c r="R137" s="79">
        <v>545.12</v>
      </c>
      <c r="S137" s="79">
        <v>555.54999999999995</v>
      </c>
      <c r="T137" s="80">
        <f>+C137+F137+I137+L137+O137+R137</f>
        <v>3376.96</v>
      </c>
      <c r="U137" s="80">
        <f>+D137+G137+J137+M137+P137+S137</f>
        <v>5000</v>
      </c>
      <c r="V137" s="79"/>
      <c r="W137" s="76">
        <v>5000</v>
      </c>
      <c r="X137" s="64"/>
      <c r="Y137" s="76">
        <f>+W137</f>
        <v>5000</v>
      </c>
      <c r="Z137" s="76"/>
      <c r="AA137" s="62"/>
    </row>
    <row r="138" spans="1:28" x14ac:dyDescent="0.2">
      <c r="A138" s="82" t="s">
        <v>272</v>
      </c>
      <c r="B138" s="81" t="s">
        <v>108</v>
      </c>
      <c r="C138" s="79">
        <v>16.21</v>
      </c>
      <c r="D138" s="79">
        <v>50</v>
      </c>
      <c r="E138" s="79"/>
      <c r="F138" s="79">
        <v>17.45</v>
      </c>
      <c r="G138" s="79"/>
      <c r="H138" s="79"/>
      <c r="I138" s="79">
        <v>48.46</v>
      </c>
      <c r="J138" s="79">
        <v>100</v>
      </c>
      <c r="K138" s="79"/>
      <c r="L138" s="79">
        <v>65.38</v>
      </c>
      <c r="M138" s="79">
        <v>100</v>
      </c>
      <c r="N138" s="79"/>
      <c r="O138" s="79">
        <v>99.36</v>
      </c>
      <c r="P138" s="79">
        <v>150</v>
      </c>
      <c r="Q138" s="79"/>
      <c r="R138" s="79">
        <v>46.32</v>
      </c>
      <c r="S138" s="79">
        <v>50</v>
      </c>
      <c r="T138" s="80">
        <f>+C138+F138+I138+L138+O138+R138</f>
        <v>293.18</v>
      </c>
      <c r="U138" s="80">
        <f>+D138+G138+J138+M138+P138+S138</f>
        <v>450</v>
      </c>
      <c r="V138" s="79"/>
      <c r="W138" s="76">
        <v>450</v>
      </c>
      <c r="X138" s="64"/>
      <c r="Y138" s="76">
        <f>+W138</f>
        <v>450</v>
      </c>
      <c r="Z138" s="76"/>
      <c r="AA138" s="62"/>
    </row>
    <row r="139" spans="1:28" x14ac:dyDescent="0.2">
      <c r="A139" s="82" t="s">
        <v>271</v>
      </c>
      <c r="B139" s="81" t="s">
        <v>105</v>
      </c>
      <c r="C139" s="79">
        <v>-48.94</v>
      </c>
      <c r="D139" s="79">
        <v>1.25</v>
      </c>
      <c r="E139" s="79"/>
      <c r="F139" s="79">
        <v>-48.94</v>
      </c>
      <c r="G139" s="79">
        <v>1.25</v>
      </c>
      <c r="H139" s="79"/>
      <c r="I139" s="79">
        <v>-48.94</v>
      </c>
      <c r="J139" s="79">
        <v>1.25</v>
      </c>
      <c r="K139" s="79"/>
      <c r="L139" s="79">
        <v>-48.94</v>
      </c>
      <c r="M139" s="79">
        <v>1.25</v>
      </c>
      <c r="N139" s="79"/>
      <c r="O139" s="79">
        <v>-48.94</v>
      </c>
      <c r="P139" s="79">
        <v>1.25</v>
      </c>
      <c r="Q139" s="79"/>
      <c r="R139" s="79">
        <v>1.22</v>
      </c>
      <c r="S139" s="79">
        <v>1.25</v>
      </c>
      <c r="T139" s="80">
        <f>+C139+F139+I139+L139+O139+R139</f>
        <v>-243.48</v>
      </c>
      <c r="U139" s="80">
        <f>+D139+G139+J139+M139+P139+S139</f>
        <v>7.5</v>
      </c>
      <c r="V139" s="79"/>
      <c r="W139" s="76">
        <v>15</v>
      </c>
      <c r="X139" s="64"/>
      <c r="Y139" s="76">
        <f>+W139</f>
        <v>15</v>
      </c>
      <c r="Z139" s="76"/>
      <c r="AA139" s="62"/>
      <c r="AB139" s="62"/>
    </row>
    <row r="140" spans="1:28" x14ac:dyDescent="0.2">
      <c r="A140" s="82" t="s">
        <v>270</v>
      </c>
      <c r="B140" s="81" t="s">
        <v>103</v>
      </c>
      <c r="C140" s="79">
        <v>2319.94</v>
      </c>
      <c r="D140" s="79">
        <v>2500</v>
      </c>
      <c r="E140" s="79"/>
      <c r="F140" s="79">
        <v>2956.65</v>
      </c>
      <c r="G140" s="79">
        <v>2500</v>
      </c>
      <c r="H140" s="79"/>
      <c r="I140" s="79">
        <v>2874.3</v>
      </c>
      <c r="J140" s="79">
        <v>2500</v>
      </c>
      <c r="K140" s="79"/>
      <c r="L140" s="79">
        <v>2466.91</v>
      </c>
      <c r="M140" s="79">
        <v>2500</v>
      </c>
      <c r="N140" s="79"/>
      <c r="O140" s="79">
        <v>3793.87</v>
      </c>
      <c r="P140" s="79">
        <v>2500</v>
      </c>
      <c r="Q140" s="79"/>
      <c r="R140" s="79">
        <v>2646.19</v>
      </c>
      <c r="S140" s="79">
        <v>2500</v>
      </c>
      <c r="T140" s="80">
        <f>+C140+F140+I140+L140+O140+R140</f>
        <v>17057.859999999997</v>
      </c>
      <c r="U140" s="80">
        <f>+D140+G140+J140+M140+P140+S140</f>
        <v>15000</v>
      </c>
      <c r="V140" s="79"/>
      <c r="W140" s="76">
        <v>30000</v>
      </c>
      <c r="X140" s="64"/>
      <c r="Y140" s="76">
        <f>+W140</f>
        <v>30000</v>
      </c>
      <c r="Z140" s="76"/>
      <c r="AA140" s="62"/>
    </row>
    <row r="141" spans="1:28" x14ac:dyDescent="0.2">
      <c r="A141" s="82" t="s">
        <v>269</v>
      </c>
      <c r="B141" s="81" t="s">
        <v>101</v>
      </c>
      <c r="C141" s="79">
        <v>600</v>
      </c>
      <c r="D141" s="79">
        <v>242</v>
      </c>
      <c r="E141" s="79"/>
      <c r="F141" s="79"/>
      <c r="G141" s="79">
        <v>241</v>
      </c>
      <c r="H141" s="79"/>
      <c r="I141" s="79">
        <v>815</v>
      </c>
      <c r="J141" s="79">
        <v>242</v>
      </c>
      <c r="K141" s="79"/>
      <c r="L141" s="79">
        <v>600</v>
      </c>
      <c r="M141" s="79">
        <v>241</v>
      </c>
      <c r="N141" s="79"/>
      <c r="O141" s="79"/>
      <c r="P141" s="79">
        <v>242</v>
      </c>
      <c r="Q141" s="79"/>
      <c r="R141" s="79">
        <v>659</v>
      </c>
      <c r="S141" s="79">
        <v>241</v>
      </c>
      <c r="T141" s="80">
        <f>+C141+F141+I141+L141+O141+R141</f>
        <v>2674</v>
      </c>
      <c r="U141" s="80">
        <f>+D141+G141+J141+M141+P141+S141</f>
        <v>1449</v>
      </c>
      <c r="V141" s="79"/>
      <c r="W141" s="76">
        <v>2900</v>
      </c>
      <c r="X141" s="64"/>
      <c r="Y141" s="76">
        <f>+W141</f>
        <v>2900</v>
      </c>
      <c r="Z141" s="76"/>
      <c r="AA141" s="62"/>
    </row>
    <row r="142" spans="1:28" x14ac:dyDescent="0.2">
      <c r="A142" s="82" t="s">
        <v>268</v>
      </c>
      <c r="B142" s="81" t="s">
        <v>178</v>
      </c>
      <c r="C142" s="79"/>
      <c r="D142" s="79"/>
      <c r="E142" s="79"/>
      <c r="F142" s="79"/>
      <c r="G142" s="79"/>
      <c r="H142" s="79"/>
      <c r="I142" s="79">
        <v>441</v>
      </c>
      <c r="J142" s="79">
        <v>250</v>
      </c>
      <c r="K142" s="79"/>
      <c r="L142" s="79"/>
      <c r="M142" s="79"/>
      <c r="N142" s="79"/>
      <c r="O142" s="79"/>
      <c r="P142" s="79"/>
      <c r="Q142" s="79"/>
      <c r="R142" s="79">
        <v>0</v>
      </c>
      <c r="S142" s="79">
        <v>0</v>
      </c>
      <c r="T142" s="80">
        <f>+C142+F142+I142+L142+O142+R142</f>
        <v>441</v>
      </c>
      <c r="U142" s="80">
        <f>+D142+G142+J142+M142+P142+S142</f>
        <v>250</v>
      </c>
      <c r="V142" s="79"/>
      <c r="W142" s="76">
        <v>500</v>
      </c>
      <c r="X142" s="64"/>
      <c r="Y142" s="76">
        <f>+W142</f>
        <v>500</v>
      </c>
      <c r="Z142" s="76"/>
      <c r="AA142" s="62"/>
    </row>
    <row r="143" spans="1:28" x14ac:dyDescent="0.2">
      <c r="A143" s="82" t="s">
        <v>267</v>
      </c>
      <c r="B143" s="81" t="s">
        <v>99</v>
      </c>
      <c r="C143" s="79">
        <v>99.52</v>
      </c>
      <c r="D143" s="79">
        <v>210</v>
      </c>
      <c r="E143" s="79"/>
      <c r="F143" s="79">
        <v>543.65</v>
      </c>
      <c r="G143" s="79">
        <v>200</v>
      </c>
      <c r="H143" s="79"/>
      <c r="I143" s="79">
        <v>1356</v>
      </c>
      <c r="J143" s="79">
        <v>210</v>
      </c>
      <c r="K143" s="79"/>
      <c r="L143" s="79">
        <v>984.6</v>
      </c>
      <c r="M143" s="79">
        <v>210</v>
      </c>
      <c r="N143" s="79"/>
      <c r="O143" s="79">
        <v>150</v>
      </c>
      <c r="P143" s="79">
        <v>200</v>
      </c>
      <c r="Q143" s="79"/>
      <c r="R143" s="79">
        <v>251.06</v>
      </c>
      <c r="S143" s="79">
        <v>210</v>
      </c>
      <c r="T143" s="80">
        <f>+C143+F143+I143+L143+O143+R143</f>
        <v>3384.83</v>
      </c>
      <c r="U143" s="80">
        <f>+D143+G143+J143+M143+P143+S143</f>
        <v>1240</v>
      </c>
      <c r="V143" s="79"/>
      <c r="W143" s="76">
        <v>2500</v>
      </c>
      <c r="X143" s="64"/>
      <c r="Y143" s="76">
        <f>+W143</f>
        <v>2500</v>
      </c>
      <c r="Z143" s="76"/>
      <c r="AA143" s="62"/>
    </row>
    <row r="144" spans="1:28" x14ac:dyDescent="0.2">
      <c r="A144" s="82" t="s">
        <v>266</v>
      </c>
      <c r="B144" s="81" t="s">
        <v>175</v>
      </c>
      <c r="C144" s="79">
        <v>415</v>
      </c>
      <c r="D144" s="79">
        <v>580</v>
      </c>
      <c r="E144" s="79"/>
      <c r="F144" s="79">
        <v>415</v>
      </c>
      <c r="G144" s="79">
        <v>585</v>
      </c>
      <c r="H144" s="79"/>
      <c r="I144" s="79">
        <v>580.58000000000004</v>
      </c>
      <c r="J144" s="79">
        <v>580</v>
      </c>
      <c r="K144" s="79"/>
      <c r="L144" s="79">
        <v>415</v>
      </c>
      <c r="M144" s="79">
        <v>585</v>
      </c>
      <c r="N144" s="79"/>
      <c r="O144" s="79">
        <v>622.5</v>
      </c>
      <c r="P144" s="79">
        <v>580</v>
      </c>
      <c r="Q144" s="79"/>
      <c r="R144" s="79">
        <v>415</v>
      </c>
      <c r="S144" s="79">
        <v>585</v>
      </c>
      <c r="T144" s="80">
        <f>+C144+F144+I144+L144+O144+R144</f>
        <v>2863.08</v>
      </c>
      <c r="U144" s="80">
        <f>+D144+G144+J144+M144+P144+S144</f>
        <v>3495</v>
      </c>
      <c r="V144" s="79"/>
      <c r="W144" s="76">
        <v>7000</v>
      </c>
      <c r="X144" s="64"/>
      <c r="Y144" s="76">
        <f>+W144</f>
        <v>7000</v>
      </c>
      <c r="Z144" s="76"/>
      <c r="AA144" s="62"/>
    </row>
    <row r="145" spans="1:27" x14ac:dyDescent="0.2">
      <c r="A145" s="82" t="s">
        <v>265</v>
      </c>
      <c r="B145" s="81" t="s">
        <v>264</v>
      </c>
      <c r="C145" s="79">
        <v>2116.65</v>
      </c>
      <c r="D145" s="79">
        <v>1000</v>
      </c>
      <c r="E145" s="79"/>
      <c r="F145" s="79">
        <v>798.36</v>
      </c>
      <c r="G145" s="79">
        <v>1000</v>
      </c>
      <c r="H145" s="79"/>
      <c r="I145" s="79">
        <v>413.06</v>
      </c>
      <c r="J145" s="79">
        <v>1000</v>
      </c>
      <c r="K145" s="79"/>
      <c r="L145" s="79">
        <v>1009.75</v>
      </c>
      <c r="M145" s="79">
        <v>1000</v>
      </c>
      <c r="N145" s="79"/>
      <c r="O145" s="79">
        <v>2219.75</v>
      </c>
      <c r="P145" s="79">
        <v>1000</v>
      </c>
      <c r="Q145" s="79"/>
      <c r="R145" s="79">
        <v>121.37</v>
      </c>
      <c r="S145" s="79">
        <v>1000</v>
      </c>
      <c r="T145" s="80">
        <f>+C145+F145+I145+L145+O145+R145</f>
        <v>6678.94</v>
      </c>
      <c r="U145" s="80">
        <f>+D145+G145+J145+M145+P145+S145</f>
        <v>6000</v>
      </c>
      <c r="V145" s="79"/>
      <c r="W145" s="76">
        <v>12000</v>
      </c>
      <c r="X145" s="64"/>
      <c r="Y145" s="76">
        <f>+W145</f>
        <v>12000</v>
      </c>
      <c r="Z145" s="76"/>
      <c r="AA145" s="62"/>
    </row>
    <row r="146" spans="1:27" x14ac:dyDescent="0.2">
      <c r="A146" s="82" t="s">
        <v>263</v>
      </c>
      <c r="B146" s="81" t="s">
        <v>172</v>
      </c>
      <c r="C146" s="79">
        <v>5550.65</v>
      </c>
      <c r="D146" s="79">
        <v>12500</v>
      </c>
      <c r="E146" s="79"/>
      <c r="F146" s="79">
        <v>4051.9</v>
      </c>
      <c r="G146" s="79">
        <v>12500</v>
      </c>
      <c r="H146" s="79"/>
      <c r="I146" s="79">
        <v>3917.09</v>
      </c>
      <c r="J146" s="79">
        <v>12500</v>
      </c>
      <c r="K146" s="79"/>
      <c r="L146" s="79">
        <v>4021.9</v>
      </c>
      <c r="M146" s="79">
        <v>12500</v>
      </c>
      <c r="N146" s="79"/>
      <c r="O146" s="79">
        <v>4837.8999999999996</v>
      </c>
      <c r="P146" s="79">
        <v>12500</v>
      </c>
      <c r="Q146" s="79"/>
      <c r="R146" s="79">
        <v>3651.15</v>
      </c>
      <c r="S146" s="79">
        <v>12500</v>
      </c>
      <c r="T146" s="80">
        <f>+C146+F146+I146+L146+O146+R146</f>
        <v>26030.590000000004</v>
      </c>
      <c r="U146" s="80">
        <f>+D146+G146+J146+M146+P146+S146</f>
        <v>75000</v>
      </c>
      <c r="V146" s="79"/>
      <c r="W146" s="76">
        <v>150000</v>
      </c>
      <c r="X146" s="64"/>
      <c r="Y146" s="76">
        <v>75000</v>
      </c>
      <c r="Z146" s="76">
        <f>+W146-Y146</f>
        <v>75000</v>
      </c>
      <c r="AA146" s="62"/>
    </row>
    <row r="147" spans="1:27" x14ac:dyDescent="0.2">
      <c r="A147" s="82" t="s">
        <v>262</v>
      </c>
      <c r="B147" s="81" t="s">
        <v>91</v>
      </c>
      <c r="C147" s="79">
        <v>5517.76</v>
      </c>
      <c r="D147" s="79">
        <v>5833.34</v>
      </c>
      <c r="E147" s="79"/>
      <c r="F147" s="79">
        <v>7232.11</v>
      </c>
      <c r="G147" s="79">
        <v>5833.34</v>
      </c>
      <c r="H147" s="79"/>
      <c r="I147" s="79">
        <v>5517.76</v>
      </c>
      <c r="J147" s="79">
        <v>5833.34</v>
      </c>
      <c r="K147" s="79"/>
      <c r="L147" s="79">
        <v>5517.76</v>
      </c>
      <c r="M147" s="79">
        <v>5833.34</v>
      </c>
      <c r="N147" s="79"/>
      <c r="O147" s="79">
        <v>5517.76</v>
      </c>
      <c r="P147" s="79">
        <v>5833.33</v>
      </c>
      <c r="Q147" s="79"/>
      <c r="R147" s="79">
        <v>5517.76</v>
      </c>
      <c r="S147" s="79">
        <v>5833.33</v>
      </c>
      <c r="T147" s="80">
        <f>+C147+F147+I147+L147+O147+R147</f>
        <v>34820.910000000003</v>
      </c>
      <c r="U147" s="80">
        <f>+D147+G147+J147+M147+P147+S147</f>
        <v>35000.020000000004</v>
      </c>
      <c r="V147" s="79"/>
      <c r="W147" s="76">
        <v>70000</v>
      </c>
      <c r="X147" s="64"/>
      <c r="Y147" s="76">
        <f>+W147</f>
        <v>70000</v>
      </c>
      <c r="Z147" s="76"/>
      <c r="AA147" s="62"/>
    </row>
    <row r="148" spans="1:27" x14ac:dyDescent="0.2">
      <c r="A148" s="82" t="s">
        <v>261</v>
      </c>
      <c r="B148" s="81" t="s">
        <v>89</v>
      </c>
      <c r="C148" s="79">
        <v>2563</v>
      </c>
      <c r="D148" s="79">
        <v>210</v>
      </c>
      <c r="E148" s="79"/>
      <c r="F148" s="79">
        <v>179</v>
      </c>
      <c r="G148" s="79">
        <v>210</v>
      </c>
      <c r="H148" s="79"/>
      <c r="I148" s="79"/>
      <c r="J148" s="79">
        <v>210</v>
      </c>
      <c r="K148" s="79"/>
      <c r="L148" s="79"/>
      <c r="M148" s="79">
        <v>200</v>
      </c>
      <c r="N148" s="79"/>
      <c r="O148" s="79"/>
      <c r="P148" s="79">
        <v>200</v>
      </c>
      <c r="Q148" s="79"/>
      <c r="R148" s="79">
        <v>0</v>
      </c>
      <c r="S148" s="79">
        <v>210</v>
      </c>
      <c r="T148" s="80">
        <f>+C148+F148+I148+L148+O148+R148</f>
        <v>2742</v>
      </c>
      <c r="U148" s="80">
        <f>+D148+G148+J148+M148+P148+S148</f>
        <v>1240</v>
      </c>
      <c r="V148" s="79"/>
      <c r="W148" s="76">
        <v>2500</v>
      </c>
      <c r="X148" s="64"/>
      <c r="Y148" s="76">
        <f>+W148</f>
        <v>2500</v>
      </c>
      <c r="Z148" s="76"/>
      <c r="AA148" s="62"/>
    </row>
    <row r="149" spans="1:27" x14ac:dyDescent="0.2">
      <c r="A149" s="82" t="s">
        <v>260</v>
      </c>
      <c r="B149" s="81" t="s">
        <v>87</v>
      </c>
      <c r="C149" s="79">
        <v>370</v>
      </c>
      <c r="D149" s="79">
        <v>625</v>
      </c>
      <c r="E149" s="79"/>
      <c r="F149" s="79">
        <v>1341.62</v>
      </c>
      <c r="G149" s="79">
        <v>625</v>
      </c>
      <c r="H149" s="79"/>
      <c r="I149" s="79">
        <v>173</v>
      </c>
      <c r="J149" s="79">
        <v>625</v>
      </c>
      <c r="K149" s="79"/>
      <c r="L149" s="79"/>
      <c r="M149" s="79">
        <v>625</v>
      </c>
      <c r="N149" s="79"/>
      <c r="O149" s="79">
        <v>659</v>
      </c>
      <c r="P149" s="79">
        <v>625</v>
      </c>
      <c r="Q149" s="79"/>
      <c r="R149" s="79">
        <v>605.98</v>
      </c>
      <c r="S149" s="79">
        <v>625</v>
      </c>
      <c r="T149" s="80">
        <f>+C149+F149+I149+L149+O149+R149</f>
        <v>3149.6</v>
      </c>
      <c r="U149" s="80">
        <f>+D149+G149+J149+M149+P149+S149</f>
        <v>3750</v>
      </c>
      <c r="V149" s="79"/>
      <c r="W149" s="76">
        <v>7500</v>
      </c>
      <c r="X149" s="64"/>
      <c r="Y149" s="76">
        <f>+W149</f>
        <v>7500</v>
      </c>
      <c r="Z149" s="76"/>
      <c r="AA149" s="62"/>
    </row>
    <row r="150" spans="1:27" x14ac:dyDescent="0.2">
      <c r="A150" s="82" t="s">
        <v>259</v>
      </c>
      <c r="B150" s="81" t="s">
        <v>85</v>
      </c>
      <c r="C150" s="79">
        <v>665.85</v>
      </c>
      <c r="D150" s="79">
        <v>833.34</v>
      </c>
      <c r="E150" s="79"/>
      <c r="F150" s="79">
        <v>1218.07</v>
      </c>
      <c r="G150" s="79">
        <v>833.34</v>
      </c>
      <c r="H150" s="79"/>
      <c r="I150" s="79">
        <v>883.1</v>
      </c>
      <c r="J150" s="79">
        <v>833.34</v>
      </c>
      <c r="K150" s="79"/>
      <c r="L150" s="79">
        <v>370.77</v>
      </c>
      <c r="M150" s="79">
        <v>833.34</v>
      </c>
      <c r="N150" s="79"/>
      <c r="O150" s="79">
        <v>2104.59</v>
      </c>
      <c r="P150" s="79">
        <v>833.33</v>
      </c>
      <c r="Q150" s="79"/>
      <c r="R150" s="79">
        <v>3083.93</v>
      </c>
      <c r="S150" s="79">
        <v>833.33</v>
      </c>
      <c r="T150" s="80">
        <f>+C150+F150+I150+L150+O150+R150</f>
        <v>8326.31</v>
      </c>
      <c r="U150" s="80">
        <f>+D150+G150+J150+M150+P150+S150</f>
        <v>5000.0200000000004</v>
      </c>
      <c r="V150" s="79"/>
      <c r="W150" s="76">
        <v>10000</v>
      </c>
      <c r="X150" s="64"/>
      <c r="Y150" s="76">
        <f>+W150</f>
        <v>10000</v>
      </c>
      <c r="Z150" s="76"/>
      <c r="AA150" s="62"/>
    </row>
    <row r="151" spans="1:27" x14ac:dyDescent="0.2">
      <c r="A151" s="82" t="s">
        <v>258</v>
      </c>
      <c r="B151" s="81" t="s">
        <v>83</v>
      </c>
      <c r="C151" s="79"/>
      <c r="D151" s="79">
        <v>166.66</v>
      </c>
      <c r="E151" s="79"/>
      <c r="F151" s="79"/>
      <c r="G151" s="79">
        <v>166.66</v>
      </c>
      <c r="H151" s="79"/>
      <c r="I151" s="79"/>
      <c r="J151" s="79">
        <v>166.66</v>
      </c>
      <c r="K151" s="79"/>
      <c r="L151" s="79"/>
      <c r="M151" s="79">
        <v>166.66</v>
      </c>
      <c r="N151" s="79"/>
      <c r="O151" s="79"/>
      <c r="P151" s="79">
        <v>166.67</v>
      </c>
      <c r="Q151" s="79"/>
      <c r="R151" s="79">
        <v>0</v>
      </c>
      <c r="S151" s="79">
        <v>166.67</v>
      </c>
      <c r="T151" s="80">
        <f>+C151+F151+I151+L151+O151+R151</f>
        <v>0</v>
      </c>
      <c r="U151" s="80">
        <f>+D151+G151+J151+M151+P151+S151</f>
        <v>999.9799999999999</v>
      </c>
      <c r="V151" s="79"/>
      <c r="W151" s="76">
        <v>2000</v>
      </c>
      <c r="X151" s="64"/>
      <c r="Y151" s="76">
        <f>+W151</f>
        <v>2000</v>
      </c>
      <c r="Z151" s="76"/>
      <c r="AA151" s="62"/>
    </row>
    <row r="152" spans="1:27" x14ac:dyDescent="0.2">
      <c r="A152" s="82" t="s">
        <v>257</v>
      </c>
      <c r="B152" s="81" t="s">
        <v>81</v>
      </c>
      <c r="C152" s="79">
        <v>198.48</v>
      </c>
      <c r="D152" s="79">
        <v>416.66</v>
      </c>
      <c r="E152" s="79"/>
      <c r="F152" s="79">
        <v>100</v>
      </c>
      <c r="G152" s="79">
        <v>416.66</v>
      </c>
      <c r="H152" s="79"/>
      <c r="I152" s="79">
        <v>997.27</v>
      </c>
      <c r="J152" s="79">
        <v>416.66</v>
      </c>
      <c r="K152" s="79"/>
      <c r="L152" s="79"/>
      <c r="M152" s="79">
        <v>416.66</v>
      </c>
      <c r="N152" s="79"/>
      <c r="O152" s="79">
        <v>2</v>
      </c>
      <c r="P152" s="79">
        <v>416.67</v>
      </c>
      <c r="Q152" s="79"/>
      <c r="R152" s="79">
        <v>20.95</v>
      </c>
      <c r="S152" s="79">
        <v>416.67</v>
      </c>
      <c r="T152" s="80">
        <f>+C152+F152+I152+L152+O152+R152</f>
        <v>1318.7</v>
      </c>
      <c r="U152" s="80">
        <f>+D152+G152+J152+M152+P152+S152</f>
        <v>2499.98</v>
      </c>
      <c r="V152" s="79"/>
      <c r="W152" s="76">
        <v>5000</v>
      </c>
      <c r="X152" s="64"/>
      <c r="Y152" s="76">
        <f>+W152</f>
        <v>5000</v>
      </c>
      <c r="Z152" s="76"/>
      <c r="AA152" s="62"/>
    </row>
    <row r="153" spans="1:27" x14ac:dyDescent="0.2">
      <c r="A153" s="82">
        <v>6022050</v>
      </c>
      <c r="B153" s="81" t="s">
        <v>75</v>
      </c>
      <c r="C153" s="79">
        <v>35169.39</v>
      </c>
      <c r="D153" s="79"/>
      <c r="E153" s="79"/>
      <c r="F153" s="79">
        <v>32968.589999999997</v>
      </c>
      <c r="G153" s="79"/>
      <c r="H153" s="79"/>
      <c r="I153" s="79">
        <v>33719.120000000003</v>
      </c>
      <c r="J153" s="79"/>
      <c r="K153" s="79"/>
      <c r="L153" s="79">
        <v>37740.870000000003</v>
      </c>
      <c r="M153" s="79"/>
      <c r="N153" s="79"/>
      <c r="O153" s="79">
        <v>17859.2</v>
      </c>
      <c r="P153" s="79"/>
      <c r="Q153" s="79"/>
      <c r="R153" s="79">
        <v>14744.34</v>
      </c>
      <c r="S153" s="79">
        <v>0</v>
      </c>
      <c r="T153" s="80">
        <f>+C153+F153+I153+L153+O153+R153</f>
        <v>172201.51</v>
      </c>
      <c r="U153" s="80">
        <f>+D153+G153+J153+M153+P153+S153</f>
        <v>0</v>
      </c>
      <c r="V153" s="79"/>
      <c r="W153" s="76"/>
      <c r="X153" s="64"/>
      <c r="Y153" s="76">
        <f>+W153</f>
        <v>0</v>
      </c>
      <c r="Z153" s="76"/>
      <c r="AA153" s="62"/>
    </row>
    <row r="154" spans="1:27" x14ac:dyDescent="0.2">
      <c r="A154" s="82"/>
      <c r="B154" s="81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6"/>
      <c r="X154" s="64"/>
      <c r="Y154" s="76"/>
      <c r="Z154" s="76"/>
      <c r="AA154" s="62"/>
    </row>
    <row r="155" spans="1:27" x14ac:dyDescent="0.2">
      <c r="A155" s="89"/>
      <c r="B155" s="88" t="s">
        <v>18</v>
      </c>
      <c r="C155" s="86">
        <f>SUM(C132:C153)</f>
        <v>53495.97</v>
      </c>
      <c r="D155" s="86">
        <f>SUM(D132:D153)</f>
        <v>63846.92</v>
      </c>
      <c r="E155" s="70"/>
      <c r="F155" s="86">
        <f>SUM(F132:F153)</f>
        <v>88967.109999999986</v>
      </c>
      <c r="G155" s="86">
        <f>SUM(G132:G153)</f>
        <v>63235.360000000001</v>
      </c>
      <c r="H155" s="70"/>
      <c r="I155" s="86">
        <f>SUM(I132:I153)</f>
        <v>92612.33</v>
      </c>
      <c r="J155" s="86">
        <f>SUM(J132:J153)</f>
        <v>64702.47</v>
      </c>
      <c r="K155" s="70"/>
      <c r="L155" s="86">
        <f>SUM(L132:L153)</f>
        <v>95298.790000000008</v>
      </c>
      <c r="M155" s="86">
        <f>SUM(M132:M153)</f>
        <v>64446.47</v>
      </c>
      <c r="N155" s="70"/>
      <c r="O155" s="86">
        <f>SUM(O132:O153)</f>
        <v>95831.360000000001</v>
      </c>
      <c r="P155" s="86">
        <f>SUM(P132:P153)</f>
        <v>81064.399999999994</v>
      </c>
      <c r="Q155" s="70"/>
      <c r="R155" s="86">
        <f>SUM(R132:R153)</f>
        <v>71256.820000000007</v>
      </c>
      <c r="S155" s="86">
        <f>SUM(S132:S153)</f>
        <v>63851.9</v>
      </c>
      <c r="T155" s="86">
        <f>SUM(T132:T153)</f>
        <v>497462.38</v>
      </c>
      <c r="U155" s="86">
        <f>SUM(U132:U153)</f>
        <v>401147.52</v>
      </c>
      <c r="V155" s="70"/>
      <c r="W155" s="86">
        <f>SUM(W132:W153)</f>
        <v>796901</v>
      </c>
      <c r="X155" s="87"/>
      <c r="Y155" s="86">
        <f>SUM(Y132:Y153)</f>
        <v>721901</v>
      </c>
      <c r="Z155" s="86">
        <f>SUM(Z132:Z153)</f>
        <v>75000</v>
      </c>
      <c r="AA155" s="62"/>
    </row>
    <row r="156" spans="1:27" x14ac:dyDescent="0.2">
      <c r="A156" s="89"/>
      <c r="B156" s="88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90"/>
      <c r="X156" s="91"/>
      <c r="Y156" s="90"/>
      <c r="Z156" s="90"/>
      <c r="AA156" s="62"/>
    </row>
    <row r="157" spans="1:27" x14ac:dyDescent="0.2">
      <c r="A157" s="82" t="s">
        <v>256</v>
      </c>
      <c r="B157" s="81" t="s">
        <v>116</v>
      </c>
      <c r="C157" s="79">
        <v>5972.88</v>
      </c>
      <c r="D157" s="79">
        <v>5685.96</v>
      </c>
      <c r="E157" s="79"/>
      <c r="F157" s="79">
        <v>6459.46</v>
      </c>
      <c r="G157" s="79">
        <v>5685.92</v>
      </c>
      <c r="H157" s="79"/>
      <c r="I157" s="79">
        <v>5716.59</v>
      </c>
      <c r="J157" s="79">
        <v>5685.92</v>
      </c>
      <c r="K157" s="79"/>
      <c r="L157" s="79">
        <v>6419.16</v>
      </c>
      <c r="M157" s="79">
        <v>5685.92</v>
      </c>
      <c r="N157" s="79"/>
      <c r="O157" s="79">
        <v>9773.69</v>
      </c>
      <c r="P157" s="79">
        <v>8528.8799999999992</v>
      </c>
      <c r="Q157" s="79"/>
      <c r="R157" s="79">
        <v>7291.99</v>
      </c>
      <c r="S157" s="79">
        <v>5685.92</v>
      </c>
      <c r="T157" s="80">
        <f>+C157+F157+I157+L157+O157+R157</f>
        <v>41633.769999999997</v>
      </c>
      <c r="U157" s="80">
        <f>+D157+G157+J157+M157+P157+S157</f>
        <v>36958.519999999997</v>
      </c>
      <c r="V157" s="79"/>
      <c r="W157" s="76">
        <v>73917</v>
      </c>
      <c r="X157" s="64"/>
      <c r="Y157" s="76">
        <f>+W157</f>
        <v>73917</v>
      </c>
      <c r="Z157" s="76"/>
      <c r="AA157" s="62"/>
    </row>
    <row r="158" spans="1:27" x14ac:dyDescent="0.2">
      <c r="A158" s="82" t="s">
        <v>255</v>
      </c>
      <c r="B158" s="81" t="s">
        <v>114</v>
      </c>
      <c r="C158" s="79">
        <v>449.05</v>
      </c>
      <c r="D158" s="79">
        <v>454.85</v>
      </c>
      <c r="E158" s="79"/>
      <c r="F158" s="79">
        <v>520.12</v>
      </c>
      <c r="G158" s="79">
        <v>454.85</v>
      </c>
      <c r="H158" s="79"/>
      <c r="I158" s="79">
        <v>488.13</v>
      </c>
      <c r="J158" s="79">
        <v>454.85</v>
      </c>
      <c r="K158" s="79"/>
      <c r="L158" s="79">
        <v>470.42</v>
      </c>
      <c r="M158" s="79">
        <v>454.85</v>
      </c>
      <c r="N158" s="79"/>
      <c r="O158" s="79">
        <v>740.65</v>
      </c>
      <c r="P158" s="79">
        <v>682.25</v>
      </c>
      <c r="Q158" s="79"/>
      <c r="R158" s="79">
        <v>526.9</v>
      </c>
      <c r="S158" s="79">
        <v>454.85</v>
      </c>
      <c r="T158" s="80">
        <f>+C158+F158+I158+L158+O158+R158</f>
        <v>3195.2700000000004</v>
      </c>
      <c r="U158" s="80">
        <f>+D158+G158+J158+M158+P158+S158</f>
        <v>2956.5</v>
      </c>
      <c r="V158" s="79"/>
      <c r="W158" s="76">
        <f>539+5374</f>
        <v>5913</v>
      </c>
      <c r="X158" s="64"/>
      <c r="Y158" s="76">
        <f>+W158</f>
        <v>5913</v>
      </c>
      <c r="Z158" s="76"/>
      <c r="AA158" s="62"/>
    </row>
    <row r="159" spans="1:27" x14ac:dyDescent="0.2">
      <c r="A159" s="82" t="s">
        <v>254</v>
      </c>
      <c r="B159" s="81" t="s">
        <v>112</v>
      </c>
      <c r="C159" s="79">
        <v>2735.58</v>
      </c>
      <c r="D159" s="79">
        <v>3063.1</v>
      </c>
      <c r="E159" s="79"/>
      <c r="F159" s="79">
        <v>2769.52</v>
      </c>
      <c r="G159" s="79">
        <v>3063.1</v>
      </c>
      <c r="H159" s="79"/>
      <c r="I159" s="79">
        <v>2806.7</v>
      </c>
      <c r="J159" s="79">
        <v>3063.08</v>
      </c>
      <c r="K159" s="79"/>
      <c r="L159" s="79">
        <v>3462.66</v>
      </c>
      <c r="M159" s="79">
        <v>3063.08</v>
      </c>
      <c r="N159" s="79"/>
      <c r="O159" s="79">
        <v>3462.62</v>
      </c>
      <c r="P159" s="79">
        <v>3063.08</v>
      </c>
      <c r="Q159" s="79"/>
      <c r="R159" s="79">
        <v>3462.64</v>
      </c>
      <c r="S159" s="79">
        <v>3063.08</v>
      </c>
      <c r="T159" s="80">
        <f>+C159+F159+I159+L159+O159+R159</f>
        <v>18699.719999999998</v>
      </c>
      <c r="U159" s="80">
        <f>+D159+G159+J159+M159+P159+S159</f>
        <v>18378.519999999997</v>
      </c>
      <c r="V159" s="79"/>
      <c r="W159" s="76">
        <f>34404+1502+407+443</f>
        <v>36756</v>
      </c>
      <c r="X159" s="64"/>
      <c r="Y159" s="76">
        <f>+W159</f>
        <v>36756</v>
      </c>
      <c r="Z159" s="76"/>
      <c r="AA159" s="62"/>
    </row>
    <row r="160" spans="1:27" x14ac:dyDescent="0.2">
      <c r="A160" s="82" t="s">
        <v>253</v>
      </c>
      <c r="B160" s="81" t="s">
        <v>134</v>
      </c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>
        <v>0</v>
      </c>
      <c r="S160" s="79">
        <v>0</v>
      </c>
      <c r="T160" s="80">
        <f>+C160+F160+I160+L160+O160+R160</f>
        <v>0</v>
      </c>
      <c r="U160" s="80">
        <f>+D160+G160+J160+M160+P160+S160</f>
        <v>0</v>
      </c>
      <c r="V160" s="79"/>
      <c r="W160" s="76"/>
      <c r="X160" s="64"/>
      <c r="Y160" s="76">
        <f>+W160</f>
        <v>0</v>
      </c>
      <c r="Z160" s="76"/>
      <c r="AA160" s="62"/>
    </row>
    <row r="161" spans="1:28" x14ac:dyDescent="0.2">
      <c r="A161" s="82" t="s">
        <v>252</v>
      </c>
      <c r="B161" s="81" t="s">
        <v>132</v>
      </c>
      <c r="C161" s="79">
        <v>284.5</v>
      </c>
      <c r="D161" s="79"/>
      <c r="E161" s="79"/>
      <c r="F161" s="79"/>
      <c r="G161" s="79">
        <v>500</v>
      </c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80">
        <f>+C161+F161+I161+L161+O161+R161</f>
        <v>284.5</v>
      </c>
      <c r="U161" s="80">
        <f>+D161+G161+J161+M161+P161+S161</f>
        <v>500</v>
      </c>
      <c r="V161" s="79"/>
      <c r="W161" s="76">
        <v>500</v>
      </c>
      <c r="X161" s="64"/>
      <c r="Y161" s="76">
        <f>+W161</f>
        <v>500</v>
      </c>
      <c r="Z161" s="76"/>
      <c r="AA161" s="62"/>
    </row>
    <row r="162" spans="1:28" x14ac:dyDescent="0.2">
      <c r="A162" s="82" t="s">
        <v>251</v>
      </c>
      <c r="B162" s="81" t="s">
        <v>110</v>
      </c>
      <c r="C162" s="79">
        <v>162.01</v>
      </c>
      <c r="D162" s="79">
        <v>27.09</v>
      </c>
      <c r="E162" s="79"/>
      <c r="F162" s="79">
        <v>162.01</v>
      </c>
      <c r="G162" s="79">
        <v>27.09</v>
      </c>
      <c r="H162" s="79"/>
      <c r="I162" s="79">
        <v>162.01</v>
      </c>
      <c r="J162" s="79">
        <v>27.09</v>
      </c>
      <c r="K162" s="79"/>
      <c r="L162" s="79">
        <v>162.01</v>
      </c>
      <c r="M162" s="79">
        <v>27.09</v>
      </c>
      <c r="N162" s="79"/>
      <c r="O162" s="79">
        <v>162.01</v>
      </c>
      <c r="P162" s="79">
        <v>27.08</v>
      </c>
      <c r="Q162" s="79"/>
      <c r="R162" s="79">
        <v>26.49</v>
      </c>
      <c r="S162" s="79">
        <v>27.08</v>
      </c>
      <c r="T162" s="80">
        <f>+C162+F162+I162+L162+O162+R162</f>
        <v>836.54</v>
      </c>
      <c r="U162" s="80">
        <f>+D162+G162+J162+M162+P162+S162</f>
        <v>162.51999999999998</v>
      </c>
      <c r="V162" s="79"/>
      <c r="W162" s="76">
        <f>296+30</f>
        <v>326</v>
      </c>
      <c r="X162" s="64"/>
      <c r="Y162" s="76">
        <f>+W162</f>
        <v>326</v>
      </c>
      <c r="Z162" s="76"/>
      <c r="AA162" s="62"/>
      <c r="AB162" s="62"/>
    </row>
    <row r="163" spans="1:28" x14ac:dyDescent="0.2">
      <c r="A163" s="82" t="s">
        <v>250</v>
      </c>
      <c r="B163" s="81" t="s">
        <v>109</v>
      </c>
      <c r="C163" s="79"/>
      <c r="D163" s="79"/>
      <c r="E163" s="79"/>
      <c r="F163" s="79">
        <v>3683.21</v>
      </c>
      <c r="G163" s="79">
        <v>8325</v>
      </c>
      <c r="H163" s="79"/>
      <c r="I163" s="79">
        <v>19675.48</v>
      </c>
      <c r="J163" s="79">
        <v>16650</v>
      </c>
      <c r="K163" s="79"/>
      <c r="L163" s="79">
        <v>21149.07</v>
      </c>
      <c r="M163" s="79">
        <v>16650</v>
      </c>
      <c r="N163" s="79"/>
      <c r="O163" s="79">
        <v>33084.36</v>
      </c>
      <c r="P163" s="79">
        <v>24975</v>
      </c>
      <c r="Q163" s="79"/>
      <c r="R163" s="79">
        <v>13386.21</v>
      </c>
      <c r="S163" s="79">
        <v>16650</v>
      </c>
      <c r="T163" s="80">
        <f>+C163+F163+I163+L163+O163+R163</f>
        <v>90978.329999999987</v>
      </c>
      <c r="U163" s="80">
        <f>+D163+G163+J163+M163+P163+S163</f>
        <v>83250</v>
      </c>
      <c r="V163" s="79"/>
      <c r="W163" s="76">
        <v>83250</v>
      </c>
      <c r="X163" s="64"/>
      <c r="Y163" s="76">
        <f>+W163</f>
        <v>83250</v>
      </c>
      <c r="Z163" s="76"/>
      <c r="AA163" s="62"/>
    </row>
    <row r="164" spans="1:28" x14ac:dyDescent="0.2">
      <c r="A164" s="82" t="s">
        <v>249</v>
      </c>
      <c r="B164" s="81" t="s">
        <v>108</v>
      </c>
      <c r="C164" s="79"/>
      <c r="D164" s="79"/>
      <c r="E164" s="79"/>
      <c r="F164" s="79">
        <v>338.24</v>
      </c>
      <c r="G164" s="79">
        <v>832.5</v>
      </c>
      <c r="H164" s="79"/>
      <c r="I164" s="79">
        <v>1748.93</v>
      </c>
      <c r="J164" s="79">
        <v>1665</v>
      </c>
      <c r="K164" s="79"/>
      <c r="L164" s="79">
        <v>1635.22</v>
      </c>
      <c r="M164" s="79">
        <v>1665</v>
      </c>
      <c r="N164" s="79"/>
      <c r="O164" s="79">
        <v>2495.7399999999998</v>
      </c>
      <c r="P164" s="79">
        <v>2497.5</v>
      </c>
      <c r="Q164" s="79"/>
      <c r="R164" s="79">
        <v>585.66</v>
      </c>
      <c r="S164" s="79">
        <v>1665</v>
      </c>
      <c r="T164" s="80">
        <f>+C164+F164+I164+L164+O164+R164</f>
        <v>6803.79</v>
      </c>
      <c r="U164" s="80">
        <f>+D164+G164+J164+M164+P164+S164</f>
        <v>8325</v>
      </c>
      <c r="V164" s="79"/>
      <c r="W164" s="76">
        <v>8325</v>
      </c>
      <c r="X164" s="64"/>
      <c r="Y164" s="76">
        <f>+W164</f>
        <v>8325</v>
      </c>
      <c r="Z164" s="76"/>
      <c r="AA164" s="62"/>
    </row>
    <row r="165" spans="1:28" x14ac:dyDescent="0.2">
      <c r="A165" s="82" t="s">
        <v>248</v>
      </c>
      <c r="B165" s="81" t="s">
        <v>106</v>
      </c>
      <c r="C165" s="79">
        <v>2874.49</v>
      </c>
      <c r="D165" s="79">
        <v>3000</v>
      </c>
      <c r="E165" s="79"/>
      <c r="F165" s="79">
        <v>84</v>
      </c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>
        <v>0</v>
      </c>
      <c r="S165" s="79">
        <v>0</v>
      </c>
      <c r="T165" s="80">
        <f>+C165+F165+I165+L165+O165+R165</f>
        <v>2958.49</v>
      </c>
      <c r="U165" s="80">
        <f>+D165+G165+J165+M165+P165+S165</f>
        <v>3000</v>
      </c>
      <c r="V165" s="79"/>
      <c r="W165" s="76">
        <v>3000</v>
      </c>
      <c r="X165" s="64"/>
      <c r="Y165" s="76">
        <f>+W165</f>
        <v>3000</v>
      </c>
      <c r="Z165" s="76"/>
      <c r="AA165" s="62"/>
    </row>
    <row r="166" spans="1:28" x14ac:dyDescent="0.2">
      <c r="A166" s="82" t="s">
        <v>247</v>
      </c>
      <c r="B166" s="81" t="s">
        <v>105</v>
      </c>
      <c r="C166" s="79">
        <v>-492.7</v>
      </c>
      <c r="D166" s="79">
        <v>30.5</v>
      </c>
      <c r="E166" s="79"/>
      <c r="F166" s="79">
        <v>-492.7</v>
      </c>
      <c r="G166" s="79">
        <v>30.5</v>
      </c>
      <c r="H166" s="79"/>
      <c r="I166" s="79">
        <v>-492.7</v>
      </c>
      <c r="J166" s="79">
        <v>30.53</v>
      </c>
      <c r="K166" s="79"/>
      <c r="L166" s="79">
        <v>-492.7</v>
      </c>
      <c r="M166" s="79">
        <v>30.53</v>
      </c>
      <c r="N166" s="79"/>
      <c r="O166" s="79">
        <v>-492.7</v>
      </c>
      <c r="P166" s="79">
        <v>30.53</v>
      </c>
      <c r="Q166" s="79"/>
      <c r="R166" s="79">
        <v>29.86</v>
      </c>
      <c r="S166" s="79">
        <v>30.53</v>
      </c>
      <c r="T166" s="80">
        <f>+C166+F166+I166+L166+O166+R166</f>
        <v>-2433.64</v>
      </c>
      <c r="U166" s="80">
        <f>+D166+G166+J166+M166+P166+S166</f>
        <v>183.12</v>
      </c>
      <c r="V166" s="79"/>
      <c r="W166" s="76">
        <v>366.3</v>
      </c>
      <c r="X166" s="64"/>
      <c r="Y166" s="76">
        <f>+W166</f>
        <v>366.3</v>
      </c>
      <c r="Z166" s="76"/>
      <c r="AA166" s="62"/>
      <c r="AB166" s="62"/>
    </row>
    <row r="167" spans="1:28" x14ac:dyDescent="0.2">
      <c r="A167" s="82" t="s">
        <v>246</v>
      </c>
      <c r="B167" s="81" t="s">
        <v>103</v>
      </c>
      <c r="C167" s="79">
        <v>810.93</v>
      </c>
      <c r="D167" s="79">
        <v>927.5</v>
      </c>
      <c r="E167" s="79"/>
      <c r="F167" s="79">
        <v>1067.77</v>
      </c>
      <c r="G167" s="79">
        <v>927.5</v>
      </c>
      <c r="H167" s="79"/>
      <c r="I167" s="79">
        <v>447.54</v>
      </c>
      <c r="J167" s="79">
        <v>927.5</v>
      </c>
      <c r="K167" s="79"/>
      <c r="L167" s="79">
        <v>1055.21</v>
      </c>
      <c r="M167" s="79">
        <v>927.5</v>
      </c>
      <c r="N167" s="79"/>
      <c r="O167" s="79">
        <v>767.89</v>
      </c>
      <c r="P167" s="79">
        <v>927.5</v>
      </c>
      <c r="Q167" s="79"/>
      <c r="R167" s="79">
        <v>1091.73</v>
      </c>
      <c r="S167" s="79">
        <v>927.5</v>
      </c>
      <c r="T167" s="80">
        <v>5241.07</v>
      </c>
      <c r="U167" s="80">
        <f>+D167+G167+J167+M167+P167+S167</f>
        <v>5565</v>
      </c>
      <c r="V167" s="79"/>
      <c r="W167" s="76">
        <v>11130</v>
      </c>
      <c r="X167" s="64"/>
      <c r="Y167" s="76">
        <f>+W167</f>
        <v>11130</v>
      </c>
      <c r="Z167" s="76"/>
      <c r="AA167" s="62"/>
    </row>
    <row r="168" spans="1:28" x14ac:dyDescent="0.2">
      <c r="A168" s="82" t="s">
        <v>245</v>
      </c>
      <c r="B168" s="81" t="s">
        <v>101</v>
      </c>
      <c r="C168" s="79">
        <v>300</v>
      </c>
      <c r="D168" s="79">
        <v>240</v>
      </c>
      <c r="E168" s="79"/>
      <c r="F168" s="79"/>
      <c r="G168" s="79">
        <v>240</v>
      </c>
      <c r="H168" s="79"/>
      <c r="I168" s="79">
        <v>415</v>
      </c>
      <c r="J168" s="79">
        <v>240</v>
      </c>
      <c r="K168" s="79"/>
      <c r="L168" s="79">
        <v>300</v>
      </c>
      <c r="M168" s="79">
        <v>240</v>
      </c>
      <c r="N168" s="79"/>
      <c r="O168" s="79"/>
      <c r="P168" s="79">
        <v>240</v>
      </c>
      <c r="Q168" s="79"/>
      <c r="R168" s="79">
        <v>513</v>
      </c>
      <c r="S168" s="79">
        <v>240</v>
      </c>
      <c r="T168" s="80">
        <f>+C168+F168+I168+L168+O168+R168</f>
        <v>1528</v>
      </c>
      <c r="U168" s="80">
        <f>+D168+G168+J168+M168+P168+S168</f>
        <v>1440</v>
      </c>
      <c r="V168" s="79"/>
      <c r="W168" s="76">
        <v>2880</v>
      </c>
      <c r="X168" s="64"/>
      <c r="Y168" s="76">
        <f>+W168</f>
        <v>2880</v>
      </c>
      <c r="Z168" s="76"/>
      <c r="AA168" s="62"/>
    </row>
    <row r="169" spans="1:28" x14ac:dyDescent="0.2">
      <c r="A169" s="82" t="s">
        <v>244</v>
      </c>
      <c r="B169" s="81" t="s">
        <v>178</v>
      </c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>
        <v>0</v>
      </c>
      <c r="S169" s="79">
        <v>0</v>
      </c>
      <c r="T169" s="80">
        <f>+C169+F169+I169+L169+O169+R169</f>
        <v>0</v>
      </c>
      <c r="U169" s="80">
        <f>+D169+G169+J169+M169+P169+S169</f>
        <v>0</v>
      </c>
      <c r="V169" s="79"/>
      <c r="W169" s="76"/>
      <c r="X169" s="64"/>
      <c r="Y169" s="76">
        <f>+W169</f>
        <v>0</v>
      </c>
      <c r="Z169" s="76"/>
      <c r="AA169" s="62"/>
    </row>
    <row r="170" spans="1:28" x14ac:dyDescent="0.2">
      <c r="A170" s="82" t="s">
        <v>243</v>
      </c>
      <c r="B170" s="81" t="s">
        <v>99</v>
      </c>
      <c r="C170" s="79"/>
      <c r="D170" s="79"/>
      <c r="E170" s="79"/>
      <c r="F170" s="79">
        <v>1658</v>
      </c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>
        <v>0</v>
      </c>
      <c r="S170" s="79">
        <v>0</v>
      </c>
      <c r="T170" s="80">
        <f>+C170+F170+I170+L170+O170+R170</f>
        <v>1658</v>
      </c>
      <c r="U170" s="80">
        <f>+D170+G170+J170+M170+P170+S170</f>
        <v>0</v>
      </c>
      <c r="V170" s="79"/>
      <c r="W170" s="76"/>
      <c r="X170" s="64"/>
      <c r="Y170" s="76">
        <f>+W170</f>
        <v>0</v>
      </c>
      <c r="Z170" s="76"/>
      <c r="AA170" s="62"/>
    </row>
    <row r="171" spans="1:28" x14ac:dyDescent="0.2">
      <c r="A171" s="82" t="s">
        <v>242</v>
      </c>
      <c r="B171" s="81" t="s">
        <v>95</v>
      </c>
      <c r="C171" s="79"/>
      <c r="D171" s="79">
        <v>16.66</v>
      </c>
      <c r="E171" s="79"/>
      <c r="F171" s="79"/>
      <c r="G171" s="79">
        <v>16.66</v>
      </c>
      <c r="H171" s="79"/>
      <c r="I171" s="79"/>
      <c r="J171" s="79">
        <v>16.66</v>
      </c>
      <c r="K171" s="79"/>
      <c r="L171" s="79"/>
      <c r="M171" s="79">
        <v>16.66</v>
      </c>
      <c r="N171" s="79"/>
      <c r="O171" s="79">
        <v>26.53</v>
      </c>
      <c r="P171" s="79">
        <v>16.670000000000002</v>
      </c>
      <c r="Q171" s="79"/>
      <c r="R171" s="79">
        <v>19.59</v>
      </c>
      <c r="S171" s="79">
        <v>16.670000000000002</v>
      </c>
      <c r="T171" s="80">
        <f>+C171+F171+I171+L171+O171+R171</f>
        <v>46.120000000000005</v>
      </c>
      <c r="U171" s="80">
        <f>+D171+G171+J171+M171+P171+S171</f>
        <v>99.98</v>
      </c>
      <c r="V171" s="79"/>
      <c r="W171" s="76">
        <v>200</v>
      </c>
      <c r="X171" s="64"/>
      <c r="Y171" s="76">
        <f>+W171</f>
        <v>200</v>
      </c>
      <c r="Z171" s="76"/>
      <c r="AA171" s="62"/>
    </row>
    <row r="172" spans="1:28" x14ac:dyDescent="0.2">
      <c r="A172" s="82" t="s">
        <v>241</v>
      </c>
      <c r="B172" s="81" t="s">
        <v>93</v>
      </c>
      <c r="C172" s="79"/>
      <c r="D172" s="79">
        <v>208.34</v>
      </c>
      <c r="E172" s="79"/>
      <c r="F172" s="79"/>
      <c r="G172" s="79">
        <v>208.34</v>
      </c>
      <c r="H172" s="79"/>
      <c r="I172" s="79"/>
      <c r="J172" s="79">
        <v>208.34</v>
      </c>
      <c r="K172" s="79"/>
      <c r="L172" s="79">
        <v>167.95</v>
      </c>
      <c r="M172" s="79">
        <v>208.34</v>
      </c>
      <c r="N172" s="79"/>
      <c r="O172" s="79">
        <v>216.35</v>
      </c>
      <c r="P172" s="79">
        <v>208.34</v>
      </c>
      <c r="Q172" s="79"/>
      <c r="R172" s="79">
        <v>0</v>
      </c>
      <c r="S172" s="79">
        <v>208.34</v>
      </c>
      <c r="T172" s="80">
        <f>+C172+F172+I172+L172+O172+R172</f>
        <v>384.29999999999995</v>
      </c>
      <c r="U172" s="80">
        <f>+D172+G172+J172+M172+P172+S172</f>
        <v>1250.04</v>
      </c>
      <c r="V172" s="79"/>
      <c r="W172" s="76">
        <v>2500</v>
      </c>
      <c r="X172" s="64"/>
      <c r="Y172" s="76">
        <f>+W172</f>
        <v>2500</v>
      </c>
      <c r="Z172" s="76"/>
      <c r="AA172" s="62"/>
    </row>
    <row r="173" spans="1:28" x14ac:dyDescent="0.2">
      <c r="A173" s="82" t="s">
        <v>240</v>
      </c>
      <c r="B173" s="81" t="s">
        <v>172</v>
      </c>
      <c r="C173" s="79">
        <v>53.78</v>
      </c>
      <c r="D173" s="79">
        <v>41.66</v>
      </c>
      <c r="E173" s="79"/>
      <c r="F173" s="79">
        <v>26.89</v>
      </c>
      <c r="G173" s="79">
        <v>41.66</v>
      </c>
      <c r="H173" s="79"/>
      <c r="I173" s="79"/>
      <c r="J173" s="79">
        <v>41.66</v>
      </c>
      <c r="K173" s="79"/>
      <c r="L173" s="79"/>
      <c r="M173" s="79">
        <v>41.66</v>
      </c>
      <c r="N173" s="79"/>
      <c r="O173" s="79">
        <v>53.78</v>
      </c>
      <c r="P173" s="79">
        <v>41.67</v>
      </c>
      <c r="Q173" s="79"/>
      <c r="R173" s="79">
        <v>101.89</v>
      </c>
      <c r="S173" s="79">
        <v>41.67</v>
      </c>
      <c r="T173" s="80">
        <f>+C173+F173+I173+L173+O173+R173</f>
        <v>236.33999999999997</v>
      </c>
      <c r="U173" s="80">
        <f>+D173+G173+J173+M173+P173+S173</f>
        <v>249.98000000000002</v>
      </c>
      <c r="V173" s="79"/>
      <c r="W173" s="76">
        <v>500</v>
      </c>
      <c r="X173" s="64"/>
      <c r="Y173" s="76">
        <f>+W173</f>
        <v>500</v>
      </c>
      <c r="Z173" s="76"/>
      <c r="AA173" s="62"/>
    </row>
    <row r="174" spans="1:28" x14ac:dyDescent="0.2">
      <c r="A174" s="82" t="s">
        <v>239</v>
      </c>
      <c r="B174" s="81" t="s">
        <v>89</v>
      </c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>
        <v>0</v>
      </c>
      <c r="S174" s="79">
        <v>0</v>
      </c>
      <c r="T174" s="80">
        <f>+C174+F174+I174+L174+O174+R174</f>
        <v>0</v>
      </c>
      <c r="U174" s="80">
        <f>+D174+G174+J174+M174+P174+S174</f>
        <v>0</v>
      </c>
      <c r="V174" s="79"/>
      <c r="W174" s="76"/>
      <c r="X174" s="64"/>
      <c r="Y174" s="76">
        <f>+W174</f>
        <v>0</v>
      </c>
      <c r="Z174" s="76"/>
      <c r="AA174" s="62"/>
    </row>
    <row r="175" spans="1:28" x14ac:dyDescent="0.2">
      <c r="A175" s="82" t="s">
        <v>238</v>
      </c>
      <c r="B175" s="81" t="s">
        <v>87</v>
      </c>
      <c r="C175" s="79"/>
      <c r="D175" s="79">
        <v>83.34</v>
      </c>
      <c r="E175" s="79"/>
      <c r="F175" s="79"/>
      <c r="G175" s="79">
        <v>83.34</v>
      </c>
      <c r="H175" s="79"/>
      <c r="I175" s="79"/>
      <c r="J175" s="79">
        <v>83.34</v>
      </c>
      <c r="K175" s="79"/>
      <c r="L175" s="79"/>
      <c r="M175" s="79">
        <v>83.34</v>
      </c>
      <c r="N175" s="79"/>
      <c r="O175" s="79"/>
      <c r="P175" s="79">
        <v>83.33</v>
      </c>
      <c r="Q175" s="79"/>
      <c r="R175" s="79">
        <v>0</v>
      </c>
      <c r="S175" s="79">
        <v>83.33</v>
      </c>
      <c r="T175" s="80">
        <f>+C175+F175+I175+L175+O175+R175</f>
        <v>0</v>
      </c>
      <c r="U175" s="80">
        <f>+D175+G175+J175+M175+P175+S175</f>
        <v>500.02</v>
      </c>
      <c r="V175" s="79"/>
      <c r="W175" s="76">
        <v>1000</v>
      </c>
      <c r="X175" s="64"/>
      <c r="Y175" s="76">
        <f>+W175</f>
        <v>1000</v>
      </c>
      <c r="Z175" s="76"/>
      <c r="AA175" s="62"/>
    </row>
    <row r="176" spans="1:28" x14ac:dyDescent="0.2">
      <c r="A176" s="82" t="s">
        <v>237</v>
      </c>
      <c r="B176" s="81" t="s">
        <v>85</v>
      </c>
      <c r="C176" s="79">
        <v>588.28</v>
      </c>
      <c r="D176" s="79">
        <v>583.34</v>
      </c>
      <c r="E176" s="79"/>
      <c r="F176" s="79">
        <v>320.19</v>
      </c>
      <c r="G176" s="79">
        <v>583.34</v>
      </c>
      <c r="H176" s="79"/>
      <c r="I176" s="79">
        <v>109.37</v>
      </c>
      <c r="J176" s="79">
        <v>583.34</v>
      </c>
      <c r="K176" s="79"/>
      <c r="L176" s="79">
        <v>24.9</v>
      </c>
      <c r="M176" s="79">
        <v>583.34</v>
      </c>
      <c r="N176" s="79"/>
      <c r="O176" s="79">
        <v>250.65</v>
      </c>
      <c r="P176" s="79">
        <v>583.33000000000004</v>
      </c>
      <c r="Q176" s="79"/>
      <c r="R176" s="79">
        <v>174.89</v>
      </c>
      <c r="S176" s="79">
        <v>583.33000000000004</v>
      </c>
      <c r="T176" s="80">
        <f>+C176+F176+I176+L176+O176+R176</f>
        <v>1468.2800000000002</v>
      </c>
      <c r="U176" s="80">
        <f>+D176+G176+J176+M176+P176+S176</f>
        <v>3500.02</v>
      </c>
      <c r="V176" s="79"/>
      <c r="W176" s="76">
        <v>7000</v>
      </c>
      <c r="X176" s="64"/>
      <c r="Y176" s="76">
        <f>+W176</f>
        <v>7000</v>
      </c>
      <c r="Z176" s="76"/>
      <c r="AA176" s="62"/>
    </row>
    <row r="177" spans="1:28" x14ac:dyDescent="0.2">
      <c r="A177" s="82" t="s">
        <v>236</v>
      </c>
      <c r="B177" s="81" t="s">
        <v>81</v>
      </c>
      <c r="C177" s="79">
        <v>14.99</v>
      </c>
      <c r="D177" s="79">
        <v>125</v>
      </c>
      <c r="E177" s="79"/>
      <c r="F177" s="79"/>
      <c r="G177" s="79">
        <v>125</v>
      </c>
      <c r="H177" s="79"/>
      <c r="I177" s="79"/>
      <c r="J177" s="79">
        <v>125</v>
      </c>
      <c r="K177" s="79"/>
      <c r="L177" s="79">
        <v>29.95</v>
      </c>
      <c r="M177" s="79">
        <v>125</v>
      </c>
      <c r="N177" s="79"/>
      <c r="O177" s="79">
        <v>217.11</v>
      </c>
      <c r="P177" s="79">
        <v>125</v>
      </c>
      <c r="Q177" s="79"/>
      <c r="R177" s="79">
        <v>185.84</v>
      </c>
      <c r="S177" s="79">
        <v>125</v>
      </c>
      <c r="T177" s="80">
        <f>+C177+F177+I177+L177+O177+R177</f>
        <v>447.89</v>
      </c>
      <c r="U177" s="80">
        <f>+D177+G177+J177+M177+P177+S177</f>
        <v>750</v>
      </c>
      <c r="V177" s="79"/>
      <c r="W177" s="76">
        <v>1500</v>
      </c>
      <c r="X177" s="64"/>
      <c r="Y177" s="76">
        <f>+W177</f>
        <v>1500</v>
      </c>
      <c r="Z177" s="76"/>
      <c r="AA177" s="62"/>
    </row>
    <row r="178" spans="1:28" x14ac:dyDescent="0.2">
      <c r="A178" s="82" t="s">
        <v>235</v>
      </c>
      <c r="B178" s="81" t="s">
        <v>77</v>
      </c>
      <c r="C178" s="79">
        <v>350</v>
      </c>
      <c r="D178" s="79">
        <v>125</v>
      </c>
      <c r="E178" s="79"/>
      <c r="F178" s="79">
        <v>60</v>
      </c>
      <c r="G178" s="79">
        <v>125</v>
      </c>
      <c r="H178" s="79"/>
      <c r="I178" s="79">
        <v>233</v>
      </c>
      <c r="J178" s="79">
        <v>125</v>
      </c>
      <c r="K178" s="79"/>
      <c r="L178" s="79">
        <v>40</v>
      </c>
      <c r="M178" s="79">
        <v>125</v>
      </c>
      <c r="N178" s="79"/>
      <c r="O178" s="79"/>
      <c r="P178" s="79">
        <v>125</v>
      </c>
      <c r="Q178" s="79"/>
      <c r="R178" s="79">
        <v>20</v>
      </c>
      <c r="S178" s="79">
        <v>125</v>
      </c>
      <c r="T178" s="80">
        <f>+C178+F178+I178+L178+O178+R178</f>
        <v>703</v>
      </c>
      <c r="U178" s="80">
        <f>+D178+G178+J178+M178+P178+S178</f>
        <v>750</v>
      </c>
      <c r="V178" s="79"/>
      <c r="W178" s="76">
        <v>1500</v>
      </c>
      <c r="X178" s="64"/>
      <c r="Y178" s="76">
        <f>+W178</f>
        <v>1500</v>
      </c>
      <c r="Z178" s="76"/>
      <c r="AA178" s="62"/>
    </row>
    <row r="179" spans="1:28" x14ac:dyDescent="0.2">
      <c r="A179" s="82">
        <v>6052000</v>
      </c>
      <c r="B179" s="81" t="s">
        <v>76</v>
      </c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>
        <v>0</v>
      </c>
      <c r="S179" s="79">
        <v>0</v>
      </c>
      <c r="T179" s="80">
        <f>+C179+F179+I179+L179+O179+R179</f>
        <v>0</v>
      </c>
      <c r="U179" s="80">
        <f>+D179+G179+J179+M179+P179+S179</f>
        <v>0</v>
      </c>
      <c r="V179" s="79"/>
      <c r="W179" s="76"/>
      <c r="X179" s="64"/>
      <c r="Y179" s="76">
        <v>0</v>
      </c>
      <c r="Z179" s="76"/>
      <c r="AA179" s="62"/>
    </row>
    <row r="180" spans="1:28" x14ac:dyDescent="0.2">
      <c r="A180" s="82">
        <v>6052050</v>
      </c>
      <c r="B180" s="81" t="s">
        <v>75</v>
      </c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>
        <v>0</v>
      </c>
      <c r="S180" s="79">
        <v>0</v>
      </c>
      <c r="T180" s="80">
        <f>+C180+F180+I180+L180+O180+R180</f>
        <v>0</v>
      </c>
      <c r="U180" s="80">
        <f>+D180+G180+J180+M180+P180+S180</f>
        <v>0</v>
      </c>
      <c r="V180" s="79"/>
      <c r="W180" s="76"/>
      <c r="X180" s="64"/>
      <c r="Y180" s="76"/>
      <c r="Z180" s="76"/>
      <c r="AA180" s="62"/>
    </row>
    <row r="181" spans="1:28" x14ac:dyDescent="0.2">
      <c r="A181" s="82"/>
      <c r="B181" s="81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6"/>
      <c r="X181" s="64"/>
      <c r="Y181" s="76"/>
      <c r="Z181" s="76"/>
      <c r="AA181" s="62"/>
    </row>
    <row r="182" spans="1:28" x14ac:dyDescent="0.2">
      <c r="A182" s="89"/>
      <c r="B182" s="88" t="s">
        <v>234</v>
      </c>
      <c r="C182" s="86">
        <f>SUM(C157:C179)</f>
        <v>14103.79</v>
      </c>
      <c r="D182" s="86">
        <f>SUM(D157:D179)</f>
        <v>14612.34</v>
      </c>
      <c r="E182" s="70"/>
      <c r="F182" s="86">
        <f>SUM(F157:F179)</f>
        <v>16656.71</v>
      </c>
      <c r="G182" s="86">
        <f>SUM(G157:G179)</f>
        <v>21269.8</v>
      </c>
      <c r="H182" s="70"/>
      <c r="I182" s="86">
        <f>SUM(I157:I179)</f>
        <v>31310.05</v>
      </c>
      <c r="J182" s="86">
        <f>SUM(J157:J179)</f>
        <v>29927.31</v>
      </c>
      <c r="K182" s="70"/>
      <c r="L182" s="86">
        <f>SUM(L157:L179)</f>
        <v>34423.85</v>
      </c>
      <c r="M182" s="86">
        <f>SUM(M157:M179)</f>
        <v>29927.31</v>
      </c>
      <c r="N182" s="70"/>
      <c r="O182" s="86">
        <f>SUM(O157:O179)</f>
        <v>50758.68</v>
      </c>
      <c r="P182" s="86">
        <f>SUM(P157:P179)</f>
        <v>42155.159999999996</v>
      </c>
      <c r="Q182" s="70"/>
      <c r="R182" s="86">
        <f>SUM(R157:R180)</f>
        <v>27416.689999999995</v>
      </c>
      <c r="S182" s="86">
        <f>SUM(S157:S180)</f>
        <v>29927.3</v>
      </c>
      <c r="T182" s="86">
        <f>SUM(T157:T180)</f>
        <v>174669.76999999996</v>
      </c>
      <c r="U182" s="86">
        <f>SUM(U157:U180)</f>
        <v>167819.22</v>
      </c>
      <c r="V182" s="70"/>
      <c r="W182" s="86">
        <f>SUM(W157:W179)</f>
        <v>240563.3</v>
      </c>
      <c r="X182" s="87"/>
      <c r="Y182" s="86">
        <f>SUM(Y157:Y179)</f>
        <v>240563.3</v>
      </c>
      <c r="Z182" s="86">
        <f>SUM(Z157:Z179)</f>
        <v>0</v>
      </c>
      <c r="AA182" s="62"/>
    </row>
    <row r="183" spans="1:28" x14ac:dyDescent="0.2">
      <c r="A183" s="89"/>
      <c r="B183" s="88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90"/>
      <c r="X183" s="91"/>
      <c r="Y183" s="90"/>
      <c r="Z183" s="90"/>
      <c r="AA183" s="62"/>
    </row>
    <row r="184" spans="1:28" x14ac:dyDescent="0.2">
      <c r="A184" s="82" t="s">
        <v>233</v>
      </c>
      <c r="B184" s="81" t="s">
        <v>116</v>
      </c>
      <c r="C184" s="79">
        <v>7813.28</v>
      </c>
      <c r="D184" s="79">
        <v>8506.85</v>
      </c>
      <c r="E184" s="79"/>
      <c r="F184" s="79">
        <v>7409.51</v>
      </c>
      <c r="G184" s="79">
        <v>8506.85</v>
      </c>
      <c r="H184" s="79"/>
      <c r="I184" s="79">
        <v>8547.4500000000007</v>
      </c>
      <c r="J184" s="79">
        <v>8506.85</v>
      </c>
      <c r="K184" s="79"/>
      <c r="L184" s="79">
        <v>8730.84</v>
      </c>
      <c r="M184" s="79">
        <v>8506.85</v>
      </c>
      <c r="N184" s="79"/>
      <c r="O184" s="79">
        <v>11737.85</v>
      </c>
      <c r="P184" s="79">
        <v>12760.25</v>
      </c>
      <c r="Q184" s="79"/>
      <c r="R184" s="79">
        <v>8892.14</v>
      </c>
      <c r="S184" s="79">
        <v>8506.85</v>
      </c>
      <c r="T184" s="80">
        <f>+C184+F184+I184+L184+O184+R184</f>
        <v>53131.07</v>
      </c>
      <c r="U184" s="80">
        <f>+D184+G184+J184+M184+P184+S184</f>
        <v>55294.5</v>
      </c>
      <c r="V184" s="79"/>
      <c r="W184" s="76">
        <v>110589</v>
      </c>
      <c r="X184" s="64"/>
      <c r="Y184" s="76">
        <f>+W184</f>
        <v>110589</v>
      </c>
      <c r="Z184" s="76"/>
      <c r="AA184" s="62"/>
    </row>
    <row r="185" spans="1:28" x14ac:dyDescent="0.2">
      <c r="A185" s="82" t="s">
        <v>232</v>
      </c>
      <c r="B185" s="81" t="s">
        <v>114</v>
      </c>
      <c r="C185" s="79">
        <v>532.96</v>
      </c>
      <c r="D185" s="79">
        <v>680.54</v>
      </c>
      <c r="E185" s="79"/>
      <c r="F185" s="79">
        <v>545.96</v>
      </c>
      <c r="G185" s="79">
        <v>680.54</v>
      </c>
      <c r="H185" s="79"/>
      <c r="I185" s="79">
        <v>633.20000000000005</v>
      </c>
      <c r="J185" s="79">
        <v>680.54</v>
      </c>
      <c r="K185" s="79"/>
      <c r="L185" s="79">
        <v>641.09</v>
      </c>
      <c r="M185" s="79">
        <v>680.54</v>
      </c>
      <c r="N185" s="79"/>
      <c r="O185" s="79">
        <v>881.6</v>
      </c>
      <c r="P185" s="79">
        <v>1020.8</v>
      </c>
      <c r="Q185" s="79"/>
      <c r="R185" s="79">
        <v>646.69000000000005</v>
      </c>
      <c r="S185" s="79">
        <v>680.54</v>
      </c>
      <c r="T185" s="80">
        <f>+C185+F185+I185+L185+O185+R185</f>
        <v>3881.5</v>
      </c>
      <c r="U185" s="80">
        <f>+D185+G185+J185+M185+P185+S185</f>
        <v>4423.5</v>
      </c>
      <c r="V185" s="79"/>
      <c r="W185" s="76">
        <v>8847</v>
      </c>
      <c r="X185" s="64"/>
      <c r="Y185" s="76">
        <f>+W185</f>
        <v>8847</v>
      </c>
      <c r="Z185" s="76"/>
      <c r="AA185" s="62"/>
    </row>
    <row r="186" spans="1:28" x14ac:dyDescent="0.2">
      <c r="A186" s="82" t="s">
        <v>231</v>
      </c>
      <c r="B186" s="81" t="s">
        <v>112</v>
      </c>
      <c r="C186" s="79">
        <v>1192.1300000000001</v>
      </c>
      <c r="D186" s="79">
        <v>1324.25</v>
      </c>
      <c r="E186" s="79"/>
      <c r="F186" s="79">
        <v>1212.77</v>
      </c>
      <c r="G186" s="79">
        <v>1324.25</v>
      </c>
      <c r="H186" s="79"/>
      <c r="I186" s="79">
        <v>1227.1300000000001</v>
      </c>
      <c r="J186" s="79">
        <v>1324.25</v>
      </c>
      <c r="K186" s="79"/>
      <c r="L186" s="79">
        <v>1479.95</v>
      </c>
      <c r="M186" s="79">
        <v>1324.25</v>
      </c>
      <c r="N186" s="79"/>
      <c r="O186" s="79">
        <v>1479.95</v>
      </c>
      <c r="P186" s="79">
        <v>1324.25</v>
      </c>
      <c r="Q186" s="79"/>
      <c r="R186" s="79">
        <v>1479.95</v>
      </c>
      <c r="S186" s="79">
        <v>1324.25</v>
      </c>
      <c r="T186" s="80">
        <f>+C186+F186+I186+L186+O186+R186</f>
        <v>8071.88</v>
      </c>
      <c r="U186" s="80">
        <f>+D186+G186+J186+M186+P186+S186</f>
        <v>7945.5</v>
      </c>
      <c r="V186" s="79"/>
      <c r="W186" s="76">
        <v>15891</v>
      </c>
      <c r="X186" s="64"/>
      <c r="Y186" s="76">
        <f>+W186</f>
        <v>15891</v>
      </c>
      <c r="Z186" s="76"/>
      <c r="AA186" s="62"/>
    </row>
    <row r="187" spans="1:28" x14ac:dyDescent="0.2">
      <c r="A187" s="82" t="s">
        <v>230</v>
      </c>
      <c r="B187" s="81" t="s">
        <v>134</v>
      </c>
      <c r="C187" s="79">
        <v>147.36000000000001</v>
      </c>
      <c r="D187" s="79">
        <v>150</v>
      </c>
      <c r="E187" s="79"/>
      <c r="F187" s="79">
        <v>150</v>
      </c>
      <c r="G187" s="79">
        <v>150</v>
      </c>
      <c r="H187" s="79"/>
      <c r="I187" s="79">
        <v>150</v>
      </c>
      <c r="J187" s="79">
        <v>150</v>
      </c>
      <c r="K187" s="79"/>
      <c r="L187" s="79">
        <v>150</v>
      </c>
      <c r="M187" s="79">
        <v>150</v>
      </c>
      <c r="N187" s="79"/>
      <c r="O187" s="79">
        <v>225</v>
      </c>
      <c r="P187" s="79">
        <v>225</v>
      </c>
      <c r="Q187" s="79"/>
      <c r="R187" s="79">
        <v>150</v>
      </c>
      <c r="S187" s="79">
        <v>150</v>
      </c>
      <c r="T187" s="80">
        <f>+C187+F187+I187+L187+O187+R187</f>
        <v>972.36</v>
      </c>
      <c r="U187" s="80">
        <f>+D187+G187+J187+M187+P187+S187</f>
        <v>975</v>
      </c>
      <c r="V187" s="79"/>
      <c r="W187" s="76">
        <v>1950</v>
      </c>
      <c r="X187" s="64"/>
      <c r="Y187" s="76">
        <f>+W187</f>
        <v>1950</v>
      </c>
      <c r="Z187" s="76"/>
      <c r="AA187" s="62"/>
    </row>
    <row r="188" spans="1:28" x14ac:dyDescent="0.2">
      <c r="A188" s="82" t="s">
        <v>229</v>
      </c>
      <c r="B188" s="81" t="s">
        <v>132</v>
      </c>
      <c r="C188" s="79">
        <v>134.38999999999999</v>
      </c>
      <c r="D188" s="79">
        <v>16.66</v>
      </c>
      <c r="E188" s="79"/>
      <c r="F188" s="79"/>
      <c r="G188" s="79">
        <v>16.66</v>
      </c>
      <c r="H188" s="79"/>
      <c r="I188" s="79"/>
      <c r="J188" s="79">
        <v>16.66</v>
      </c>
      <c r="K188" s="79"/>
      <c r="L188" s="79"/>
      <c r="M188" s="79">
        <v>16.66</v>
      </c>
      <c r="N188" s="79"/>
      <c r="O188" s="79"/>
      <c r="P188" s="79">
        <v>16.670000000000002</v>
      </c>
      <c r="Q188" s="79"/>
      <c r="R188" s="79">
        <v>0</v>
      </c>
      <c r="S188" s="79">
        <v>16.670000000000002</v>
      </c>
      <c r="T188" s="80">
        <f>+C188+F188+I188+L188+O188+R188</f>
        <v>134.38999999999999</v>
      </c>
      <c r="U188" s="80">
        <f>+D188+G188+J188+M188+P188+S188</f>
        <v>99.98</v>
      </c>
      <c r="V188" s="79"/>
      <c r="W188" s="76">
        <v>200</v>
      </c>
      <c r="X188" s="64"/>
      <c r="Y188" s="76">
        <f>+W188</f>
        <v>200</v>
      </c>
      <c r="Z188" s="76"/>
      <c r="AA188" s="62"/>
    </row>
    <row r="189" spans="1:28" x14ac:dyDescent="0.2">
      <c r="A189" s="82" t="s">
        <v>228</v>
      </c>
      <c r="B189" s="81" t="s">
        <v>110</v>
      </c>
      <c r="C189" s="79">
        <v>311.11</v>
      </c>
      <c r="D189" s="79">
        <v>40.590000000000003</v>
      </c>
      <c r="E189" s="79"/>
      <c r="F189" s="79">
        <v>311.11</v>
      </c>
      <c r="G189" s="79">
        <v>40.590000000000003</v>
      </c>
      <c r="H189" s="79"/>
      <c r="I189" s="79">
        <v>311.11</v>
      </c>
      <c r="J189" s="79">
        <v>40.590000000000003</v>
      </c>
      <c r="K189" s="79"/>
      <c r="L189" s="79">
        <v>311.11</v>
      </c>
      <c r="M189" s="79">
        <v>40.590000000000003</v>
      </c>
      <c r="N189" s="79"/>
      <c r="O189" s="79">
        <v>311.11</v>
      </c>
      <c r="P189" s="79">
        <v>40.58</v>
      </c>
      <c r="Q189" s="79"/>
      <c r="R189" s="79">
        <v>39.700000000000003</v>
      </c>
      <c r="S189" s="79">
        <v>40.58</v>
      </c>
      <c r="T189" s="80">
        <f>+C189+F189+I189+L189+O189+R189</f>
        <v>1595.2500000000002</v>
      </c>
      <c r="U189" s="80">
        <f>+D189+G189+J189+M189+P189+S189</f>
        <v>243.51999999999998</v>
      </c>
      <c r="V189" s="79"/>
      <c r="W189" s="76">
        <v>487</v>
      </c>
      <c r="X189" s="64"/>
      <c r="Y189" s="76">
        <f>+W189</f>
        <v>487</v>
      </c>
      <c r="Z189" s="76"/>
      <c r="AA189" s="62"/>
      <c r="AB189" s="62"/>
    </row>
    <row r="190" spans="1:28" x14ac:dyDescent="0.2">
      <c r="A190" s="82" t="s">
        <v>227</v>
      </c>
      <c r="B190" s="81" t="s">
        <v>226</v>
      </c>
      <c r="C190" s="79">
        <v>136.19999999999999</v>
      </c>
      <c r="D190" s="79">
        <v>83.34</v>
      </c>
      <c r="E190" s="79"/>
      <c r="F190" s="79">
        <v>136.19999999999999</v>
      </c>
      <c r="G190" s="79">
        <v>83.34</v>
      </c>
      <c r="H190" s="79"/>
      <c r="I190" s="79">
        <v>189.77</v>
      </c>
      <c r="J190" s="79">
        <v>83.34</v>
      </c>
      <c r="K190" s="79"/>
      <c r="L190" s="79">
        <v>176.68</v>
      </c>
      <c r="M190" s="79">
        <v>83.34</v>
      </c>
      <c r="N190" s="79"/>
      <c r="O190" s="79"/>
      <c r="P190" s="79">
        <v>83.33</v>
      </c>
      <c r="Q190" s="79"/>
      <c r="R190" s="79">
        <v>353.48</v>
      </c>
      <c r="S190" s="79">
        <v>83.33</v>
      </c>
      <c r="T190" s="80">
        <f>+C190+F190+I190+L190+O190+R190</f>
        <v>992.32999999999993</v>
      </c>
      <c r="U190" s="80">
        <f>+D190+G190+J190+M190+P190+S190</f>
        <v>500.02</v>
      </c>
      <c r="V190" s="79"/>
      <c r="W190" s="76">
        <v>1000</v>
      </c>
      <c r="X190" s="64"/>
      <c r="Y190" s="76">
        <f>+W190</f>
        <v>1000</v>
      </c>
      <c r="Z190" s="76"/>
      <c r="AA190" s="62"/>
    </row>
    <row r="191" spans="1:28" x14ac:dyDescent="0.2">
      <c r="A191" s="82" t="s">
        <v>225</v>
      </c>
      <c r="B191" s="81" t="s">
        <v>95</v>
      </c>
      <c r="C191" s="79">
        <v>325.82</v>
      </c>
      <c r="D191" s="79">
        <v>208.34</v>
      </c>
      <c r="E191" s="79"/>
      <c r="F191" s="79">
        <v>192.31</v>
      </c>
      <c r="G191" s="79">
        <v>208.34</v>
      </c>
      <c r="H191" s="79"/>
      <c r="I191" s="79">
        <v>223.95</v>
      </c>
      <c r="J191" s="79">
        <v>208.34</v>
      </c>
      <c r="K191" s="79"/>
      <c r="L191" s="79">
        <v>227.66</v>
      </c>
      <c r="M191" s="79">
        <v>208.34</v>
      </c>
      <c r="N191" s="79"/>
      <c r="O191" s="79">
        <v>255.71</v>
      </c>
      <c r="P191" s="79">
        <v>208.33</v>
      </c>
      <c r="Q191" s="79"/>
      <c r="R191" s="79">
        <v>194.33</v>
      </c>
      <c r="S191" s="79">
        <v>208.33</v>
      </c>
      <c r="T191" s="80">
        <f>+C191+F191+I191+L191+O191+R191</f>
        <v>1419.7799999999997</v>
      </c>
      <c r="U191" s="80">
        <f>+D191+G191+J191+M191+P191+S191</f>
        <v>1250.02</v>
      </c>
      <c r="V191" s="79"/>
      <c r="W191" s="76">
        <v>2500</v>
      </c>
      <c r="X191" s="64"/>
      <c r="Y191" s="76">
        <f>+W191</f>
        <v>2500</v>
      </c>
      <c r="Z191" s="76"/>
      <c r="AA191" s="62"/>
    </row>
    <row r="192" spans="1:28" x14ac:dyDescent="0.2">
      <c r="A192" s="82">
        <v>6060610</v>
      </c>
      <c r="B192" s="81" t="s">
        <v>93</v>
      </c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>
        <v>0</v>
      </c>
      <c r="S192" s="79">
        <v>0</v>
      </c>
      <c r="T192" s="80">
        <f>+C192+F192+I192+L192+O192+R192</f>
        <v>0</v>
      </c>
      <c r="U192" s="80">
        <f>+D192+G192+J192+M192+P192+S192</f>
        <v>0</v>
      </c>
      <c r="V192" s="79"/>
      <c r="W192" s="76"/>
      <c r="X192" s="64"/>
      <c r="Y192" s="76"/>
      <c r="Z192" s="76"/>
      <c r="AA192" s="62"/>
    </row>
    <row r="193" spans="1:28" x14ac:dyDescent="0.2">
      <c r="A193" s="82" t="s">
        <v>224</v>
      </c>
      <c r="B193" s="81" t="s">
        <v>89</v>
      </c>
      <c r="C193" s="79"/>
      <c r="D193" s="79">
        <v>41.66</v>
      </c>
      <c r="E193" s="79"/>
      <c r="F193" s="79">
        <v>205</v>
      </c>
      <c r="G193" s="79">
        <v>41.66</v>
      </c>
      <c r="H193" s="79"/>
      <c r="I193" s="79"/>
      <c r="J193" s="79">
        <v>41.66</v>
      </c>
      <c r="K193" s="79"/>
      <c r="L193" s="79"/>
      <c r="M193" s="79">
        <v>41.66</v>
      </c>
      <c r="N193" s="79"/>
      <c r="O193" s="79"/>
      <c r="P193" s="79">
        <v>41.67</v>
      </c>
      <c r="Q193" s="79"/>
      <c r="R193" s="79">
        <v>0</v>
      </c>
      <c r="S193" s="79">
        <v>41.67</v>
      </c>
      <c r="T193" s="80">
        <f>+C193+F193+I193+L193+O193+R193</f>
        <v>205</v>
      </c>
      <c r="U193" s="80">
        <f>+D193+G193+J193+M193+P193+S193</f>
        <v>249.98000000000002</v>
      </c>
      <c r="V193" s="79"/>
      <c r="W193" s="76">
        <v>500</v>
      </c>
      <c r="X193" s="64"/>
      <c r="Y193" s="76">
        <f>+W193</f>
        <v>500</v>
      </c>
      <c r="Z193" s="76"/>
      <c r="AA193" s="62"/>
    </row>
    <row r="194" spans="1:28" x14ac:dyDescent="0.2">
      <c r="A194" s="82" t="s">
        <v>223</v>
      </c>
      <c r="B194" s="81" t="s">
        <v>87</v>
      </c>
      <c r="C194" s="79"/>
      <c r="D194" s="79">
        <v>83.34</v>
      </c>
      <c r="E194" s="79"/>
      <c r="F194" s="79"/>
      <c r="G194" s="79">
        <v>83.34</v>
      </c>
      <c r="H194" s="79"/>
      <c r="I194" s="79"/>
      <c r="J194" s="79">
        <v>83.34</v>
      </c>
      <c r="K194" s="79"/>
      <c r="L194" s="79"/>
      <c r="M194" s="79">
        <v>83.34</v>
      </c>
      <c r="N194" s="79"/>
      <c r="O194" s="79"/>
      <c r="P194" s="79">
        <v>83.33</v>
      </c>
      <c r="Q194" s="79"/>
      <c r="R194" s="79">
        <v>0</v>
      </c>
      <c r="S194" s="79">
        <v>83.33</v>
      </c>
      <c r="T194" s="80">
        <f>+C194+F194+I194+L194+O194+R194</f>
        <v>0</v>
      </c>
      <c r="U194" s="80">
        <f>+D194+G194+J194+M194+P194+S194</f>
        <v>500.02</v>
      </c>
      <c r="V194" s="79"/>
      <c r="W194" s="76">
        <v>1000</v>
      </c>
      <c r="X194" s="64"/>
      <c r="Y194" s="76">
        <f>+W194</f>
        <v>1000</v>
      </c>
      <c r="Z194" s="76"/>
      <c r="AA194" s="62"/>
    </row>
    <row r="195" spans="1:28" x14ac:dyDescent="0.2">
      <c r="A195" s="82" t="s">
        <v>222</v>
      </c>
      <c r="B195" s="81" t="s">
        <v>85</v>
      </c>
      <c r="C195" s="79">
        <v>33.97</v>
      </c>
      <c r="D195" s="79">
        <v>208.34</v>
      </c>
      <c r="E195" s="79"/>
      <c r="F195" s="79">
        <v>120.8</v>
      </c>
      <c r="G195" s="79">
        <v>208.34</v>
      </c>
      <c r="H195" s="79"/>
      <c r="I195" s="79">
        <v>25.87</v>
      </c>
      <c r="J195" s="79">
        <v>208.34</v>
      </c>
      <c r="K195" s="79"/>
      <c r="L195" s="79"/>
      <c r="M195" s="79">
        <v>208.34</v>
      </c>
      <c r="N195" s="79"/>
      <c r="O195" s="79">
        <v>734.26</v>
      </c>
      <c r="P195" s="79">
        <v>208.33</v>
      </c>
      <c r="Q195" s="79"/>
      <c r="R195" s="79">
        <v>428.65</v>
      </c>
      <c r="S195" s="79">
        <v>208.33</v>
      </c>
      <c r="T195" s="80">
        <f>+C195+F195+I195+L195+O195+R195</f>
        <v>1343.55</v>
      </c>
      <c r="U195" s="80">
        <f>+D195+G195+J195+M195+P195+S195</f>
        <v>1250.02</v>
      </c>
      <c r="V195" s="79"/>
      <c r="W195" s="76">
        <v>2500</v>
      </c>
      <c r="X195" s="64"/>
      <c r="Y195" s="76">
        <f>+W195</f>
        <v>2500</v>
      </c>
      <c r="Z195" s="76"/>
      <c r="AA195" s="62"/>
    </row>
    <row r="196" spans="1:28" x14ac:dyDescent="0.2">
      <c r="A196" s="82" t="s">
        <v>221</v>
      </c>
      <c r="B196" s="81" t="s">
        <v>81</v>
      </c>
      <c r="C196" s="79"/>
      <c r="D196" s="79">
        <v>20.84</v>
      </c>
      <c r="E196" s="79"/>
      <c r="F196" s="79"/>
      <c r="G196" s="79">
        <v>20.84</v>
      </c>
      <c r="H196" s="79"/>
      <c r="I196" s="79"/>
      <c r="J196" s="79">
        <v>20.84</v>
      </c>
      <c r="K196" s="79"/>
      <c r="L196" s="79"/>
      <c r="M196" s="79">
        <v>20.84</v>
      </c>
      <c r="N196" s="79"/>
      <c r="O196" s="79"/>
      <c r="P196" s="79">
        <v>20.83</v>
      </c>
      <c r="Q196" s="79"/>
      <c r="R196" s="79">
        <v>0</v>
      </c>
      <c r="S196" s="79">
        <v>20.83</v>
      </c>
      <c r="T196" s="80">
        <f>+C196+F196+I196+L196+O196+R196</f>
        <v>0</v>
      </c>
      <c r="U196" s="80">
        <f>+D196+G196+J196+M196+P196+S196</f>
        <v>125.02</v>
      </c>
      <c r="V196" s="79"/>
      <c r="W196" s="76">
        <v>250</v>
      </c>
      <c r="X196" s="64"/>
      <c r="Y196" s="76">
        <f>+W196</f>
        <v>250</v>
      </c>
      <c r="Z196" s="76"/>
      <c r="AA196" s="62"/>
    </row>
    <row r="197" spans="1:28" x14ac:dyDescent="0.2">
      <c r="A197" s="82"/>
      <c r="B197" s="81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6"/>
      <c r="X197" s="64"/>
      <c r="Y197" s="76"/>
      <c r="Z197" s="76"/>
      <c r="AA197" s="62"/>
    </row>
    <row r="198" spans="1:28" x14ac:dyDescent="0.2">
      <c r="A198" s="89"/>
      <c r="B198" s="88" t="s">
        <v>220</v>
      </c>
      <c r="C198" s="86">
        <f>SUM(C184:C196)</f>
        <v>10627.22</v>
      </c>
      <c r="D198" s="86">
        <f>SUM(D184:D196)</f>
        <v>11364.75</v>
      </c>
      <c r="E198" s="70"/>
      <c r="F198" s="86">
        <f>SUM(F184:F196)</f>
        <v>10283.66</v>
      </c>
      <c r="G198" s="86">
        <f>SUM(G184:G196)</f>
        <v>11364.75</v>
      </c>
      <c r="H198" s="70"/>
      <c r="I198" s="86">
        <f>SUM(I184:I196)</f>
        <v>11308.480000000005</v>
      </c>
      <c r="J198" s="86">
        <f>SUM(J184:J196)</f>
        <v>11364.75</v>
      </c>
      <c r="K198" s="70"/>
      <c r="L198" s="86">
        <f>SUM(L184:L196)</f>
        <v>11717.330000000002</v>
      </c>
      <c r="M198" s="86">
        <f>SUM(M184:M196)</f>
        <v>11364.75</v>
      </c>
      <c r="N198" s="70"/>
      <c r="O198" s="86">
        <f>SUM(O184:O196)</f>
        <v>15625.480000000001</v>
      </c>
      <c r="P198" s="86">
        <f>SUM(P184:P196)</f>
        <v>16033.369999999999</v>
      </c>
      <c r="Q198" s="70"/>
      <c r="R198" s="86">
        <f>SUM(R184:R196)</f>
        <v>12184.94</v>
      </c>
      <c r="S198" s="86">
        <f>SUM(S184:S196)</f>
        <v>11364.71</v>
      </c>
      <c r="T198" s="86">
        <f>SUM(T184:T196)</f>
        <v>71747.11</v>
      </c>
      <c r="U198" s="86">
        <f>SUM(U184:U196)</f>
        <v>72857.080000000016</v>
      </c>
      <c r="V198" s="70"/>
      <c r="W198" s="86">
        <f>SUM(W184:W196)</f>
        <v>145714</v>
      </c>
      <c r="X198" s="87"/>
      <c r="Y198" s="86">
        <f>SUM(Y184:Y196)</f>
        <v>145714</v>
      </c>
      <c r="Z198" s="86">
        <f>SUM(Z184:Z196)</f>
        <v>0</v>
      </c>
      <c r="AA198" s="62"/>
    </row>
    <row r="199" spans="1:28" x14ac:dyDescent="0.2">
      <c r="A199" s="89"/>
      <c r="B199" s="88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90"/>
      <c r="X199" s="91"/>
      <c r="Y199" s="90"/>
      <c r="Z199" s="90"/>
      <c r="AA199" s="62"/>
    </row>
    <row r="200" spans="1:28" x14ac:dyDescent="0.2">
      <c r="A200" s="82" t="s">
        <v>219</v>
      </c>
      <c r="B200" s="81" t="s">
        <v>116</v>
      </c>
      <c r="C200" s="79">
        <v>2241.5100000000002</v>
      </c>
      <c r="D200" s="79">
        <v>4835.3100000000004</v>
      </c>
      <c r="E200" s="79"/>
      <c r="F200" s="79">
        <v>2433.4499999999998</v>
      </c>
      <c r="G200" s="79">
        <v>4835.3100000000004</v>
      </c>
      <c r="H200" s="79"/>
      <c r="I200" s="79">
        <v>3440.88</v>
      </c>
      <c r="J200" s="79">
        <v>4835.3100000000004</v>
      </c>
      <c r="K200" s="79"/>
      <c r="L200" s="79">
        <v>3254.31</v>
      </c>
      <c r="M200" s="79">
        <v>4835.3100000000004</v>
      </c>
      <c r="N200" s="79"/>
      <c r="O200" s="79">
        <v>4935.33</v>
      </c>
      <c r="P200" s="79">
        <v>7252.95</v>
      </c>
      <c r="Q200" s="79"/>
      <c r="R200" s="79">
        <v>2968.11</v>
      </c>
      <c r="S200" s="79">
        <v>4835.3100000000004</v>
      </c>
      <c r="T200" s="80">
        <f>+C200+F200+I200+L200+O200+R200</f>
        <v>19273.59</v>
      </c>
      <c r="U200" s="80">
        <f>+D200+G200+J200+M200+P200+S200</f>
        <v>31429.500000000004</v>
      </c>
      <c r="V200" s="79"/>
      <c r="W200" s="76">
        <v>62859</v>
      </c>
      <c r="X200" s="64"/>
      <c r="Y200" s="76">
        <f>+W200</f>
        <v>62859</v>
      </c>
      <c r="Z200" s="76"/>
      <c r="AA200" s="62"/>
    </row>
    <row r="201" spans="1:28" x14ac:dyDescent="0.2">
      <c r="A201" s="82" t="s">
        <v>218</v>
      </c>
      <c r="B201" s="81" t="s">
        <v>114</v>
      </c>
      <c r="C201" s="79">
        <v>198.36</v>
      </c>
      <c r="D201" s="79">
        <v>386.85</v>
      </c>
      <c r="E201" s="79"/>
      <c r="F201" s="79">
        <v>199.38</v>
      </c>
      <c r="G201" s="79">
        <v>386.85</v>
      </c>
      <c r="H201" s="79"/>
      <c r="I201" s="79">
        <v>263.22000000000003</v>
      </c>
      <c r="J201" s="79">
        <v>386.85</v>
      </c>
      <c r="K201" s="79"/>
      <c r="L201" s="79">
        <v>248.96</v>
      </c>
      <c r="M201" s="79">
        <v>386.85</v>
      </c>
      <c r="N201" s="79"/>
      <c r="O201" s="79">
        <v>385.2</v>
      </c>
      <c r="P201" s="79">
        <v>580.25</v>
      </c>
      <c r="Q201" s="79"/>
      <c r="R201" s="79">
        <v>227.06</v>
      </c>
      <c r="S201" s="79">
        <v>386.85</v>
      </c>
      <c r="T201" s="80">
        <f>+C201+F201+I201+L201+O201+R201</f>
        <v>1522.18</v>
      </c>
      <c r="U201" s="80">
        <f>+D201+G201+J201+M201+P201+S201</f>
        <v>2514.5</v>
      </c>
      <c r="V201" s="79"/>
      <c r="W201" s="76">
        <v>5029</v>
      </c>
      <c r="X201" s="64"/>
      <c r="Y201" s="76">
        <f>+W201</f>
        <v>5029</v>
      </c>
      <c r="Z201" s="76"/>
      <c r="AA201" s="62"/>
    </row>
    <row r="202" spans="1:28" x14ac:dyDescent="0.2">
      <c r="A202" s="82" t="s">
        <v>217</v>
      </c>
      <c r="B202" s="81" t="s">
        <v>132</v>
      </c>
      <c r="C202" s="79"/>
      <c r="D202" s="79"/>
      <c r="E202" s="79"/>
      <c r="F202" s="79">
        <v>97.9</v>
      </c>
      <c r="G202" s="79"/>
      <c r="H202" s="79"/>
      <c r="I202" s="79">
        <v>-14.65</v>
      </c>
      <c r="J202" s="79"/>
      <c r="K202" s="79"/>
      <c r="L202" s="79">
        <v>63.88</v>
      </c>
      <c r="M202" s="79"/>
      <c r="N202" s="79"/>
      <c r="O202" s="79">
        <v>177</v>
      </c>
      <c r="P202" s="79"/>
      <c r="Q202" s="79"/>
      <c r="R202" s="79">
        <v>0</v>
      </c>
      <c r="S202" s="79">
        <v>0</v>
      </c>
      <c r="T202" s="80">
        <f>+C202+F202+I202+L202+O202+R202</f>
        <v>324.13</v>
      </c>
      <c r="U202" s="80">
        <f>+D202+G202+J202+M202+P202+S202</f>
        <v>0</v>
      </c>
      <c r="V202" s="79"/>
      <c r="W202" s="76"/>
      <c r="X202" s="64"/>
      <c r="Y202" s="76">
        <f>+W202</f>
        <v>0</v>
      </c>
      <c r="Z202" s="76"/>
      <c r="AA202" s="62"/>
    </row>
    <row r="203" spans="1:28" x14ac:dyDescent="0.2">
      <c r="A203" s="82" t="s">
        <v>216</v>
      </c>
      <c r="B203" s="81" t="s">
        <v>110</v>
      </c>
      <c r="C203" s="79">
        <v>117.05</v>
      </c>
      <c r="D203" s="79">
        <v>6.84</v>
      </c>
      <c r="E203" s="79"/>
      <c r="F203" s="79">
        <v>117.05</v>
      </c>
      <c r="G203" s="79">
        <v>6.84</v>
      </c>
      <c r="H203" s="79"/>
      <c r="I203" s="79">
        <v>117.05</v>
      </c>
      <c r="J203" s="79">
        <v>6.84</v>
      </c>
      <c r="K203" s="79"/>
      <c r="L203" s="79">
        <v>117.05</v>
      </c>
      <c r="M203" s="79">
        <v>6.84</v>
      </c>
      <c r="N203" s="79"/>
      <c r="O203" s="79">
        <v>117.05</v>
      </c>
      <c r="P203" s="79">
        <v>6.83</v>
      </c>
      <c r="Q203" s="79"/>
      <c r="R203" s="79">
        <v>6.68</v>
      </c>
      <c r="S203" s="79">
        <v>6.83</v>
      </c>
      <c r="T203" s="80">
        <f>+C203+F203+I203+L203+O203+R203</f>
        <v>591.92999999999995</v>
      </c>
      <c r="U203" s="80">
        <f>+D203+G203+J203+M203+P203+S203</f>
        <v>41.019999999999996</v>
      </c>
      <c r="V203" s="79"/>
      <c r="W203" s="76">
        <v>82</v>
      </c>
      <c r="X203" s="64"/>
      <c r="Y203" s="76">
        <f>+W203</f>
        <v>82</v>
      </c>
      <c r="Z203" s="76"/>
      <c r="AA203" s="62"/>
      <c r="AB203" s="62"/>
    </row>
    <row r="204" spans="1:28" x14ac:dyDescent="0.2">
      <c r="A204" s="82">
        <v>6071100</v>
      </c>
      <c r="B204" s="81" t="s">
        <v>172</v>
      </c>
      <c r="C204" s="79"/>
      <c r="D204" s="79">
        <v>20.85</v>
      </c>
      <c r="E204" s="79"/>
      <c r="F204" s="79"/>
      <c r="G204" s="79">
        <v>20.85</v>
      </c>
      <c r="H204" s="79"/>
      <c r="I204" s="79"/>
      <c r="J204" s="79">
        <v>20.83</v>
      </c>
      <c r="K204" s="79"/>
      <c r="L204" s="79"/>
      <c r="M204" s="79">
        <v>20.83</v>
      </c>
      <c r="N204" s="79"/>
      <c r="O204" s="79"/>
      <c r="P204" s="79">
        <v>20.83</v>
      </c>
      <c r="Q204" s="79"/>
      <c r="R204" s="79">
        <v>0</v>
      </c>
      <c r="S204" s="79">
        <v>20.83</v>
      </c>
      <c r="T204" s="80">
        <f>+C204+F204+I204+L204+O204+R204</f>
        <v>0</v>
      </c>
      <c r="U204" s="80">
        <f>+D204+G204+J204+M204+P204+S204</f>
        <v>125.02</v>
      </c>
      <c r="V204" s="79"/>
      <c r="W204" s="76">
        <v>250</v>
      </c>
      <c r="X204" s="64"/>
      <c r="Y204" s="76">
        <f>+W204</f>
        <v>250</v>
      </c>
      <c r="Z204" s="76"/>
      <c r="AA204" s="62"/>
    </row>
    <row r="205" spans="1:28" x14ac:dyDescent="0.2">
      <c r="A205" s="82" t="s">
        <v>215</v>
      </c>
      <c r="B205" s="81" t="s">
        <v>85</v>
      </c>
      <c r="C205" s="79">
        <v>314.68</v>
      </c>
      <c r="D205" s="79">
        <v>100</v>
      </c>
      <c r="E205" s="79"/>
      <c r="F205" s="79"/>
      <c r="G205" s="79">
        <v>100</v>
      </c>
      <c r="H205" s="79"/>
      <c r="I205" s="79">
        <v>342.89</v>
      </c>
      <c r="J205" s="79">
        <v>100</v>
      </c>
      <c r="K205" s="79"/>
      <c r="L205" s="79">
        <v>88.95</v>
      </c>
      <c r="M205" s="79">
        <v>100</v>
      </c>
      <c r="N205" s="79"/>
      <c r="O205" s="79">
        <v>88.95</v>
      </c>
      <c r="P205" s="79">
        <v>100</v>
      </c>
      <c r="Q205" s="79"/>
      <c r="R205" s="79">
        <v>0</v>
      </c>
      <c r="S205" s="79">
        <v>100</v>
      </c>
      <c r="T205" s="80">
        <f>+C205+F205+I205+L205+O205+R205</f>
        <v>835.47</v>
      </c>
      <c r="U205" s="80">
        <f>+D205+G205+J205+M205+P205+S205</f>
        <v>600</v>
      </c>
      <c r="V205" s="79"/>
      <c r="W205" s="76">
        <v>1200</v>
      </c>
      <c r="X205" s="64"/>
      <c r="Y205" s="76">
        <f>+W205</f>
        <v>1200</v>
      </c>
      <c r="Z205" s="76"/>
      <c r="AA205" s="62"/>
    </row>
    <row r="206" spans="1:28" x14ac:dyDescent="0.2">
      <c r="A206" s="82" t="s">
        <v>214</v>
      </c>
      <c r="B206" s="81" t="s">
        <v>81</v>
      </c>
      <c r="C206" s="79"/>
      <c r="D206" s="79">
        <v>41.66</v>
      </c>
      <c r="E206" s="79"/>
      <c r="F206" s="79"/>
      <c r="G206" s="79">
        <v>41.66</v>
      </c>
      <c r="H206" s="79"/>
      <c r="I206" s="79"/>
      <c r="J206" s="79">
        <v>41.66</v>
      </c>
      <c r="K206" s="79"/>
      <c r="L206" s="79"/>
      <c r="M206" s="79">
        <v>41.66</v>
      </c>
      <c r="N206" s="79"/>
      <c r="O206" s="79"/>
      <c r="P206" s="79">
        <v>41.67</v>
      </c>
      <c r="Q206" s="79"/>
      <c r="R206" s="79">
        <v>0</v>
      </c>
      <c r="S206" s="79">
        <v>41.67</v>
      </c>
      <c r="T206" s="80">
        <f>+C206+F206+I206+L206+O206+R206</f>
        <v>0</v>
      </c>
      <c r="U206" s="80">
        <f>+D206+G206+J206+M206+P206+S206</f>
        <v>249.98000000000002</v>
      </c>
      <c r="V206" s="79"/>
      <c r="W206" s="76">
        <v>500</v>
      </c>
      <c r="X206" s="64"/>
      <c r="Y206" s="76">
        <f>+W206</f>
        <v>500</v>
      </c>
      <c r="Z206" s="76"/>
      <c r="AA206" s="62"/>
    </row>
    <row r="207" spans="1:28" x14ac:dyDescent="0.2">
      <c r="A207" s="82"/>
      <c r="B207" s="81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6"/>
      <c r="X207" s="64"/>
      <c r="Y207" s="76"/>
      <c r="Z207" s="76"/>
      <c r="AA207" s="62"/>
    </row>
    <row r="208" spans="1:28" s="92" customFormat="1" x14ac:dyDescent="0.2">
      <c r="A208" s="89"/>
      <c r="B208" s="88" t="s">
        <v>24</v>
      </c>
      <c r="C208" s="86">
        <f>SUM(C200:C206)</f>
        <v>2871.6000000000004</v>
      </c>
      <c r="D208" s="86">
        <f>SUM(D200:D206)</f>
        <v>5391.5100000000011</v>
      </c>
      <c r="E208" s="70"/>
      <c r="F208" s="86">
        <f>SUM(F200:F206)</f>
        <v>2847.78</v>
      </c>
      <c r="G208" s="86">
        <f>SUM(G200:G206)</f>
        <v>5391.5100000000011</v>
      </c>
      <c r="H208" s="70"/>
      <c r="I208" s="86">
        <f>SUM(I200:I206)</f>
        <v>4149.3900000000003</v>
      </c>
      <c r="J208" s="86">
        <f>SUM(J200:J206)</f>
        <v>5391.4900000000007</v>
      </c>
      <c r="K208" s="70"/>
      <c r="L208" s="86">
        <f>SUM(L200:L206)</f>
        <v>3773.15</v>
      </c>
      <c r="M208" s="86">
        <f>SUM(M200:M206)</f>
        <v>5391.4900000000007</v>
      </c>
      <c r="N208" s="70"/>
      <c r="O208" s="86">
        <f>SUM(O200:O206)</f>
        <v>5703.53</v>
      </c>
      <c r="P208" s="86">
        <f>SUM(P200:P206)</f>
        <v>8002.53</v>
      </c>
      <c r="Q208" s="70"/>
      <c r="R208" s="86">
        <f>SUM(R200:R206)</f>
        <v>3201.85</v>
      </c>
      <c r="S208" s="86">
        <f>SUM(S200:S206)</f>
        <v>5391.4900000000007</v>
      </c>
      <c r="T208" s="86">
        <f>SUM(T200:T206)</f>
        <v>22547.300000000003</v>
      </c>
      <c r="U208" s="86">
        <f>SUM(U200:U206)</f>
        <v>34960.019999999997</v>
      </c>
      <c r="V208" s="70"/>
      <c r="W208" s="86">
        <f>SUM(W200:W206)</f>
        <v>69920</v>
      </c>
      <c r="X208" s="87"/>
      <c r="Y208" s="86">
        <f>SUM(Y200:Y206)</f>
        <v>69920</v>
      </c>
      <c r="Z208" s="86">
        <f>SUM(Z200:Z206)</f>
        <v>0</v>
      </c>
      <c r="AA208" s="93"/>
    </row>
    <row r="209" spans="1:28" s="92" customFormat="1" x14ac:dyDescent="0.2">
      <c r="A209" s="89"/>
      <c r="B209" s="88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90"/>
      <c r="X209" s="91"/>
      <c r="Y209" s="90"/>
      <c r="Z209" s="90"/>
      <c r="AA209" s="93"/>
    </row>
    <row r="210" spans="1:28" x14ac:dyDescent="0.2">
      <c r="A210" s="75" t="s">
        <v>74</v>
      </c>
      <c r="B210" s="74" t="s">
        <v>213</v>
      </c>
      <c r="C210" s="73">
        <f>C208+C198+C182+C155+C130</f>
        <v>153881.06</v>
      </c>
      <c r="D210" s="73">
        <f>D208+D198+D182+D155+D130</f>
        <v>126132.15000000001</v>
      </c>
      <c r="E210" s="70"/>
      <c r="F210" s="73">
        <f>F208+F198+F182+F155+F130</f>
        <v>175345.92999999996</v>
      </c>
      <c r="G210" s="73">
        <f>G208+G198+G182+G155+G130</f>
        <v>167628.04999999999</v>
      </c>
      <c r="H210" s="70"/>
      <c r="I210" s="73">
        <f>I208+I198+I182+I155+I130</f>
        <v>238982.19999999998</v>
      </c>
      <c r="J210" s="73">
        <f>J208+J198+J182+J155+J130</f>
        <v>142852.67000000001</v>
      </c>
      <c r="K210" s="70"/>
      <c r="L210" s="73">
        <f>L208+L198+L182+L155+L130</f>
        <v>205484.2</v>
      </c>
      <c r="M210" s="73">
        <f>M208+M198+M182+M155+M130</f>
        <v>143646.67000000001</v>
      </c>
      <c r="N210" s="70"/>
      <c r="O210" s="73">
        <f>O208+O198+O182+O155+O130</f>
        <v>267801.33999999997</v>
      </c>
      <c r="P210" s="73">
        <f>P208+P198+P182+P155+P130</f>
        <v>212822.13999999998</v>
      </c>
      <c r="Q210" s="70"/>
      <c r="R210" s="73">
        <f>R208+R198+R182+R155+R130</f>
        <v>169968.76</v>
      </c>
      <c r="S210" s="73">
        <f>S208+S198+S182+S155+S130</f>
        <v>142952.07999999999</v>
      </c>
      <c r="T210" s="73">
        <f>T208+T198+T182+T155+T130</f>
        <v>1211463.49</v>
      </c>
      <c r="U210" s="73">
        <f>U208+U198+U182+U155+U130</f>
        <v>936033.76000000013</v>
      </c>
      <c r="V210" s="70"/>
      <c r="W210" s="73">
        <f>W208+W198+W182+W155+W130</f>
        <v>1714098.3</v>
      </c>
      <c r="X210" s="64"/>
      <c r="Y210" s="73">
        <f>Y208+Y198+Y182+Y155+Y130</f>
        <v>1634098.3</v>
      </c>
      <c r="Z210" s="73">
        <f>Z208+Z198+Z182+Z155+Z130</f>
        <v>80000</v>
      </c>
      <c r="AA210" s="62"/>
    </row>
    <row r="211" spans="1:28" x14ac:dyDescent="0.2"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4"/>
      <c r="Y211" s="61"/>
      <c r="Z211" s="68"/>
      <c r="AA211" s="62"/>
    </row>
    <row r="212" spans="1:28" x14ac:dyDescent="0.2">
      <c r="A212" s="85" t="s">
        <v>212</v>
      </c>
      <c r="B212" s="84" t="s">
        <v>211</v>
      </c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61"/>
      <c r="X212" s="64"/>
      <c r="Y212" s="61"/>
      <c r="Z212" s="68"/>
      <c r="AA212" s="62"/>
    </row>
    <row r="213" spans="1:28" x14ac:dyDescent="0.2">
      <c r="A213" s="82" t="s">
        <v>210</v>
      </c>
      <c r="B213" s="81" t="s">
        <v>209</v>
      </c>
      <c r="C213" s="79">
        <v>76180.47</v>
      </c>
      <c r="D213" s="79">
        <v>88461.54</v>
      </c>
      <c r="E213" s="79"/>
      <c r="F213" s="79">
        <v>117309.23</v>
      </c>
      <c r="G213" s="79">
        <v>88461.54</v>
      </c>
      <c r="H213" s="79"/>
      <c r="I213" s="79">
        <v>72675.289999999994</v>
      </c>
      <c r="J213" s="79">
        <v>88461.54</v>
      </c>
      <c r="K213" s="79"/>
      <c r="L213" s="79">
        <v>127871.23</v>
      </c>
      <c r="M213" s="79">
        <v>88461.54</v>
      </c>
      <c r="N213" s="79"/>
      <c r="O213" s="79">
        <v>153706.87</v>
      </c>
      <c r="P213" s="79">
        <v>132692.29999999999</v>
      </c>
      <c r="Q213" s="79"/>
      <c r="R213" s="79">
        <v>111084.97</v>
      </c>
      <c r="S213" s="79">
        <v>88461.54</v>
      </c>
      <c r="T213" s="80">
        <f>+C213+F213+I213+L213+O213+R213</f>
        <v>658828.05999999994</v>
      </c>
      <c r="U213" s="80">
        <f>+D213+G213+J213+M213+P213+S213</f>
        <v>575000</v>
      </c>
      <c r="V213" s="79"/>
      <c r="W213" s="76">
        <v>1150000</v>
      </c>
      <c r="X213" s="64"/>
      <c r="Y213" s="76">
        <f>+W213</f>
        <v>1150000</v>
      </c>
      <c r="Z213" s="76"/>
      <c r="AA213" s="62"/>
      <c r="AB213" s="62"/>
    </row>
    <row r="214" spans="1:28" x14ac:dyDescent="0.2">
      <c r="A214" s="82" t="s">
        <v>208</v>
      </c>
      <c r="B214" s="81" t="s">
        <v>207</v>
      </c>
      <c r="C214" s="79"/>
      <c r="D214" s="79"/>
      <c r="E214" s="79"/>
      <c r="F214" s="79">
        <v>4680</v>
      </c>
      <c r="G214" s="79"/>
      <c r="H214" s="79"/>
      <c r="I214" s="79">
        <v>2990</v>
      </c>
      <c r="J214" s="79">
        <v>11024</v>
      </c>
      <c r="K214" s="79"/>
      <c r="L214" s="79">
        <v>7020</v>
      </c>
      <c r="M214" s="79">
        <v>11024</v>
      </c>
      <c r="N214" s="79"/>
      <c r="O214" s="79">
        <v>4550</v>
      </c>
      <c r="P214" s="79">
        <v>11024</v>
      </c>
      <c r="Q214" s="79"/>
      <c r="R214" s="79">
        <v>12105</v>
      </c>
      <c r="S214" s="79">
        <v>11024</v>
      </c>
      <c r="T214" s="80">
        <f>+C214+F214+I214+L214+O214+R214</f>
        <v>31345</v>
      </c>
      <c r="U214" s="80">
        <f>+D214+G214+J214+M214+P214+S214</f>
        <v>44096</v>
      </c>
      <c r="V214" s="79"/>
      <c r="W214" s="76">
        <v>55120</v>
      </c>
      <c r="X214" s="64"/>
      <c r="Y214" s="76">
        <f>+W214</f>
        <v>55120</v>
      </c>
      <c r="Z214" s="76"/>
      <c r="AA214" s="62"/>
      <c r="AB214" s="62"/>
    </row>
    <row r="215" spans="1:28" x14ac:dyDescent="0.2">
      <c r="A215" s="82" t="s">
        <v>206</v>
      </c>
      <c r="B215" s="81" t="s">
        <v>205</v>
      </c>
      <c r="C215" s="79">
        <v>6035.78</v>
      </c>
      <c r="D215" s="79">
        <v>6839.46</v>
      </c>
      <c r="E215" s="79"/>
      <c r="F215" s="79">
        <v>6509.24</v>
      </c>
      <c r="G215" s="79">
        <v>6839.46</v>
      </c>
      <c r="H215" s="79"/>
      <c r="I215" s="79">
        <v>7604.8</v>
      </c>
      <c r="J215" s="79">
        <v>6839.46</v>
      </c>
      <c r="K215" s="79"/>
      <c r="L215" s="79">
        <v>8477.49</v>
      </c>
      <c r="M215" s="79">
        <v>6839.46</v>
      </c>
      <c r="N215" s="79"/>
      <c r="O215" s="79">
        <v>11306.63</v>
      </c>
      <c r="P215" s="79">
        <v>10259.200000000001</v>
      </c>
      <c r="Q215" s="79"/>
      <c r="R215" s="79">
        <v>7388.2</v>
      </c>
      <c r="S215" s="79">
        <v>6839.46</v>
      </c>
      <c r="T215" s="80">
        <f>+C215+F215+I215+L215+O215+R215</f>
        <v>47322.139999999992</v>
      </c>
      <c r="U215" s="80">
        <f>+D215+G215+J215+M215+P215+S215</f>
        <v>44456.5</v>
      </c>
      <c r="V215" s="79"/>
      <c r="W215" s="76">
        <f>8650+12100+68163</f>
        <v>88913</v>
      </c>
      <c r="X215" s="64"/>
      <c r="Y215" s="76">
        <f>+W215</f>
        <v>88913</v>
      </c>
      <c r="Z215" s="76"/>
      <c r="AA215" s="62"/>
      <c r="AB215" s="62"/>
    </row>
    <row r="216" spans="1:28" x14ac:dyDescent="0.2">
      <c r="A216" s="82" t="s">
        <v>204</v>
      </c>
      <c r="B216" s="81" t="s">
        <v>203</v>
      </c>
      <c r="C216" s="79">
        <v>16186.6</v>
      </c>
      <c r="D216" s="79">
        <v>24025.66</v>
      </c>
      <c r="E216" s="79"/>
      <c r="F216" s="79">
        <v>17451.88</v>
      </c>
      <c r="G216" s="79">
        <v>24025.66</v>
      </c>
      <c r="H216" s="79"/>
      <c r="I216" s="79">
        <v>17917.47</v>
      </c>
      <c r="J216" s="79">
        <v>24025.66</v>
      </c>
      <c r="K216" s="79"/>
      <c r="L216" s="79">
        <v>25777.39</v>
      </c>
      <c r="M216" s="79">
        <v>24025.66</v>
      </c>
      <c r="N216" s="79"/>
      <c r="O216" s="79">
        <v>25857.75</v>
      </c>
      <c r="P216" s="79">
        <v>24025.67</v>
      </c>
      <c r="Q216" s="79"/>
      <c r="R216" s="79">
        <v>25933.99</v>
      </c>
      <c r="S216" s="79">
        <v>24025.67</v>
      </c>
      <c r="T216" s="80">
        <f>+C216+F216+I216+L216+O216+R216</f>
        <v>129125.08</v>
      </c>
      <c r="U216" s="80">
        <f>+D216+G216+J216+M216+P216+S216</f>
        <v>144153.97999999998</v>
      </c>
      <c r="V216" s="79"/>
      <c r="W216" s="76">
        <f>6469+266647+10641+2672+1879</f>
        <v>288308</v>
      </c>
      <c r="X216" s="64"/>
      <c r="Y216" s="76">
        <f>+W216</f>
        <v>288308</v>
      </c>
      <c r="Z216" s="76"/>
      <c r="AA216" s="62"/>
      <c r="AB216" s="62"/>
    </row>
    <row r="217" spans="1:28" x14ac:dyDescent="0.2">
      <c r="A217" s="82" t="s">
        <v>202</v>
      </c>
      <c r="B217" s="81" t="s">
        <v>201</v>
      </c>
      <c r="C217" s="79">
        <v>8054.57</v>
      </c>
      <c r="D217" s="79">
        <v>12555.92</v>
      </c>
      <c r="E217" s="79"/>
      <c r="F217" s="79">
        <v>8473.3799999999992</v>
      </c>
      <c r="G217" s="79">
        <v>12555.92</v>
      </c>
      <c r="H217" s="79"/>
      <c r="I217" s="79">
        <v>9134.26</v>
      </c>
      <c r="J217" s="79">
        <v>12555.92</v>
      </c>
      <c r="K217" s="79"/>
      <c r="L217" s="79">
        <v>11059.08</v>
      </c>
      <c r="M217" s="79">
        <v>12555.92</v>
      </c>
      <c r="N217" s="79"/>
      <c r="O217" s="79">
        <v>16198.24</v>
      </c>
      <c r="P217" s="79">
        <v>18833.900000000001</v>
      </c>
      <c r="Q217" s="79"/>
      <c r="R217" s="79">
        <v>10796.07</v>
      </c>
      <c r="S217" s="79">
        <v>12555.92</v>
      </c>
      <c r="T217" s="80">
        <f>+C217+F217+I217+L217+O217+R217</f>
        <v>63715.6</v>
      </c>
      <c r="U217" s="80">
        <f>+D217+G217+J217+M217+P217+S217</f>
        <v>81613.5</v>
      </c>
      <c r="V217" s="79"/>
      <c r="W217" s="76">
        <f>144847+18380</f>
        <v>163227</v>
      </c>
      <c r="X217" s="64"/>
      <c r="Y217" s="76">
        <f>+W217</f>
        <v>163227</v>
      </c>
      <c r="Z217" s="76"/>
      <c r="AA217" s="62"/>
      <c r="AB217" s="62"/>
    </row>
    <row r="218" spans="1:28" x14ac:dyDescent="0.2">
      <c r="A218" s="82" t="s">
        <v>200</v>
      </c>
      <c r="B218" s="81" t="s">
        <v>199</v>
      </c>
      <c r="C218" s="79">
        <v>6790.57</v>
      </c>
      <c r="D218" s="79">
        <v>1675</v>
      </c>
      <c r="E218" s="79"/>
      <c r="F218" s="79">
        <v>4362.59</v>
      </c>
      <c r="G218" s="79">
        <v>1650</v>
      </c>
      <c r="H218" s="79"/>
      <c r="I218" s="79">
        <v>3373.61</v>
      </c>
      <c r="J218" s="79">
        <v>1675</v>
      </c>
      <c r="K218" s="79"/>
      <c r="L218" s="79">
        <v>42.65</v>
      </c>
      <c r="M218" s="79">
        <v>1650</v>
      </c>
      <c r="N218" s="79"/>
      <c r="O218" s="79">
        <v>1513.07</v>
      </c>
      <c r="P218" s="79">
        <v>1675</v>
      </c>
      <c r="Q218" s="79"/>
      <c r="R218" s="79">
        <v>4526.59</v>
      </c>
      <c r="S218" s="79">
        <v>1650</v>
      </c>
      <c r="T218" s="80">
        <f>+C218+F218+I218+L218+O218+R218</f>
        <v>20609.080000000002</v>
      </c>
      <c r="U218" s="80">
        <f>+D218+G218+J218+M218+P218+S218</f>
        <v>9975</v>
      </c>
      <c r="V218" s="79"/>
      <c r="W218" s="76">
        <v>20000</v>
      </c>
      <c r="X218" s="64"/>
      <c r="Y218" s="76">
        <f>+W218</f>
        <v>20000</v>
      </c>
      <c r="Z218" s="76"/>
      <c r="AA218" s="62"/>
      <c r="AB218" s="62"/>
    </row>
    <row r="219" spans="1:28" x14ac:dyDescent="0.2">
      <c r="A219" s="82" t="s">
        <v>198</v>
      </c>
      <c r="B219" s="81" t="s">
        <v>197</v>
      </c>
      <c r="C219" s="79">
        <v>3844.57</v>
      </c>
      <c r="D219" s="79">
        <v>3158.34</v>
      </c>
      <c r="E219" s="79"/>
      <c r="F219" s="79">
        <v>3844.57</v>
      </c>
      <c r="G219" s="79">
        <v>3158.34</v>
      </c>
      <c r="H219" s="79"/>
      <c r="I219" s="79">
        <v>3844.57</v>
      </c>
      <c r="J219" s="79">
        <v>3158.34</v>
      </c>
      <c r="K219" s="79"/>
      <c r="L219" s="79">
        <v>3844.57</v>
      </c>
      <c r="M219" s="79">
        <v>3158.34</v>
      </c>
      <c r="N219" s="79"/>
      <c r="O219" s="79">
        <v>3844.57</v>
      </c>
      <c r="P219" s="79">
        <v>3158.33</v>
      </c>
      <c r="Q219" s="79"/>
      <c r="R219" s="79">
        <v>3089.71</v>
      </c>
      <c r="S219" s="79">
        <v>3158.33</v>
      </c>
      <c r="T219" s="80">
        <f>+C219+F219+I219+L219+O219+R219</f>
        <v>22312.560000000001</v>
      </c>
      <c r="U219" s="80">
        <f>+D219+G219+J219+M219+P219+S219</f>
        <v>18950.02</v>
      </c>
      <c r="V219" s="79"/>
      <c r="W219" s="76">
        <f>29055+5158+3687</f>
        <v>37900</v>
      </c>
      <c r="X219" s="64"/>
      <c r="Y219" s="76">
        <f>+W219</f>
        <v>37900</v>
      </c>
      <c r="Z219" s="76"/>
      <c r="AA219" s="62"/>
      <c r="AB219" s="62"/>
    </row>
    <row r="220" spans="1:28" x14ac:dyDescent="0.2">
      <c r="A220" s="82" t="s">
        <v>196</v>
      </c>
      <c r="B220" s="81" t="s">
        <v>195</v>
      </c>
      <c r="C220" s="79">
        <v>19601.07</v>
      </c>
      <c r="D220" s="79">
        <v>24760.85</v>
      </c>
      <c r="E220" s="79"/>
      <c r="F220" s="79">
        <v>21615.11</v>
      </c>
      <c r="G220" s="79">
        <v>24760.85</v>
      </c>
      <c r="H220" s="79"/>
      <c r="I220" s="79">
        <v>36988.42</v>
      </c>
      <c r="J220" s="79">
        <v>24760.85</v>
      </c>
      <c r="K220" s="79"/>
      <c r="L220" s="79">
        <v>29635.08</v>
      </c>
      <c r="M220" s="79">
        <v>24760.85</v>
      </c>
      <c r="N220" s="79"/>
      <c r="O220" s="79">
        <v>37496.25</v>
      </c>
      <c r="P220" s="79">
        <v>37141.25</v>
      </c>
      <c r="Q220" s="79"/>
      <c r="R220" s="79">
        <v>25285.65</v>
      </c>
      <c r="S220" s="79">
        <v>24760.85</v>
      </c>
      <c r="T220" s="80">
        <f>+C220+F220+I220+L220+O220+R220</f>
        <v>170621.58</v>
      </c>
      <c r="U220" s="80">
        <f>+D220+G220+J220+M220+P220+S220</f>
        <v>160945.5</v>
      </c>
      <c r="V220" s="79"/>
      <c r="W220" s="76">
        <f>270263+51628</f>
        <v>321891</v>
      </c>
      <c r="X220" s="64"/>
      <c r="Y220" s="76">
        <f>+W220</f>
        <v>321891</v>
      </c>
      <c r="Z220" s="76"/>
      <c r="AA220" s="62"/>
      <c r="AB220" s="62"/>
    </row>
    <row r="221" spans="1:28" x14ac:dyDescent="0.2">
      <c r="A221" s="82" t="s">
        <v>194</v>
      </c>
      <c r="B221" s="81" t="s">
        <v>193</v>
      </c>
      <c r="C221" s="79">
        <v>1869.96</v>
      </c>
      <c r="D221" s="79">
        <v>1980.85</v>
      </c>
      <c r="E221" s="79"/>
      <c r="F221" s="79">
        <v>1834.22</v>
      </c>
      <c r="G221" s="79">
        <v>1980.85</v>
      </c>
      <c r="H221" s="79"/>
      <c r="I221" s="79">
        <v>255.57</v>
      </c>
      <c r="J221" s="79">
        <v>1980.85</v>
      </c>
      <c r="K221" s="79"/>
      <c r="L221" s="79">
        <v>2169.23</v>
      </c>
      <c r="M221" s="79">
        <v>1980.85</v>
      </c>
      <c r="N221" s="79"/>
      <c r="O221" s="79">
        <v>2992.47</v>
      </c>
      <c r="P221" s="79">
        <v>2971.25</v>
      </c>
      <c r="Q221" s="79"/>
      <c r="R221" s="79">
        <v>1979</v>
      </c>
      <c r="S221" s="79">
        <v>1980.85</v>
      </c>
      <c r="T221" s="80">
        <f>+C221+F221+I221+L221+O221+R221</f>
        <v>11100.45</v>
      </c>
      <c r="U221" s="80">
        <f>+D221+G221+J221+M221+P221+S221</f>
        <v>12875.5</v>
      </c>
      <c r="V221" s="79"/>
      <c r="W221" s="76">
        <f>21621+4130</f>
        <v>25751</v>
      </c>
      <c r="X221" s="64"/>
      <c r="Y221" s="76">
        <f>+W221</f>
        <v>25751</v>
      </c>
      <c r="Z221" s="76"/>
      <c r="AA221" s="62"/>
      <c r="AB221" s="62"/>
    </row>
    <row r="222" spans="1:28" x14ac:dyDescent="0.2">
      <c r="A222" s="82" t="s">
        <v>192</v>
      </c>
      <c r="B222" s="81" t="s">
        <v>191</v>
      </c>
      <c r="C222" s="79">
        <v>6989.9</v>
      </c>
      <c r="D222" s="79">
        <v>10856.4</v>
      </c>
      <c r="E222" s="79"/>
      <c r="F222" s="79">
        <v>6989.9</v>
      </c>
      <c r="G222" s="79">
        <v>10856.4</v>
      </c>
      <c r="H222" s="79"/>
      <c r="I222" s="79">
        <v>7085.65</v>
      </c>
      <c r="J222" s="79">
        <v>10856.42</v>
      </c>
      <c r="K222" s="79"/>
      <c r="L222" s="79">
        <v>8790.32</v>
      </c>
      <c r="M222" s="79">
        <v>10856.42</v>
      </c>
      <c r="N222" s="79"/>
      <c r="O222" s="79">
        <v>10190.52</v>
      </c>
      <c r="P222" s="79">
        <v>10856.42</v>
      </c>
      <c r="Q222" s="79"/>
      <c r="R222" s="79">
        <v>10190.56</v>
      </c>
      <c r="S222" s="79">
        <v>10856.42</v>
      </c>
      <c r="T222" s="80">
        <f>+C222+F222+I222+L222+O222+R222</f>
        <v>50236.849999999991</v>
      </c>
      <c r="U222" s="80">
        <f>+D222+G222+J222+M222+P222+S222</f>
        <v>65138.479999999996</v>
      </c>
      <c r="V222" s="79"/>
      <c r="W222" s="76">
        <f>122947+5856+1474</f>
        <v>130277</v>
      </c>
      <c r="X222" s="64"/>
      <c r="Y222" s="76">
        <f>+W222</f>
        <v>130277</v>
      </c>
      <c r="Z222" s="76"/>
      <c r="AA222" s="62"/>
      <c r="AB222" s="62"/>
    </row>
    <row r="223" spans="1:28" x14ac:dyDescent="0.2">
      <c r="A223" s="82" t="s">
        <v>190</v>
      </c>
      <c r="B223" s="81" t="s">
        <v>189</v>
      </c>
      <c r="C223" s="79">
        <v>236.72</v>
      </c>
      <c r="D223" s="79">
        <v>458.46</v>
      </c>
      <c r="E223" s="79"/>
      <c r="F223" s="79">
        <v>227.63</v>
      </c>
      <c r="G223" s="79">
        <v>458.46</v>
      </c>
      <c r="H223" s="79"/>
      <c r="I223" s="79">
        <v>277.13</v>
      </c>
      <c r="J223" s="79">
        <v>458.46</v>
      </c>
      <c r="K223" s="79"/>
      <c r="L223" s="79">
        <v>258.73</v>
      </c>
      <c r="M223" s="79">
        <v>458.46</v>
      </c>
      <c r="N223" s="79"/>
      <c r="O223" s="79">
        <v>333.3</v>
      </c>
      <c r="P223" s="79">
        <v>687.7</v>
      </c>
      <c r="Q223" s="79"/>
      <c r="R223" s="79">
        <v>221.94</v>
      </c>
      <c r="S223" s="79">
        <v>458.46</v>
      </c>
      <c r="T223" s="80">
        <f>+C223+F223+I223+L223+O223+R223</f>
        <v>1555.45</v>
      </c>
      <c r="U223" s="80">
        <f>+D223+G223+J223+M223+P223+S223</f>
        <v>2980</v>
      </c>
      <c r="V223" s="79"/>
      <c r="W223" s="76">
        <f>4974+986</f>
        <v>5960</v>
      </c>
      <c r="X223" s="64"/>
      <c r="Y223" s="76">
        <f>+W223</f>
        <v>5960</v>
      </c>
      <c r="Z223" s="76"/>
      <c r="AA223" s="62"/>
    </row>
    <row r="224" spans="1:28" x14ac:dyDescent="0.2">
      <c r="A224" s="82">
        <v>6030250</v>
      </c>
      <c r="B224" s="81" t="s">
        <v>188</v>
      </c>
      <c r="C224" s="79"/>
      <c r="D224" s="79"/>
      <c r="E224" s="79"/>
      <c r="F224" s="79">
        <v>1222.9100000000001</v>
      </c>
      <c r="G224" s="79"/>
      <c r="H224" s="79"/>
      <c r="I224" s="79">
        <v>678.75</v>
      </c>
      <c r="J224" s="79"/>
      <c r="K224" s="79"/>
      <c r="L224" s="79">
        <v>364</v>
      </c>
      <c r="M224" s="79"/>
      <c r="N224" s="79"/>
      <c r="O224" s="79">
        <v>343</v>
      </c>
      <c r="P224" s="79"/>
      <c r="Q224" s="79"/>
      <c r="R224" s="79">
        <v>89.7</v>
      </c>
      <c r="S224" s="79">
        <v>0</v>
      </c>
      <c r="T224" s="80">
        <f>+C224+F224+I224+L224+O224+R224</f>
        <v>2698.3599999999997</v>
      </c>
      <c r="U224" s="80">
        <f>+D224+G224+J224+M224+P224+S224</f>
        <v>0</v>
      </c>
      <c r="V224" s="79"/>
      <c r="W224" s="76"/>
      <c r="X224" s="64"/>
      <c r="Y224" s="76"/>
      <c r="Z224" s="76"/>
      <c r="AA224" s="62"/>
    </row>
    <row r="225" spans="1:28" x14ac:dyDescent="0.2">
      <c r="A225" s="82" t="s">
        <v>187</v>
      </c>
      <c r="B225" s="81" t="s">
        <v>186</v>
      </c>
      <c r="C225" s="79">
        <v>1031.71</v>
      </c>
      <c r="D225" s="79">
        <v>34.85</v>
      </c>
      <c r="E225" s="79"/>
      <c r="F225" s="79">
        <v>1031.71</v>
      </c>
      <c r="G225" s="79">
        <v>34.85</v>
      </c>
      <c r="H225" s="79"/>
      <c r="I225" s="79">
        <v>1031.71</v>
      </c>
      <c r="J225" s="79">
        <v>34.83</v>
      </c>
      <c r="K225" s="79"/>
      <c r="L225" s="79">
        <v>1031.71</v>
      </c>
      <c r="M225" s="79">
        <v>34.83</v>
      </c>
      <c r="N225" s="79"/>
      <c r="O225" s="79">
        <v>1031.71</v>
      </c>
      <c r="P225" s="79">
        <v>34.83</v>
      </c>
      <c r="Q225" s="79"/>
      <c r="R225" s="79">
        <v>34.08</v>
      </c>
      <c r="S225" s="79">
        <v>34.83</v>
      </c>
      <c r="T225" s="80">
        <f>+C225+F225+I225+L225+O225+R225</f>
        <v>5192.63</v>
      </c>
      <c r="U225" s="80">
        <f>+D225+G225+J225+M225+P225+S225</f>
        <v>209.01999999999998</v>
      </c>
      <c r="V225" s="79"/>
      <c r="W225" s="76">
        <f>351+67</f>
        <v>418</v>
      </c>
      <c r="X225" s="64"/>
      <c r="Y225" s="76">
        <f>+W225</f>
        <v>418</v>
      </c>
      <c r="Z225" s="76"/>
      <c r="AA225" s="62"/>
      <c r="AB225" s="62"/>
    </row>
    <row r="226" spans="1:28" x14ac:dyDescent="0.2">
      <c r="A226" s="82" t="s">
        <v>185</v>
      </c>
      <c r="B226" s="81" t="s">
        <v>109</v>
      </c>
      <c r="C226" s="79">
        <v>1172</v>
      </c>
      <c r="D226" s="79">
        <v>13594.29</v>
      </c>
      <c r="E226" s="79"/>
      <c r="F226" s="79">
        <v>13214.75</v>
      </c>
      <c r="G226" s="79">
        <v>27188.57</v>
      </c>
      <c r="H226" s="79"/>
      <c r="I226" s="79">
        <v>41002.639999999999</v>
      </c>
      <c r="J226" s="79">
        <v>27188.57</v>
      </c>
      <c r="K226" s="79"/>
      <c r="L226" s="79">
        <v>35201.39</v>
      </c>
      <c r="M226" s="79">
        <v>27188.57</v>
      </c>
      <c r="N226" s="79"/>
      <c r="O226" s="79">
        <v>46186.51</v>
      </c>
      <c r="P226" s="79">
        <v>40782.86</v>
      </c>
      <c r="Q226" s="79"/>
      <c r="R226" s="79">
        <v>17690.63</v>
      </c>
      <c r="S226" s="79">
        <v>27188.57</v>
      </c>
      <c r="T226" s="80">
        <f>+C226+F226+I226+L226+O226+R226</f>
        <v>154467.92000000001</v>
      </c>
      <c r="U226" s="80">
        <f>+D226+G226+J226+M226+P226+S226</f>
        <v>163131.43</v>
      </c>
      <c r="V226" s="79"/>
      <c r="W226" s="76">
        <v>190320</v>
      </c>
      <c r="X226" s="64"/>
      <c r="Y226" s="76">
        <f>+W226</f>
        <v>190320</v>
      </c>
      <c r="Z226" s="76"/>
      <c r="AA226" s="62"/>
    </row>
    <row r="227" spans="1:28" x14ac:dyDescent="0.2">
      <c r="A227" s="82" t="s">
        <v>184</v>
      </c>
      <c r="B227" s="81" t="s">
        <v>108</v>
      </c>
      <c r="C227" s="79">
        <v>90.33</v>
      </c>
      <c r="D227" s="79">
        <v>1160.71</v>
      </c>
      <c r="E227" s="79"/>
      <c r="F227" s="79">
        <v>1314.56</v>
      </c>
      <c r="G227" s="79">
        <v>2321.4299999999998</v>
      </c>
      <c r="H227" s="79"/>
      <c r="I227" s="79">
        <v>3615.6</v>
      </c>
      <c r="J227" s="79">
        <v>2321.4299999999998</v>
      </c>
      <c r="K227" s="79"/>
      <c r="L227" s="79">
        <v>3110.66</v>
      </c>
      <c r="M227" s="79">
        <v>2321.4299999999998</v>
      </c>
      <c r="N227" s="79"/>
      <c r="O227" s="79">
        <v>3437.67</v>
      </c>
      <c r="P227" s="79">
        <v>3482.14</v>
      </c>
      <c r="Q227" s="79"/>
      <c r="R227" s="79">
        <v>1469.33</v>
      </c>
      <c r="S227" s="79">
        <v>2321.4299999999998</v>
      </c>
      <c r="T227" s="80">
        <f>+C227+F227+I227+L227+O227+R227</f>
        <v>13038.15</v>
      </c>
      <c r="U227" s="80">
        <f>+D227+G227+J227+M227+P227+S227</f>
        <v>13928.57</v>
      </c>
      <c r="V227" s="79"/>
      <c r="W227" s="76">
        <v>16250</v>
      </c>
      <c r="X227" s="64"/>
      <c r="Y227" s="76">
        <f>+W227</f>
        <v>16250</v>
      </c>
      <c r="Z227" s="76"/>
      <c r="AA227" s="62"/>
    </row>
    <row r="228" spans="1:28" x14ac:dyDescent="0.2">
      <c r="A228" s="82" t="s">
        <v>183</v>
      </c>
      <c r="B228" s="81" t="s">
        <v>106</v>
      </c>
      <c r="C228" s="79"/>
      <c r="D228" s="79">
        <v>8000</v>
      </c>
      <c r="E228" s="79"/>
      <c r="F228" s="79">
        <v>17715.189999999999</v>
      </c>
      <c r="G228" s="79"/>
      <c r="H228" s="79"/>
      <c r="I228" s="79"/>
      <c r="J228" s="79"/>
      <c r="K228" s="79"/>
      <c r="L228" s="79"/>
      <c r="M228" s="79"/>
      <c r="N228" s="79"/>
      <c r="O228" s="79">
        <v>-460.7</v>
      </c>
      <c r="P228" s="79"/>
      <c r="Q228" s="79"/>
      <c r="R228" s="79">
        <v>0</v>
      </c>
      <c r="S228" s="79">
        <v>0</v>
      </c>
      <c r="T228" s="80">
        <f>+C228+F228+I228+L228+O228+R228</f>
        <v>17254.489999999998</v>
      </c>
      <c r="U228" s="80">
        <f>+D228+G228+J228+M228+P228+S228</f>
        <v>8000</v>
      </c>
      <c r="V228" s="79"/>
      <c r="W228" s="76">
        <v>8000</v>
      </c>
      <c r="X228" s="64"/>
      <c r="Y228" s="76">
        <f>+W228</f>
        <v>8000</v>
      </c>
      <c r="Z228" s="76"/>
      <c r="AA228" s="62"/>
    </row>
    <row r="229" spans="1:28" x14ac:dyDescent="0.2">
      <c r="A229" s="82" t="s">
        <v>182</v>
      </c>
      <c r="B229" s="81" t="s">
        <v>105</v>
      </c>
      <c r="C229" s="79">
        <v>219.7</v>
      </c>
      <c r="D229" s="79">
        <v>540.79999999999995</v>
      </c>
      <c r="E229" s="79"/>
      <c r="F229" s="79">
        <v>219.7</v>
      </c>
      <c r="G229" s="79">
        <v>540.80999999999995</v>
      </c>
      <c r="H229" s="79"/>
      <c r="I229" s="79">
        <v>219.7</v>
      </c>
      <c r="J229" s="79">
        <v>540.83000000000004</v>
      </c>
      <c r="K229" s="79"/>
      <c r="L229" s="79">
        <v>219.7</v>
      </c>
      <c r="M229" s="79">
        <v>540.83000000000004</v>
      </c>
      <c r="N229" s="79"/>
      <c r="O229" s="79">
        <v>219.7</v>
      </c>
      <c r="P229" s="79">
        <v>540.83000000000004</v>
      </c>
      <c r="Q229" s="79"/>
      <c r="R229" s="79">
        <v>529.07000000000005</v>
      </c>
      <c r="S229" s="79">
        <v>540.83000000000004</v>
      </c>
      <c r="T229" s="80">
        <f>+C229+F229+I229+L229+O229+R229</f>
        <v>1627.5700000000002</v>
      </c>
      <c r="U229" s="80">
        <f>+D229+G229+J229+M229+P229+S229</f>
        <v>3244.93</v>
      </c>
      <c r="V229" s="79"/>
      <c r="W229" s="76">
        <v>6489.91</v>
      </c>
      <c r="X229" s="64"/>
      <c r="Y229" s="76">
        <f>+W229</f>
        <v>6489.91</v>
      </c>
      <c r="Z229" s="76"/>
      <c r="AA229" s="62"/>
      <c r="AB229" s="62"/>
    </row>
    <row r="230" spans="1:28" x14ac:dyDescent="0.2">
      <c r="A230" s="82" t="s">
        <v>181</v>
      </c>
      <c r="B230" s="81" t="s">
        <v>103</v>
      </c>
      <c r="C230" s="79">
        <v>1518.72</v>
      </c>
      <c r="D230" s="79">
        <v>1291.6500000000001</v>
      </c>
      <c r="E230" s="79"/>
      <c r="F230" s="79">
        <v>1284.5</v>
      </c>
      <c r="G230" s="79">
        <v>1291.6500000000001</v>
      </c>
      <c r="H230" s="79"/>
      <c r="I230" s="79">
        <v>1908.02</v>
      </c>
      <c r="J230" s="79">
        <v>1291.67</v>
      </c>
      <c r="K230" s="79"/>
      <c r="L230" s="79">
        <v>1725.89</v>
      </c>
      <c r="M230" s="79">
        <v>1291.67</v>
      </c>
      <c r="N230" s="79"/>
      <c r="O230" s="79">
        <v>762.8</v>
      </c>
      <c r="P230" s="79">
        <v>1291.67</v>
      </c>
      <c r="Q230" s="79"/>
      <c r="R230" s="79">
        <v>2693.69</v>
      </c>
      <c r="S230" s="79">
        <v>1291.67</v>
      </c>
      <c r="T230" s="80">
        <f>+C230+F230+I230+L230+O230+R230</f>
        <v>9893.6200000000008</v>
      </c>
      <c r="U230" s="80">
        <f>+D230+G230+J230+M230+P230+S230</f>
        <v>7749.9800000000005</v>
      </c>
      <c r="V230" s="79"/>
      <c r="W230" s="76">
        <v>15500</v>
      </c>
      <c r="X230" s="64"/>
      <c r="Y230" s="76">
        <f>+W230</f>
        <v>15500</v>
      </c>
      <c r="Z230" s="76"/>
      <c r="AA230" s="62"/>
    </row>
    <row r="231" spans="1:28" x14ac:dyDescent="0.2">
      <c r="A231" s="82" t="s">
        <v>180</v>
      </c>
      <c r="B231" s="81" t="s">
        <v>101</v>
      </c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>
        <v>0</v>
      </c>
      <c r="S231" s="79">
        <v>0</v>
      </c>
      <c r="T231" s="80">
        <f>+C231+F231+I231+L231+O231+R231</f>
        <v>0</v>
      </c>
      <c r="U231" s="80">
        <f>+D231+G231+J231+M231+P231+S231</f>
        <v>0</v>
      </c>
      <c r="V231" s="79"/>
      <c r="W231" s="76"/>
      <c r="X231" s="64"/>
      <c r="Y231" s="76">
        <f>+W231</f>
        <v>0</v>
      </c>
      <c r="Z231" s="76"/>
      <c r="AA231" s="62"/>
    </row>
    <row r="232" spans="1:28" x14ac:dyDescent="0.2">
      <c r="A232" s="82" t="s">
        <v>179</v>
      </c>
      <c r="B232" s="81" t="s">
        <v>178</v>
      </c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>
        <v>0</v>
      </c>
      <c r="S232" s="79">
        <v>0</v>
      </c>
      <c r="T232" s="80">
        <f>+C232+F232+I232+L232+O232+R232</f>
        <v>0</v>
      </c>
      <c r="U232" s="80">
        <f>+D232+G232+J232+M232+P232+S232</f>
        <v>0</v>
      </c>
      <c r="V232" s="79"/>
      <c r="W232" s="76"/>
      <c r="X232" s="64"/>
      <c r="Y232" s="76">
        <f>+W232</f>
        <v>0</v>
      </c>
      <c r="Z232" s="76"/>
      <c r="AA232" s="62"/>
    </row>
    <row r="233" spans="1:28" x14ac:dyDescent="0.2">
      <c r="A233" s="82" t="s">
        <v>177</v>
      </c>
      <c r="B233" s="81" t="s">
        <v>99</v>
      </c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>
        <v>0</v>
      </c>
      <c r="S233" s="79">
        <v>0</v>
      </c>
      <c r="T233" s="80">
        <f>+C233+F233+I233+L233+O233+R233</f>
        <v>0</v>
      </c>
      <c r="U233" s="80">
        <f>+D233+G233+J233+M233+P233+S233</f>
        <v>0</v>
      </c>
      <c r="V233" s="79"/>
      <c r="W233" s="76"/>
      <c r="X233" s="64"/>
      <c r="Y233" s="76">
        <f>+W233</f>
        <v>0</v>
      </c>
      <c r="Z233" s="76"/>
      <c r="AA233" s="62"/>
    </row>
    <row r="234" spans="1:28" x14ac:dyDescent="0.2">
      <c r="A234" s="82" t="s">
        <v>176</v>
      </c>
      <c r="B234" s="81" t="s">
        <v>95</v>
      </c>
      <c r="C234" s="79">
        <v>7062.04</v>
      </c>
      <c r="D234" s="79">
        <v>4583.3500000000004</v>
      </c>
      <c r="E234" s="79"/>
      <c r="F234" s="79">
        <v>4529.91</v>
      </c>
      <c r="G234" s="79">
        <v>4583.3500000000004</v>
      </c>
      <c r="H234" s="79"/>
      <c r="I234" s="79">
        <v>5724.3</v>
      </c>
      <c r="J234" s="79">
        <v>4583.33</v>
      </c>
      <c r="K234" s="79"/>
      <c r="L234" s="79">
        <v>1949.9</v>
      </c>
      <c r="M234" s="79">
        <v>4583.33</v>
      </c>
      <c r="N234" s="79"/>
      <c r="O234" s="79">
        <v>5673.95</v>
      </c>
      <c r="P234" s="79">
        <v>4583.33</v>
      </c>
      <c r="Q234" s="79"/>
      <c r="R234" s="79">
        <v>5414.47</v>
      </c>
      <c r="S234" s="79">
        <v>4583.33</v>
      </c>
      <c r="T234" s="80">
        <f>+C234+F234+I234+L234+O234+R234</f>
        <v>30354.570000000003</v>
      </c>
      <c r="U234" s="80">
        <f>+D234+G234+J234+M234+P234+S234</f>
        <v>27500.020000000004</v>
      </c>
      <c r="V234" s="79"/>
      <c r="W234" s="76">
        <v>55000</v>
      </c>
      <c r="X234" s="64"/>
      <c r="Y234" s="76">
        <f>+W234</f>
        <v>55000</v>
      </c>
      <c r="Z234" s="76"/>
      <c r="AA234" s="62"/>
    </row>
    <row r="235" spans="1:28" x14ac:dyDescent="0.2">
      <c r="A235" s="82">
        <v>6030605</v>
      </c>
      <c r="B235" s="81" t="s">
        <v>175</v>
      </c>
      <c r="C235" s="79">
        <v>298.3</v>
      </c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>
        <v>0</v>
      </c>
      <c r="S235" s="79">
        <v>0</v>
      </c>
      <c r="T235" s="80">
        <f>+C235+F235+I235+L235+O235+R235</f>
        <v>298.3</v>
      </c>
      <c r="U235" s="80">
        <f>+D235+G235+J235+M235+P235+S235</f>
        <v>0</v>
      </c>
      <c r="V235" s="79"/>
      <c r="W235" s="76"/>
      <c r="X235" s="64"/>
      <c r="Y235" s="76"/>
      <c r="Z235" s="76"/>
      <c r="AA235" s="62"/>
    </row>
    <row r="236" spans="1:28" x14ac:dyDescent="0.2">
      <c r="A236" s="82" t="s">
        <v>174</v>
      </c>
      <c r="B236" s="81" t="s">
        <v>126</v>
      </c>
      <c r="C236" s="79">
        <v>3759.11</v>
      </c>
      <c r="D236" s="79">
        <v>2083.35</v>
      </c>
      <c r="E236" s="79"/>
      <c r="F236" s="79">
        <v>10772.36</v>
      </c>
      <c r="G236" s="79">
        <v>2083.35</v>
      </c>
      <c r="H236" s="79"/>
      <c r="I236" s="79">
        <v>1515.36</v>
      </c>
      <c r="J236" s="79">
        <v>2083.33</v>
      </c>
      <c r="K236" s="79"/>
      <c r="L236" s="79">
        <v>2177.11</v>
      </c>
      <c r="M236" s="79">
        <v>2083.33</v>
      </c>
      <c r="N236" s="79"/>
      <c r="O236" s="79">
        <v>2329.7199999999998</v>
      </c>
      <c r="P236" s="79">
        <v>2083.33</v>
      </c>
      <c r="Q236" s="79"/>
      <c r="R236" s="79">
        <v>2467.6799999999998</v>
      </c>
      <c r="S236" s="79">
        <v>2083.33</v>
      </c>
      <c r="T236" s="80">
        <f>+C236+F236+I236+L236+O236+R236</f>
        <v>23021.340000000004</v>
      </c>
      <c r="U236" s="80">
        <f>+D236+G236+J236+M236+P236+S236</f>
        <v>12500.02</v>
      </c>
      <c r="V236" s="79"/>
      <c r="W236" s="76">
        <v>25000</v>
      </c>
      <c r="X236" s="64"/>
      <c r="Y236" s="76">
        <f>+W236</f>
        <v>25000</v>
      </c>
      <c r="Z236" s="76"/>
      <c r="AA236" s="62"/>
    </row>
    <row r="237" spans="1:28" x14ac:dyDescent="0.2">
      <c r="A237" s="82" t="s">
        <v>173</v>
      </c>
      <c r="B237" s="81" t="s">
        <v>172</v>
      </c>
      <c r="C237" s="79">
        <v>625</v>
      </c>
      <c r="D237" s="79">
        <v>1666.65</v>
      </c>
      <c r="E237" s="79"/>
      <c r="F237" s="79">
        <v>75</v>
      </c>
      <c r="G237" s="79">
        <v>1666.65</v>
      </c>
      <c r="H237" s="79"/>
      <c r="I237" s="79">
        <v>75</v>
      </c>
      <c r="J237" s="79">
        <v>1666.67</v>
      </c>
      <c r="K237" s="79"/>
      <c r="L237" s="79"/>
      <c r="M237" s="79">
        <v>1666.67</v>
      </c>
      <c r="N237" s="79"/>
      <c r="O237" s="79">
        <v>808</v>
      </c>
      <c r="P237" s="79">
        <v>1666.67</v>
      </c>
      <c r="Q237" s="79"/>
      <c r="R237" s="79">
        <v>171</v>
      </c>
      <c r="S237" s="79">
        <v>1666.67</v>
      </c>
      <c r="T237" s="80">
        <f>+C237+F237+I237+L237+O237+R237</f>
        <v>1754</v>
      </c>
      <c r="U237" s="80">
        <f>+D237+G237+J237+M237+P237+S237</f>
        <v>9999.9800000000014</v>
      </c>
      <c r="V237" s="79"/>
      <c r="W237" s="76">
        <v>20000</v>
      </c>
      <c r="X237" s="64"/>
      <c r="Y237" s="76">
        <f>+W237</f>
        <v>20000</v>
      </c>
      <c r="Z237" s="76"/>
      <c r="AA237" s="62"/>
    </row>
    <row r="238" spans="1:28" x14ac:dyDescent="0.2">
      <c r="A238" s="82" t="s">
        <v>171</v>
      </c>
      <c r="B238" s="81" t="s">
        <v>91</v>
      </c>
      <c r="C238" s="79">
        <v>11320.65</v>
      </c>
      <c r="D238" s="79">
        <v>12500</v>
      </c>
      <c r="E238" s="79"/>
      <c r="F238" s="79">
        <v>14368.38</v>
      </c>
      <c r="G238" s="79">
        <v>12500</v>
      </c>
      <c r="H238" s="79"/>
      <c r="I238" s="79">
        <v>11320.65</v>
      </c>
      <c r="J238" s="79">
        <v>12500</v>
      </c>
      <c r="K238" s="79"/>
      <c r="L238" s="79">
        <v>11320.65</v>
      </c>
      <c r="M238" s="79">
        <v>12500</v>
      </c>
      <c r="N238" s="79"/>
      <c r="O238" s="79">
        <v>11320.65</v>
      </c>
      <c r="P238" s="79">
        <v>12500</v>
      </c>
      <c r="Q238" s="79"/>
      <c r="R238" s="79">
        <v>11320.65</v>
      </c>
      <c r="S238" s="79">
        <v>12500</v>
      </c>
      <c r="T238" s="80">
        <f>+C238+F238+I238+L238+O238+R238</f>
        <v>70971.63</v>
      </c>
      <c r="U238" s="80">
        <f>+D238+G238+J238+M238+P238+S238</f>
        <v>75000</v>
      </c>
      <c r="V238" s="79"/>
      <c r="W238" s="76">
        <v>150000</v>
      </c>
      <c r="X238" s="64"/>
      <c r="Y238" s="76">
        <f>+W238</f>
        <v>150000</v>
      </c>
      <c r="Z238" s="76"/>
      <c r="AA238" s="62"/>
    </row>
    <row r="239" spans="1:28" x14ac:dyDescent="0.2">
      <c r="A239" s="82" t="s">
        <v>170</v>
      </c>
      <c r="B239" s="81" t="s">
        <v>89</v>
      </c>
      <c r="C239" s="79">
        <v>48</v>
      </c>
      <c r="D239" s="79">
        <v>83.35</v>
      </c>
      <c r="E239" s="79"/>
      <c r="F239" s="79">
        <v>1290</v>
      </c>
      <c r="G239" s="79">
        <v>83.35</v>
      </c>
      <c r="H239" s="79"/>
      <c r="I239" s="79">
        <v>6556.94</v>
      </c>
      <c r="J239" s="79">
        <v>83.33</v>
      </c>
      <c r="K239" s="79"/>
      <c r="L239" s="79"/>
      <c r="M239" s="79">
        <v>83.33</v>
      </c>
      <c r="N239" s="79"/>
      <c r="O239" s="79">
        <v>-4880.96</v>
      </c>
      <c r="P239" s="79">
        <v>83.33</v>
      </c>
      <c r="Q239" s="79"/>
      <c r="R239" s="79">
        <v>0</v>
      </c>
      <c r="S239" s="79">
        <v>83.33</v>
      </c>
      <c r="T239" s="80">
        <f>+C239+F239+I239+L239+O239+R239</f>
        <v>3013.9799999999996</v>
      </c>
      <c r="U239" s="80">
        <f>+D239+G239+J239+M239+P239+S239</f>
        <v>500.01999999999992</v>
      </c>
      <c r="V239" s="79"/>
      <c r="W239" s="76">
        <v>1000</v>
      </c>
      <c r="X239" s="64"/>
      <c r="Y239" s="76">
        <f>+W239</f>
        <v>1000</v>
      </c>
      <c r="Z239" s="76"/>
      <c r="AA239" s="62"/>
    </row>
    <row r="240" spans="1:28" x14ac:dyDescent="0.2">
      <c r="A240" s="82" t="s">
        <v>169</v>
      </c>
      <c r="B240" s="81" t="s">
        <v>168</v>
      </c>
      <c r="C240" s="79">
        <v>265</v>
      </c>
      <c r="D240" s="79">
        <v>1250</v>
      </c>
      <c r="E240" s="79"/>
      <c r="F240" s="79">
        <v>885</v>
      </c>
      <c r="G240" s="79">
        <v>1250</v>
      </c>
      <c r="H240" s="79"/>
      <c r="I240" s="79"/>
      <c r="J240" s="79">
        <v>1250</v>
      </c>
      <c r="K240" s="79"/>
      <c r="L240" s="79"/>
      <c r="M240" s="79">
        <v>1250</v>
      </c>
      <c r="N240" s="79"/>
      <c r="O240" s="79">
        <v>530.04999999999995</v>
      </c>
      <c r="P240" s="79">
        <v>1250</v>
      </c>
      <c r="Q240" s="79"/>
      <c r="R240" s="79">
        <v>5324.85</v>
      </c>
      <c r="S240" s="79">
        <v>1250</v>
      </c>
      <c r="T240" s="80">
        <f>+C240+F240+I240+L240+O240+R240</f>
        <v>7004.9000000000005</v>
      </c>
      <c r="U240" s="80">
        <f>+D240+G240+J240+M240+P240+S240</f>
        <v>7500</v>
      </c>
      <c r="V240" s="79"/>
      <c r="W240" s="76">
        <v>15000</v>
      </c>
      <c r="X240" s="64"/>
      <c r="Y240" s="76">
        <f>+W240</f>
        <v>15000</v>
      </c>
      <c r="Z240" s="76"/>
      <c r="AA240" s="62"/>
    </row>
    <row r="241" spans="1:27" x14ac:dyDescent="0.2">
      <c r="A241" s="82">
        <v>6031425</v>
      </c>
      <c r="B241" s="81" t="s">
        <v>167</v>
      </c>
      <c r="C241" s="79">
        <v>576.29999999999995</v>
      </c>
      <c r="D241" s="79"/>
      <c r="E241" s="79"/>
      <c r="F241" s="79">
        <v>0</v>
      </c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>
        <v>0</v>
      </c>
      <c r="S241" s="79">
        <v>0</v>
      </c>
      <c r="T241" s="80">
        <f>+C241+F241+I241+L241+O241+R241</f>
        <v>576.29999999999995</v>
      </c>
      <c r="U241" s="80">
        <f>+D241+G241+J241+M241+P241+S241</f>
        <v>0</v>
      </c>
      <c r="V241" s="79"/>
      <c r="W241" s="76"/>
      <c r="X241" s="64"/>
      <c r="Y241" s="76"/>
      <c r="Z241" s="76"/>
      <c r="AA241" s="62"/>
    </row>
    <row r="242" spans="1:27" x14ac:dyDescent="0.2">
      <c r="A242" s="82">
        <v>6031450</v>
      </c>
      <c r="B242" s="81" t="s">
        <v>166</v>
      </c>
      <c r="C242" s="79">
        <v>70</v>
      </c>
      <c r="D242" s="79"/>
      <c r="E242" s="79"/>
      <c r="F242" s="79">
        <v>580</v>
      </c>
      <c r="G242" s="79"/>
      <c r="H242" s="79"/>
      <c r="I242" s="79">
        <v>300</v>
      </c>
      <c r="J242" s="79"/>
      <c r="K242" s="79"/>
      <c r="L242" s="79"/>
      <c r="M242" s="79"/>
      <c r="N242" s="79"/>
      <c r="O242" s="79"/>
      <c r="P242" s="79"/>
      <c r="Q242" s="79"/>
      <c r="R242" s="79">
        <v>0</v>
      </c>
      <c r="S242" s="79">
        <v>0</v>
      </c>
      <c r="T242" s="80">
        <f>+C242+F242+I242+L242+O242+R242</f>
        <v>950</v>
      </c>
      <c r="U242" s="80">
        <f>+D242+G242+J242+M242+P242+S242</f>
        <v>0</v>
      </c>
      <c r="V242" s="79"/>
      <c r="W242" s="76"/>
      <c r="X242" s="64"/>
      <c r="Y242" s="76"/>
      <c r="Z242" s="76"/>
      <c r="AA242" s="62"/>
    </row>
    <row r="243" spans="1:27" x14ac:dyDescent="0.2">
      <c r="A243" s="82">
        <v>6031475</v>
      </c>
      <c r="B243" s="81" t="s">
        <v>165</v>
      </c>
      <c r="C243" s="79">
        <v>7102.03</v>
      </c>
      <c r="D243" s="79">
        <v>1166.6500000000001</v>
      </c>
      <c r="E243" s="79"/>
      <c r="F243" s="79">
        <v>1976</v>
      </c>
      <c r="G243" s="79">
        <v>1166.6500000000001</v>
      </c>
      <c r="H243" s="79"/>
      <c r="I243" s="79"/>
      <c r="J243" s="79">
        <v>1166.67</v>
      </c>
      <c r="K243" s="79"/>
      <c r="L243" s="79">
        <v>6406.54</v>
      </c>
      <c r="M243" s="79">
        <v>1166.67</v>
      </c>
      <c r="N243" s="79"/>
      <c r="O243" s="79">
        <v>5075.6000000000004</v>
      </c>
      <c r="P243" s="79">
        <v>1166.67</v>
      </c>
      <c r="Q243" s="79"/>
      <c r="R243" s="79">
        <v>1545.14</v>
      </c>
      <c r="S243" s="79">
        <v>1166.67</v>
      </c>
      <c r="T243" s="80">
        <f>+C243+F243+I243+L243+O243+R243</f>
        <v>22105.309999999998</v>
      </c>
      <c r="U243" s="80">
        <f>+D243+G243+J243+M243+P243+S243</f>
        <v>6999.9800000000005</v>
      </c>
      <c r="V243" s="79"/>
      <c r="W243" s="76">
        <v>14000</v>
      </c>
      <c r="X243" s="64"/>
      <c r="Y243" s="76">
        <f>+W243</f>
        <v>14000</v>
      </c>
      <c r="Z243" s="76"/>
      <c r="AA243" s="62"/>
    </row>
    <row r="244" spans="1:27" x14ac:dyDescent="0.2">
      <c r="A244" s="82" t="s">
        <v>164</v>
      </c>
      <c r="B244" s="81" t="s">
        <v>85</v>
      </c>
      <c r="C244" s="79">
        <v>1718.4</v>
      </c>
      <c r="D244" s="79">
        <v>1000</v>
      </c>
      <c r="E244" s="79"/>
      <c r="F244" s="79">
        <v>3470.43</v>
      </c>
      <c r="G244" s="79">
        <v>1000</v>
      </c>
      <c r="H244" s="79"/>
      <c r="I244" s="79">
        <v>2540.98</v>
      </c>
      <c r="J244" s="79">
        <v>1000</v>
      </c>
      <c r="K244" s="79"/>
      <c r="L244" s="79">
        <v>161.65</v>
      </c>
      <c r="M244" s="79">
        <v>1000</v>
      </c>
      <c r="N244" s="79"/>
      <c r="O244" s="79">
        <v>2073.59</v>
      </c>
      <c r="P244" s="79">
        <v>1000</v>
      </c>
      <c r="Q244" s="79"/>
      <c r="R244" s="79">
        <v>1148.49</v>
      </c>
      <c r="S244" s="79">
        <v>1000</v>
      </c>
      <c r="T244" s="80">
        <f>+C244+F244+I244+L244+O244+R244</f>
        <v>11113.539999999999</v>
      </c>
      <c r="U244" s="80">
        <f>+D244+G244+J244+M244+P244+S244</f>
        <v>6000</v>
      </c>
      <c r="V244" s="79"/>
      <c r="W244" s="76">
        <v>12000</v>
      </c>
      <c r="X244" s="64"/>
      <c r="Y244" s="76">
        <f>+W244</f>
        <v>12000</v>
      </c>
      <c r="Z244" s="76"/>
      <c r="AA244" s="62"/>
    </row>
    <row r="245" spans="1:27" x14ac:dyDescent="0.2">
      <c r="A245" s="82">
        <v>6031550</v>
      </c>
      <c r="B245" s="81" t="s">
        <v>163</v>
      </c>
      <c r="C245" s="79">
        <v>3189.45</v>
      </c>
      <c r="D245" s="79">
        <v>666.65</v>
      </c>
      <c r="E245" s="79"/>
      <c r="F245" s="79">
        <v>395.18</v>
      </c>
      <c r="G245" s="79">
        <v>666.65</v>
      </c>
      <c r="H245" s="79"/>
      <c r="I245" s="79">
        <v>1778.78</v>
      </c>
      <c r="J245" s="79">
        <v>666.67</v>
      </c>
      <c r="K245" s="79"/>
      <c r="L245" s="79">
        <v>12100</v>
      </c>
      <c r="M245" s="79">
        <v>666.67</v>
      </c>
      <c r="N245" s="79"/>
      <c r="O245" s="79">
        <v>436.83</v>
      </c>
      <c r="P245" s="79">
        <v>666.67</v>
      </c>
      <c r="Q245" s="79"/>
      <c r="R245" s="79">
        <v>649.33000000000004</v>
      </c>
      <c r="S245" s="79">
        <v>666.67</v>
      </c>
      <c r="T245" s="80">
        <f>+C245+F245+I245+L245+O245+R245</f>
        <v>18549.570000000003</v>
      </c>
      <c r="U245" s="80">
        <f>+D245+G245+J245+M245+P245+S245</f>
        <v>3999.98</v>
      </c>
      <c r="V245" s="79"/>
      <c r="W245" s="76">
        <v>8000</v>
      </c>
      <c r="X245" s="64"/>
      <c r="Y245" s="76">
        <f>+W245</f>
        <v>8000</v>
      </c>
      <c r="Z245" s="76"/>
      <c r="AA245" s="62"/>
    </row>
    <row r="246" spans="1:27" x14ac:dyDescent="0.2">
      <c r="A246" s="82">
        <v>6031600</v>
      </c>
      <c r="B246" s="81" t="s">
        <v>83</v>
      </c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80">
        <f>+C246+F246+I246+L246+O246+R246</f>
        <v>0</v>
      </c>
      <c r="U246" s="80">
        <f>+D246+G246+J246+M246+P246+S246</f>
        <v>0</v>
      </c>
      <c r="V246" s="79"/>
      <c r="W246" s="76"/>
      <c r="X246" s="64"/>
      <c r="Y246" s="76"/>
      <c r="Z246" s="76"/>
      <c r="AA246" s="62"/>
    </row>
    <row r="247" spans="1:27" x14ac:dyDescent="0.2">
      <c r="A247" s="82" t="s">
        <v>162</v>
      </c>
      <c r="B247" s="81" t="s">
        <v>81</v>
      </c>
      <c r="C247" s="79">
        <v>777.56</v>
      </c>
      <c r="D247" s="79">
        <v>416.65</v>
      </c>
      <c r="E247" s="79"/>
      <c r="F247" s="79">
        <v>3302.88</v>
      </c>
      <c r="G247" s="79">
        <v>416.65</v>
      </c>
      <c r="H247" s="79"/>
      <c r="I247" s="79">
        <v>318.61</v>
      </c>
      <c r="J247" s="79">
        <v>416.67</v>
      </c>
      <c r="K247" s="79"/>
      <c r="L247" s="79">
        <v>0</v>
      </c>
      <c r="M247" s="79">
        <v>416.67</v>
      </c>
      <c r="N247" s="79"/>
      <c r="O247" s="79">
        <v>2507.8000000000002</v>
      </c>
      <c r="P247" s="79">
        <v>416.67</v>
      </c>
      <c r="Q247" s="79"/>
      <c r="R247" s="79">
        <v>2615.6999999999998</v>
      </c>
      <c r="S247" s="79">
        <v>416.67</v>
      </c>
      <c r="T247" s="80">
        <f>+C247+F247+I247+L247+O247+R247</f>
        <v>9522.5499999999993</v>
      </c>
      <c r="U247" s="80">
        <f>+D247+G247+J247+M247+P247+S247</f>
        <v>2499.98</v>
      </c>
      <c r="V247" s="79"/>
      <c r="W247" s="76">
        <v>5000</v>
      </c>
      <c r="X247" s="64"/>
      <c r="Y247" s="76">
        <f>+W247</f>
        <v>5000</v>
      </c>
      <c r="Z247" s="76"/>
      <c r="AA247" s="62"/>
    </row>
    <row r="248" spans="1:27" x14ac:dyDescent="0.2">
      <c r="A248" s="82" t="s">
        <v>161</v>
      </c>
      <c r="B248" s="81" t="s">
        <v>77</v>
      </c>
      <c r="C248" s="79">
        <v>2979.26</v>
      </c>
      <c r="D248" s="79">
        <v>833.35</v>
      </c>
      <c r="E248" s="79"/>
      <c r="F248" s="79">
        <v>1679.35</v>
      </c>
      <c r="G248" s="79">
        <v>833.35</v>
      </c>
      <c r="H248" s="79"/>
      <c r="I248" s="79"/>
      <c r="J248" s="79">
        <v>833.33</v>
      </c>
      <c r="K248" s="79"/>
      <c r="L248" s="79"/>
      <c r="M248" s="79">
        <v>833.33</v>
      </c>
      <c r="N248" s="79"/>
      <c r="O248" s="79">
        <v>250</v>
      </c>
      <c r="P248" s="79">
        <v>833.33</v>
      </c>
      <c r="Q248" s="79"/>
      <c r="R248" s="79">
        <v>4370</v>
      </c>
      <c r="S248" s="79">
        <v>833.33</v>
      </c>
      <c r="T248" s="80">
        <f>+C248+F248+I248+L248+O248+R248</f>
        <v>9278.61</v>
      </c>
      <c r="U248" s="80">
        <f>+D248+G248+J248+M248+P248+S248</f>
        <v>5000.0200000000004</v>
      </c>
      <c r="V248" s="79"/>
      <c r="W248" s="76">
        <v>10000</v>
      </c>
      <c r="X248" s="64"/>
      <c r="Y248" s="76">
        <f>+W248</f>
        <v>10000</v>
      </c>
      <c r="Z248" s="76"/>
      <c r="AA248" s="62"/>
    </row>
    <row r="249" spans="1:27" x14ac:dyDescent="0.2">
      <c r="A249" s="82" t="s">
        <v>160</v>
      </c>
      <c r="B249" s="81" t="s">
        <v>159</v>
      </c>
      <c r="C249" s="79">
        <v>680.17</v>
      </c>
      <c r="D249" s="79">
        <v>83.35</v>
      </c>
      <c r="E249" s="79"/>
      <c r="F249" s="79"/>
      <c r="G249" s="79">
        <v>83.35</v>
      </c>
      <c r="H249" s="79"/>
      <c r="I249" s="79"/>
      <c r="J249" s="79">
        <v>83.33</v>
      </c>
      <c r="K249" s="79"/>
      <c r="L249" s="79">
        <v>450</v>
      </c>
      <c r="M249" s="79">
        <v>83.33</v>
      </c>
      <c r="N249" s="79"/>
      <c r="O249" s="79"/>
      <c r="P249" s="79">
        <v>83.33</v>
      </c>
      <c r="Q249" s="79"/>
      <c r="R249" s="79">
        <v>450</v>
      </c>
      <c r="S249" s="79">
        <v>83.33</v>
      </c>
      <c r="T249" s="80">
        <f>+C249+F249+I249+L249+O249+R249</f>
        <v>1580.17</v>
      </c>
      <c r="U249" s="80">
        <f>+D249+G249+J249+M249+P249+S249</f>
        <v>500.01999999999992</v>
      </c>
      <c r="V249" s="79"/>
      <c r="W249" s="76">
        <v>1000</v>
      </c>
      <c r="X249" s="64"/>
      <c r="Y249" s="76">
        <f>+W249</f>
        <v>1000</v>
      </c>
      <c r="Z249" s="76"/>
      <c r="AA249" s="62"/>
    </row>
    <row r="250" spans="1:27" x14ac:dyDescent="0.2">
      <c r="A250" s="82" t="s">
        <v>158</v>
      </c>
      <c r="B250" s="81" t="s">
        <v>76</v>
      </c>
      <c r="C250" s="79"/>
      <c r="D250" s="79">
        <v>26250</v>
      </c>
      <c r="E250" s="79"/>
      <c r="F250" s="79">
        <v>546.96</v>
      </c>
      <c r="G250" s="79">
        <v>26250</v>
      </c>
      <c r="H250" s="79"/>
      <c r="I250" s="79">
        <v>2762.87</v>
      </c>
      <c r="J250" s="79">
        <v>26250</v>
      </c>
      <c r="K250" s="79"/>
      <c r="L250" s="79">
        <v>2465</v>
      </c>
      <c r="M250" s="79">
        <v>26250</v>
      </c>
      <c r="N250" s="79"/>
      <c r="O250" s="79">
        <v>4299.17</v>
      </c>
      <c r="P250" s="79">
        <v>26250</v>
      </c>
      <c r="Q250" s="79"/>
      <c r="R250" s="79">
        <v>10385.52</v>
      </c>
      <c r="S250" s="79">
        <v>26250</v>
      </c>
      <c r="T250" s="80">
        <f>+C250+F250+I250+L250+O250+R250</f>
        <v>20459.52</v>
      </c>
      <c r="U250" s="80">
        <f>+D250+G250+J250+M250+P250+S250</f>
        <v>157500</v>
      </c>
      <c r="V250" s="79"/>
      <c r="W250" s="76">
        <v>315000</v>
      </c>
      <c r="X250" s="64"/>
      <c r="Y250" s="76">
        <v>0</v>
      </c>
      <c r="Z250" s="76">
        <f>+W250</f>
        <v>315000</v>
      </c>
      <c r="AA250" s="62"/>
    </row>
    <row r="251" spans="1:27" x14ac:dyDescent="0.2">
      <c r="A251" s="82">
        <v>6032050</v>
      </c>
      <c r="B251" s="81" t="s">
        <v>75</v>
      </c>
      <c r="C251" s="79">
        <v>7947</v>
      </c>
      <c r="D251" s="79"/>
      <c r="E251" s="79"/>
      <c r="F251" s="79">
        <v>65100.7</v>
      </c>
      <c r="G251" s="79"/>
      <c r="H251" s="79"/>
      <c r="I251" s="79">
        <v>22277.52</v>
      </c>
      <c r="J251" s="79"/>
      <c r="K251" s="79"/>
      <c r="L251" s="79">
        <v>16791</v>
      </c>
      <c r="M251" s="79"/>
      <c r="N251" s="79"/>
      <c r="O251" s="79">
        <v>78301.240000000005</v>
      </c>
      <c r="P251" s="79"/>
      <c r="Q251" s="79"/>
      <c r="R251" s="79">
        <v>76680.88</v>
      </c>
      <c r="S251" s="79">
        <v>0</v>
      </c>
      <c r="T251" s="80">
        <f>+C251+F251+I251+L251+O251+R251</f>
        <v>267098.34000000003</v>
      </c>
      <c r="U251" s="80">
        <f>+D251+G251+J251+M251+P251+S251</f>
        <v>0</v>
      </c>
      <c r="V251" s="79"/>
      <c r="W251" s="76"/>
      <c r="X251" s="64"/>
      <c r="Y251" s="76">
        <f>+W251</f>
        <v>0</v>
      </c>
      <c r="Z251" s="76"/>
      <c r="AA251" s="62"/>
    </row>
    <row r="252" spans="1:27" x14ac:dyDescent="0.2">
      <c r="A252" s="78"/>
      <c r="B252" s="77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64"/>
      <c r="Y252" s="76"/>
      <c r="Z252" s="76"/>
      <c r="AA252" s="62"/>
    </row>
    <row r="253" spans="1:27" x14ac:dyDescent="0.2">
      <c r="A253" s="75" t="s">
        <v>74</v>
      </c>
      <c r="B253" s="74" t="s">
        <v>157</v>
      </c>
      <c r="C253" s="73">
        <f>SUM(C213:C252)</f>
        <v>198240.94</v>
      </c>
      <c r="D253" s="73">
        <f>SUM(D213:D252)</f>
        <v>251978.13</v>
      </c>
      <c r="E253" s="70"/>
      <c r="F253" s="73">
        <f>SUM(F213:F252)</f>
        <v>338273.22000000003</v>
      </c>
      <c r="G253" s="73">
        <f>SUM(G213:G252)</f>
        <v>258708.14</v>
      </c>
      <c r="H253" s="70"/>
      <c r="I253" s="73">
        <f>SUM(I213:I252)</f>
        <v>265774.19999999995</v>
      </c>
      <c r="J253" s="73">
        <f>SUM(J213:J252)</f>
        <v>269757.16000000003</v>
      </c>
      <c r="K253" s="70"/>
      <c r="L253" s="73">
        <f>SUM(L213:L252)</f>
        <v>320420.97000000003</v>
      </c>
      <c r="M253" s="73">
        <f>SUM(M213:M252)</f>
        <v>269732.16000000003</v>
      </c>
      <c r="N253" s="70"/>
      <c r="O253" s="73">
        <f>SUM(O213:O252)</f>
        <v>428235.99999999994</v>
      </c>
      <c r="P253" s="73">
        <f>SUM(P213:P252)</f>
        <v>352040.68</v>
      </c>
      <c r="Q253" s="70"/>
      <c r="R253" s="73">
        <f>SUM(R213:R252)</f>
        <v>357651.89000000007</v>
      </c>
      <c r="S253" s="73">
        <f>SUM(S213:S252)</f>
        <v>269732.15999999997</v>
      </c>
      <c r="T253" s="73">
        <f>SUM(T213:T252)</f>
        <v>1908597.2200000004</v>
      </c>
      <c r="U253" s="73">
        <f>SUM(U213:U252)</f>
        <v>1671948.43</v>
      </c>
      <c r="V253" s="70"/>
      <c r="W253" s="73">
        <f>SUM(W213:W252)</f>
        <v>3155324.91</v>
      </c>
      <c r="X253" s="64"/>
      <c r="Y253" s="73">
        <f>SUM(Y213:Y252)</f>
        <v>2840324.91</v>
      </c>
      <c r="Z253" s="73">
        <f>SUM(Z213:Z252)</f>
        <v>315000</v>
      </c>
      <c r="AA253" s="62"/>
    </row>
    <row r="254" spans="1:27" x14ac:dyDescent="0.2"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4"/>
      <c r="Y254" s="61"/>
      <c r="Z254" s="68"/>
      <c r="AA254" s="62"/>
    </row>
    <row r="255" spans="1:27" x14ac:dyDescent="0.2">
      <c r="A255" s="85" t="s">
        <v>156</v>
      </c>
      <c r="B255" s="84" t="s">
        <v>155</v>
      </c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61"/>
      <c r="X255" s="64"/>
      <c r="Y255" s="61"/>
      <c r="Z255" s="68"/>
      <c r="AA255" s="62"/>
    </row>
    <row r="256" spans="1:27" x14ac:dyDescent="0.2">
      <c r="A256" s="82" t="s">
        <v>154</v>
      </c>
      <c r="B256" s="81" t="s">
        <v>153</v>
      </c>
      <c r="C256" s="79">
        <v>6170.83</v>
      </c>
      <c r="D256" s="79">
        <v>625</v>
      </c>
      <c r="E256" s="79"/>
      <c r="F256" s="79">
        <v>147.19999999999999</v>
      </c>
      <c r="G256" s="79">
        <v>625</v>
      </c>
      <c r="H256" s="79"/>
      <c r="I256" s="79">
        <v>165.61</v>
      </c>
      <c r="J256" s="79">
        <v>625</v>
      </c>
      <c r="K256" s="79"/>
      <c r="L256" s="79">
        <v>134.75</v>
      </c>
      <c r="M256" s="79">
        <v>625</v>
      </c>
      <c r="N256" s="79"/>
      <c r="O256" s="79">
        <v>141.78</v>
      </c>
      <c r="P256" s="79">
        <v>625</v>
      </c>
      <c r="Q256" s="79"/>
      <c r="R256" s="79">
        <v>85.46</v>
      </c>
      <c r="S256" s="79">
        <v>625</v>
      </c>
      <c r="T256" s="80">
        <f>+C256+F256+I256+L256+O256+R256</f>
        <v>6845.6299999999992</v>
      </c>
      <c r="U256" s="80">
        <f>+D256+G256+J256+M256+P256+S256</f>
        <v>3750</v>
      </c>
      <c r="V256" s="79"/>
      <c r="W256" s="76">
        <v>7500</v>
      </c>
      <c r="X256" s="64"/>
      <c r="Y256" s="76">
        <f>+W256</f>
        <v>7500</v>
      </c>
      <c r="Z256" s="76"/>
      <c r="AA256" s="62"/>
    </row>
    <row r="257" spans="1:28" x14ac:dyDescent="0.2">
      <c r="A257" s="82" t="s">
        <v>152</v>
      </c>
      <c r="B257" s="81" t="s">
        <v>151</v>
      </c>
      <c r="C257" s="79">
        <v>4682.34</v>
      </c>
      <c r="D257" s="79">
        <v>5833.34</v>
      </c>
      <c r="E257" s="79"/>
      <c r="F257" s="79">
        <v>3180.82</v>
      </c>
      <c r="G257" s="79">
        <v>5833.34</v>
      </c>
      <c r="H257" s="79"/>
      <c r="I257" s="79">
        <v>1200.75</v>
      </c>
      <c r="J257" s="79">
        <v>5833.34</v>
      </c>
      <c r="K257" s="79"/>
      <c r="L257" s="79">
        <v>15099.16</v>
      </c>
      <c r="M257" s="79">
        <v>5833.34</v>
      </c>
      <c r="N257" s="79"/>
      <c r="O257" s="79">
        <v>1334.85</v>
      </c>
      <c r="P257" s="79">
        <v>5833.33</v>
      </c>
      <c r="Q257" s="79"/>
      <c r="R257" s="79">
        <v>15553.31</v>
      </c>
      <c r="S257" s="79">
        <v>5833.33</v>
      </c>
      <c r="T257" s="80">
        <f>+C257+F257+I257+L257+O257+R257</f>
        <v>41051.229999999996</v>
      </c>
      <c r="U257" s="80">
        <f>+D257+G257+J257+M257+P257+S257</f>
        <v>35000.020000000004</v>
      </c>
      <c r="V257" s="79"/>
      <c r="W257" s="76">
        <v>70000</v>
      </c>
      <c r="X257" s="64"/>
      <c r="Y257" s="76">
        <f>+W257</f>
        <v>70000</v>
      </c>
      <c r="Z257" s="76"/>
      <c r="AA257" s="62"/>
    </row>
    <row r="258" spans="1:28" x14ac:dyDescent="0.2">
      <c r="A258" s="82" t="s">
        <v>150</v>
      </c>
      <c r="B258" s="81" t="s">
        <v>149</v>
      </c>
      <c r="C258" s="79">
        <v>923.31</v>
      </c>
      <c r="D258" s="79">
        <v>1666.66</v>
      </c>
      <c r="E258" s="79"/>
      <c r="F258" s="79">
        <v>1313.3</v>
      </c>
      <c r="G258" s="79">
        <v>1666.66</v>
      </c>
      <c r="H258" s="79"/>
      <c r="I258" s="79">
        <v>1231.52</v>
      </c>
      <c r="J258" s="79">
        <v>1666.66</v>
      </c>
      <c r="K258" s="79"/>
      <c r="L258" s="79">
        <v>2181.81</v>
      </c>
      <c r="M258" s="79">
        <v>1666.66</v>
      </c>
      <c r="N258" s="79"/>
      <c r="O258" s="79">
        <v>1289.77</v>
      </c>
      <c r="P258" s="79">
        <v>1666.67</v>
      </c>
      <c r="Q258" s="79"/>
      <c r="R258" s="79">
        <v>1518.15</v>
      </c>
      <c r="S258" s="79">
        <v>1666.67</v>
      </c>
      <c r="T258" s="80">
        <f>+C258+F258+I258+L258+O258+R258</f>
        <v>8457.8599999999988</v>
      </c>
      <c r="U258" s="80">
        <f>+D258+G258+J258+M258+P258+S258</f>
        <v>9999.9800000000014</v>
      </c>
      <c r="V258" s="79"/>
      <c r="W258" s="76">
        <v>20000</v>
      </c>
      <c r="X258" s="64"/>
      <c r="Y258" s="76">
        <f>+W258</f>
        <v>20000</v>
      </c>
      <c r="Z258" s="76"/>
      <c r="AA258" s="62"/>
    </row>
    <row r="259" spans="1:28" x14ac:dyDescent="0.2">
      <c r="A259" s="82" t="s">
        <v>148</v>
      </c>
      <c r="B259" s="81" t="s">
        <v>147</v>
      </c>
      <c r="C259" s="79">
        <v>4275.2700000000004</v>
      </c>
      <c r="D259" s="79">
        <v>833.34</v>
      </c>
      <c r="E259" s="79"/>
      <c r="F259" s="79">
        <v>2560.15</v>
      </c>
      <c r="G259" s="79">
        <v>833.34</v>
      </c>
      <c r="H259" s="79"/>
      <c r="I259" s="79">
        <v>1536.1</v>
      </c>
      <c r="J259" s="79">
        <v>833.34</v>
      </c>
      <c r="K259" s="79"/>
      <c r="L259" s="79">
        <v>186</v>
      </c>
      <c r="M259" s="79">
        <v>833.34</v>
      </c>
      <c r="N259" s="79"/>
      <c r="O259" s="79">
        <v>198</v>
      </c>
      <c r="P259" s="79">
        <v>833.33</v>
      </c>
      <c r="Q259" s="79"/>
      <c r="R259" s="79">
        <v>603</v>
      </c>
      <c r="S259" s="79">
        <v>833.33</v>
      </c>
      <c r="T259" s="80">
        <f>+C259+F259+I259+L259+O259+R259</f>
        <v>9358.52</v>
      </c>
      <c r="U259" s="80">
        <f>+D259+G259+J259+M259+P259+S259</f>
        <v>5000.0200000000004</v>
      </c>
      <c r="V259" s="79"/>
      <c r="W259" s="76">
        <v>10000</v>
      </c>
      <c r="X259" s="64"/>
      <c r="Y259" s="76">
        <f>+W259</f>
        <v>10000</v>
      </c>
      <c r="Z259" s="76"/>
      <c r="AA259" s="62"/>
    </row>
    <row r="260" spans="1:28" x14ac:dyDescent="0.2">
      <c r="A260" s="82" t="s">
        <v>146</v>
      </c>
      <c r="B260" s="81" t="s">
        <v>145</v>
      </c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>
        <v>0</v>
      </c>
      <c r="S260" s="79">
        <v>0</v>
      </c>
      <c r="T260" s="80">
        <f>+C260+F260+I260+L260+O260+R260</f>
        <v>0</v>
      </c>
      <c r="U260" s="80">
        <f>+D260+G260+J260+M260+P260+S260</f>
        <v>0</v>
      </c>
      <c r="V260" s="79"/>
      <c r="W260" s="76"/>
      <c r="X260" s="64"/>
      <c r="Y260" s="76">
        <f>+W260</f>
        <v>0</v>
      </c>
      <c r="Z260" s="76"/>
      <c r="AA260" s="62"/>
    </row>
    <row r="261" spans="1:28" x14ac:dyDescent="0.2">
      <c r="A261" s="82" t="s">
        <v>144</v>
      </c>
      <c r="B261" s="81" t="s">
        <v>143</v>
      </c>
      <c r="C261" s="79">
        <v>138.03</v>
      </c>
      <c r="D261" s="79">
        <v>41.67</v>
      </c>
      <c r="E261" s="79"/>
      <c r="F261" s="79">
        <v>251.41</v>
      </c>
      <c r="G261" s="79">
        <v>41.67</v>
      </c>
      <c r="H261" s="79"/>
      <c r="I261" s="79">
        <v>469.7</v>
      </c>
      <c r="J261" s="79">
        <v>41.67</v>
      </c>
      <c r="K261" s="79"/>
      <c r="L261" s="79">
        <v>148.38999999999999</v>
      </c>
      <c r="M261" s="79">
        <v>41.67</v>
      </c>
      <c r="N261" s="79"/>
      <c r="O261" s="79">
        <v>185.48</v>
      </c>
      <c r="P261" s="79">
        <v>41.67</v>
      </c>
      <c r="Q261" s="79"/>
      <c r="R261" s="79">
        <v>141.1</v>
      </c>
      <c r="S261" s="79">
        <v>41.67</v>
      </c>
      <c r="T261" s="80">
        <f>+C261+F261+I261+L261+O261+R261</f>
        <v>1334.11</v>
      </c>
      <c r="U261" s="80">
        <f>+D261+G261+J261+M261+P261+S261</f>
        <v>250.02000000000004</v>
      </c>
      <c r="V261" s="79"/>
      <c r="W261" s="76">
        <v>2000500</v>
      </c>
      <c r="X261" s="64"/>
      <c r="Y261" s="76">
        <v>500</v>
      </c>
      <c r="Z261" s="76">
        <f>+W261-Y261</f>
        <v>2000000</v>
      </c>
      <c r="AA261" s="62"/>
    </row>
    <row r="262" spans="1:28" x14ac:dyDescent="0.2">
      <c r="A262" s="82">
        <v>6012750</v>
      </c>
      <c r="B262" s="81" t="s">
        <v>142</v>
      </c>
      <c r="C262" s="79"/>
      <c r="D262" s="79"/>
      <c r="E262" s="79"/>
      <c r="F262" s="79"/>
      <c r="G262" s="79"/>
      <c r="H262" s="79"/>
      <c r="I262" s="79"/>
      <c r="J262" s="79"/>
      <c r="K262" s="79"/>
      <c r="L262" s="79">
        <v>52900</v>
      </c>
      <c r="M262" s="79"/>
      <c r="N262" s="79"/>
      <c r="O262" s="79"/>
      <c r="P262" s="79"/>
      <c r="Q262" s="79"/>
      <c r="R262" s="79">
        <v>58258.13</v>
      </c>
      <c r="S262" s="79">
        <v>0</v>
      </c>
      <c r="T262" s="80">
        <f>+C262+F262+I262+L262+O262+R262</f>
        <v>111158.13</v>
      </c>
      <c r="U262" s="80">
        <f>+D262+G262+J262+M262+P262+S262</f>
        <v>0</v>
      </c>
      <c r="V262" s="79"/>
      <c r="W262" s="76"/>
      <c r="X262" s="64"/>
      <c r="Y262" s="76"/>
      <c r="Z262" s="76"/>
      <c r="AA262" s="62"/>
    </row>
    <row r="263" spans="1:28" x14ac:dyDescent="0.2">
      <c r="A263" s="82" t="s">
        <v>141</v>
      </c>
      <c r="B263" s="81" t="s">
        <v>140</v>
      </c>
      <c r="C263" s="79"/>
      <c r="D263" s="79">
        <v>25000</v>
      </c>
      <c r="E263" s="79"/>
      <c r="F263" s="79"/>
      <c r="G263" s="79">
        <v>25000</v>
      </c>
      <c r="H263" s="79"/>
      <c r="I263" s="79">
        <v>5778.77</v>
      </c>
      <c r="J263" s="79">
        <v>25000</v>
      </c>
      <c r="K263" s="79"/>
      <c r="L263" s="79"/>
      <c r="M263" s="79">
        <v>25000</v>
      </c>
      <c r="N263" s="79"/>
      <c r="O263" s="79">
        <v>775</v>
      </c>
      <c r="P263" s="79">
        <v>25000</v>
      </c>
      <c r="Q263" s="79"/>
      <c r="R263" s="79">
        <v>434.36</v>
      </c>
      <c r="S263" s="79">
        <v>25000</v>
      </c>
      <c r="T263" s="80">
        <f>+C263+F263+I263+L263+O263+R263</f>
        <v>6988.13</v>
      </c>
      <c r="U263" s="80">
        <f>+D263+G263+J263+M263+P263+S263</f>
        <v>150000</v>
      </c>
      <c r="V263" s="79"/>
      <c r="W263" s="76">
        <v>300000</v>
      </c>
      <c r="X263" s="64"/>
      <c r="Y263" s="76"/>
      <c r="Z263" s="76">
        <v>300000</v>
      </c>
      <c r="AA263" s="62"/>
    </row>
    <row r="264" spans="1:28" x14ac:dyDescent="0.2">
      <c r="A264" s="82"/>
      <c r="B264" s="81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6"/>
      <c r="X264" s="64"/>
      <c r="Y264" s="76"/>
      <c r="Z264" s="76"/>
      <c r="AA264" s="62"/>
    </row>
    <row r="265" spans="1:28" x14ac:dyDescent="0.2">
      <c r="A265" s="89"/>
      <c r="B265" s="88" t="s">
        <v>139</v>
      </c>
      <c r="C265" s="86">
        <f>SUM(C256:C263)</f>
        <v>16189.78</v>
      </c>
      <c r="D265" s="86">
        <f>SUM(D256:D263)</f>
        <v>34000.01</v>
      </c>
      <c r="E265" s="70"/>
      <c r="F265" s="86">
        <f>SUM(F256:F263)</f>
        <v>7452.8799999999992</v>
      </c>
      <c r="G265" s="86">
        <f>SUM(G256:G263)</f>
        <v>34000.01</v>
      </c>
      <c r="H265" s="70"/>
      <c r="I265" s="86">
        <f>SUM(I256:I263)</f>
        <v>10382.450000000001</v>
      </c>
      <c r="J265" s="86">
        <f>SUM(J256:J263)</f>
        <v>34000.01</v>
      </c>
      <c r="K265" s="70"/>
      <c r="L265" s="86">
        <f>SUM(L256:L263)</f>
        <v>70650.11</v>
      </c>
      <c r="M265" s="86">
        <f>SUM(M256:M263)</f>
        <v>34000.01</v>
      </c>
      <c r="N265" s="70"/>
      <c r="O265" s="86">
        <f>SUM(O256:O263)</f>
        <v>3924.8799999999997</v>
      </c>
      <c r="P265" s="86">
        <f>SUM(P256:P263)</f>
        <v>34000</v>
      </c>
      <c r="Q265" s="70"/>
      <c r="R265" s="86">
        <f>SUM(R256:R263)</f>
        <v>76593.509999999995</v>
      </c>
      <c r="S265" s="86">
        <f>SUM(S256:S263)</f>
        <v>34000</v>
      </c>
      <c r="T265" s="86">
        <f>SUM(T256:T263)</f>
        <v>185193.61</v>
      </c>
      <c r="U265" s="86">
        <f>SUM(U256:U263)</f>
        <v>204000.04</v>
      </c>
      <c r="V265" s="70"/>
      <c r="W265" s="86">
        <f>SUM(W256:W263)</f>
        <v>2408000</v>
      </c>
      <c r="X265" s="87"/>
      <c r="Y265" s="86">
        <f>SUM(Y256:Y263)</f>
        <v>108000</v>
      </c>
      <c r="Z265" s="86">
        <f>SUM(Z256:Z263)</f>
        <v>2300000</v>
      </c>
      <c r="AA265" s="62"/>
    </row>
    <row r="266" spans="1:28" x14ac:dyDescent="0.2">
      <c r="A266" s="89"/>
      <c r="B266" s="88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90"/>
      <c r="X266" s="91"/>
      <c r="Y266" s="90"/>
      <c r="Z266" s="90"/>
      <c r="AA266" s="62"/>
    </row>
    <row r="267" spans="1:28" x14ac:dyDescent="0.2">
      <c r="A267" s="82" t="s">
        <v>138</v>
      </c>
      <c r="B267" s="81" t="s">
        <v>116</v>
      </c>
      <c r="C267" s="79">
        <v>5047.51</v>
      </c>
      <c r="D267" s="79">
        <v>7969.15</v>
      </c>
      <c r="E267" s="79"/>
      <c r="F267" s="79">
        <v>9124.18</v>
      </c>
      <c r="G267" s="79">
        <v>7969.15</v>
      </c>
      <c r="H267" s="79"/>
      <c r="I267" s="79">
        <v>7656.1</v>
      </c>
      <c r="J267" s="79">
        <v>7969.15</v>
      </c>
      <c r="K267" s="79"/>
      <c r="L267" s="79">
        <v>8270.08</v>
      </c>
      <c r="M267" s="79">
        <v>7969.15</v>
      </c>
      <c r="N267" s="79"/>
      <c r="O267" s="79">
        <v>12757.05</v>
      </c>
      <c r="P267" s="79">
        <v>11953.75</v>
      </c>
      <c r="Q267" s="79"/>
      <c r="R267" s="79">
        <v>8700.65</v>
      </c>
      <c r="S267" s="79">
        <v>7969.15</v>
      </c>
      <c r="T267" s="80">
        <f>+C267+F267+I267+L267+O267+R267</f>
        <v>51555.57</v>
      </c>
      <c r="U267" s="80">
        <f>+D267+G267+J267+M267+P267+S267</f>
        <v>51799.5</v>
      </c>
      <c r="V267" s="79"/>
      <c r="W267" s="76">
        <v>103599</v>
      </c>
      <c r="X267" s="64"/>
      <c r="Y267" s="76">
        <f>+W267</f>
        <v>103599</v>
      </c>
      <c r="Z267" s="76"/>
      <c r="AA267" s="62"/>
    </row>
    <row r="268" spans="1:28" x14ac:dyDescent="0.2">
      <c r="A268" s="82" t="s">
        <v>137</v>
      </c>
      <c r="B268" s="81" t="s">
        <v>114</v>
      </c>
      <c r="C268" s="79">
        <v>621.77</v>
      </c>
      <c r="D268" s="79">
        <v>637.54</v>
      </c>
      <c r="E268" s="79"/>
      <c r="F268" s="79">
        <v>630.62</v>
      </c>
      <c r="G268" s="79">
        <v>637.54</v>
      </c>
      <c r="H268" s="79"/>
      <c r="I268" s="79">
        <v>629.27</v>
      </c>
      <c r="J268" s="79">
        <v>637.54</v>
      </c>
      <c r="K268" s="79"/>
      <c r="L268" s="79">
        <v>628.79</v>
      </c>
      <c r="M268" s="79">
        <v>637.54</v>
      </c>
      <c r="N268" s="79"/>
      <c r="O268" s="79">
        <v>944.63</v>
      </c>
      <c r="P268" s="79">
        <v>956.3</v>
      </c>
      <c r="Q268" s="79"/>
      <c r="R268" s="79">
        <v>706.49</v>
      </c>
      <c r="S268" s="79">
        <v>637.54</v>
      </c>
      <c r="T268" s="80">
        <f>+C268+F268+I268+L268+O268+R268</f>
        <v>4161.57</v>
      </c>
      <c r="U268" s="80">
        <f>+D268+G268+J268+M268+P268+S268</f>
        <v>4144</v>
      </c>
      <c r="V268" s="79"/>
      <c r="W268" s="76">
        <v>8288</v>
      </c>
      <c r="X268" s="64"/>
      <c r="Y268" s="76">
        <f>+W268</f>
        <v>8288</v>
      </c>
      <c r="Z268" s="76"/>
      <c r="AA268" s="62"/>
    </row>
    <row r="269" spans="1:28" x14ac:dyDescent="0.2">
      <c r="A269" s="82" t="s">
        <v>136</v>
      </c>
      <c r="B269" s="81" t="s">
        <v>112</v>
      </c>
      <c r="C269" s="79">
        <v>3768.74</v>
      </c>
      <c r="D269" s="79">
        <v>4228.3500000000004</v>
      </c>
      <c r="E269" s="79"/>
      <c r="F269" s="79">
        <v>4015.97</v>
      </c>
      <c r="G269" s="79">
        <v>4228.3500000000004</v>
      </c>
      <c r="H269" s="79"/>
      <c r="I269" s="79">
        <v>4067.51</v>
      </c>
      <c r="J269" s="79">
        <v>4228.33</v>
      </c>
      <c r="K269" s="79"/>
      <c r="L269" s="79">
        <v>6328.95</v>
      </c>
      <c r="M269" s="79">
        <v>4228.33</v>
      </c>
      <c r="N269" s="79"/>
      <c r="O269" s="79">
        <v>6328.87</v>
      </c>
      <c r="P269" s="79">
        <v>4228.33</v>
      </c>
      <c r="Q269" s="79"/>
      <c r="R269" s="79">
        <v>6328.91</v>
      </c>
      <c r="S269" s="79">
        <v>4228.33</v>
      </c>
      <c r="T269" s="80">
        <f>+C269+F269+I269+L269+O269+R269</f>
        <v>30838.949999999997</v>
      </c>
      <c r="U269" s="80">
        <f>+D269+G269+J269+M269+P269+S269</f>
        <v>25370.020000000004</v>
      </c>
      <c r="V269" s="79"/>
      <c r="W269" s="76">
        <f>47666+2419+655</f>
        <v>50740</v>
      </c>
      <c r="X269" s="64"/>
      <c r="Y269" s="76">
        <f>+W269</f>
        <v>50740</v>
      </c>
      <c r="Z269" s="76"/>
      <c r="AA269" s="62"/>
    </row>
    <row r="270" spans="1:28" x14ac:dyDescent="0.2">
      <c r="A270" s="82" t="s">
        <v>135</v>
      </c>
      <c r="B270" s="81" t="s">
        <v>134</v>
      </c>
      <c r="C270" s="79">
        <v>134.71</v>
      </c>
      <c r="D270" s="79">
        <v>239.08</v>
      </c>
      <c r="E270" s="79"/>
      <c r="F270" s="79">
        <v>136.5</v>
      </c>
      <c r="G270" s="79">
        <v>239.08</v>
      </c>
      <c r="H270" s="79"/>
      <c r="I270" s="79">
        <v>137.05000000000001</v>
      </c>
      <c r="J270" s="79">
        <v>239.08</v>
      </c>
      <c r="K270" s="79"/>
      <c r="L270" s="79">
        <v>137.16999999999999</v>
      </c>
      <c r="M270" s="79">
        <v>239.08</v>
      </c>
      <c r="N270" s="79"/>
      <c r="O270" s="79">
        <v>199.71</v>
      </c>
      <c r="P270" s="79">
        <v>358.6</v>
      </c>
      <c r="Q270" s="79"/>
      <c r="R270" s="79">
        <v>136.43</v>
      </c>
      <c r="S270" s="79">
        <v>239.08</v>
      </c>
      <c r="T270" s="80">
        <f>+C270+F270+I270+L270+O270+R270</f>
        <v>881.57000000000016</v>
      </c>
      <c r="U270" s="80">
        <f>+D270+G270+J270+M270+P270+S270</f>
        <v>1554</v>
      </c>
      <c r="V270" s="79"/>
      <c r="W270" s="76">
        <v>3108</v>
      </c>
      <c r="X270" s="64"/>
      <c r="Y270" s="76">
        <f>+W270</f>
        <v>3108</v>
      </c>
      <c r="Z270" s="76"/>
      <c r="AA270" s="62"/>
    </row>
    <row r="271" spans="1:28" x14ac:dyDescent="0.2">
      <c r="A271" s="82" t="s">
        <v>133</v>
      </c>
      <c r="B271" s="81" t="s">
        <v>132</v>
      </c>
      <c r="C271" s="79"/>
      <c r="D271" s="79"/>
      <c r="E271" s="79"/>
      <c r="F271" s="79">
        <v>853.75</v>
      </c>
      <c r="G271" s="79">
        <v>1000</v>
      </c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>
        <v>0</v>
      </c>
      <c r="S271" s="79">
        <v>0</v>
      </c>
      <c r="T271" s="80">
        <f>+C271+F271+I271+L271+O271+R271</f>
        <v>853.75</v>
      </c>
      <c r="U271" s="80">
        <f>+D271+G271+J271+M271+P271+S271</f>
        <v>1000</v>
      </c>
      <c r="V271" s="79"/>
      <c r="W271" s="76">
        <v>1000</v>
      </c>
      <c r="X271" s="64"/>
      <c r="Y271" s="76">
        <f>+W271</f>
        <v>1000</v>
      </c>
      <c r="Z271" s="76"/>
      <c r="AA271" s="62"/>
    </row>
    <row r="272" spans="1:28" x14ac:dyDescent="0.2">
      <c r="A272" s="82" t="s">
        <v>131</v>
      </c>
      <c r="B272" s="81" t="s">
        <v>110</v>
      </c>
      <c r="C272" s="79">
        <v>282.69</v>
      </c>
      <c r="D272" s="79">
        <v>265.89999999999998</v>
      </c>
      <c r="E272" s="79"/>
      <c r="F272" s="79">
        <v>282.69</v>
      </c>
      <c r="G272" s="79">
        <v>265.89999999999998</v>
      </c>
      <c r="H272" s="79"/>
      <c r="I272" s="79">
        <v>282.69</v>
      </c>
      <c r="J272" s="79">
        <v>265.92</v>
      </c>
      <c r="K272" s="79"/>
      <c r="L272" s="79">
        <v>282.69</v>
      </c>
      <c r="M272" s="79">
        <v>265.92</v>
      </c>
      <c r="N272" s="79"/>
      <c r="O272" s="79">
        <v>282.69</v>
      </c>
      <c r="P272" s="79">
        <v>265.92</v>
      </c>
      <c r="Q272" s="79"/>
      <c r="R272" s="79">
        <v>260.14</v>
      </c>
      <c r="S272" s="79">
        <v>265.92</v>
      </c>
      <c r="T272" s="80">
        <f>+C272+F272+I272+L272+O272+R272</f>
        <v>1673.5900000000001</v>
      </c>
      <c r="U272" s="80">
        <f>+D272+G272+J272+M272+P272+S272</f>
        <v>1595.4800000000002</v>
      </c>
      <c r="V272" s="79"/>
      <c r="W272" s="76">
        <v>3191</v>
      </c>
      <c r="X272" s="64"/>
      <c r="Y272" s="76">
        <f>+W272</f>
        <v>3191</v>
      </c>
      <c r="Z272" s="76"/>
      <c r="AA272" s="62"/>
      <c r="AB272" s="62"/>
    </row>
    <row r="273" spans="1:27" x14ac:dyDescent="0.2">
      <c r="A273" s="82">
        <v>6040300</v>
      </c>
      <c r="B273" s="81" t="s">
        <v>109</v>
      </c>
      <c r="C273" s="79"/>
      <c r="D273" s="79"/>
      <c r="E273" s="79"/>
      <c r="F273" s="79">
        <v>1155.24</v>
      </c>
      <c r="G273" s="79">
        <v>1000</v>
      </c>
      <c r="H273" s="79"/>
      <c r="I273" s="79">
        <v>2309.58</v>
      </c>
      <c r="J273" s="79">
        <v>2000</v>
      </c>
      <c r="K273" s="79"/>
      <c r="L273" s="79">
        <v>1780.56</v>
      </c>
      <c r="M273" s="79">
        <v>2000</v>
      </c>
      <c r="N273" s="79"/>
      <c r="O273" s="79">
        <v>3106.5</v>
      </c>
      <c r="P273" s="79">
        <v>3000</v>
      </c>
      <c r="Q273" s="79"/>
      <c r="R273" s="79">
        <v>1801.62</v>
      </c>
      <c r="S273" s="79">
        <v>2000</v>
      </c>
      <c r="T273" s="80">
        <f>+C273+F273+I273+L273+O273+R273</f>
        <v>10153.5</v>
      </c>
      <c r="U273" s="80">
        <f>+D273+G273+J273+M273+P273+S273</f>
        <v>10000</v>
      </c>
      <c r="V273" s="79"/>
      <c r="W273" s="76">
        <v>10000</v>
      </c>
      <c r="X273" s="64"/>
      <c r="Y273" s="76">
        <f>+W273</f>
        <v>10000</v>
      </c>
      <c r="Z273" s="76"/>
      <c r="AA273" s="62"/>
    </row>
    <row r="274" spans="1:27" x14ac:dyDescent="0.2">
      <c r="A274" s="82">
        <v>6040310</v>
      </c>
      <c r="B274" s="81" t="s">
        <v>108</v>
      </c>
      <c r="C274" s="79"/>
      <c r="D274" s="79"/>
      <c r="E274" s="79"/>
      <c r="F274" s="79">
        <v>102.23</v>
      </c>
      <c r="G274" s="79">
        <v>90</v>
      </c>
      <c r="H274" s="79"/>
      <c r="I274" s="79">
        <v>202.5</v>
      </c>
      <c r="J274" s="79">
        <v>180</v>
      </c>
      <c r="K274" s="79"/>
      <c r="L274" s="79">
        <v>157.57</v>
      </c>
      <c r="M274" s="79">
        <v>180</v>
      </c>
      <c r="N274" s="79"/>
      <c r="O274" s="79">
        <v>274.93</v>
      </c>
      <c r="P274" s="79">
        <v>270</v>
      </c>
      <c r="Q274" s="79"/>
      <c r="R274" s="79">
        <v>147.22999999999999</v>
      </c>
      <c r="S274" s="79">
        <v>180</v>
      </c>
      <c r="T274" s="80">
        <f>+C274+F274+I274+L274+O274+R274</f>
        <v>884.46</v>
      </c>
      <c r="U274" s="80">
        <f>+D274+G274+J274+M274+P274+S274</f>
        <v>900</v>
      </c>
      <c r="V274" s="79"/>
      <c r="W274" s="76">
        <v>900</v>
      </c>
      <c r="X274" s="64"/>
      <c r="Y274" s="76">
        <f>+W274</f>
        <v>900</v>
      </c>
      <c r="Z274" s="76"/>
      <c r="AA274" s="62"/>
    </row>
    <row r="275" spans="1:27" x14ac:dyDescent="0.2">
      <c r="A275" s="82">
        <v>6040350</v>
      </c>
      <c r="B275" s="81" t="s">
        <v>105</v>
      </c>
      <c r="C275" s="79">
        <v>40.659999999999997</v>
      </c>
      <c r="D275" s="79"/>
      <c r="E275" s="79"/>
      <c r="F275" s="79">
        <v>40.659999999999997</v>
      </c>
      <c r="G275" s="79"/>
      <c r="H275" s="79"/>
      <c r="I275" s="79">
        <v>40.659999999999997</v>
      </c>
      <c r="J275" s="79"/>
      <c r="K275" s="79"/>
      <c r="L275" s="79">
        <v>40.659999999999997</v>
      </c>
      <c r="M275" s="79"/>
      <c r="N275" s="79"/>
      <c r="O275" s="79">
        <v>40.659999999999997</v>
      </c>
      <c r="P275" s="79"/>
      <c r="Q275" s="79"/>
      <c r="R275" s="79">
        <v>1.3</v>
      </c>
      <c r="S275" s="79">
        <v>0</v>
      </c>
      <c r="T275" s="80">
        <f>+C275+F275+I275+L275+O275+R275</f>
        <v>204.6</v>
      </c>
      <c r="U275" s="80">
        <f>+D275+G275+J275+M275+P275+S275</f>
        <v>0</v>
      </c>
      <c r="V275" s="79"/>
      <c r="W275" s="76"/>
      <c r="X275" s="64"/>
      <c r="Y275" s="76"/>
      <c r="Z275" s="76"/>
      <c r="AA275" s="62"/>
    </row>
    <row r="276" spans="1:27" x14ac:dyDescent="0.2">
      <c r="A276" s="82" t="s">
        <v>130</v>
      </c>
      <c r="B276" s="81" t="s">
        <v>103</v>
      </c>
      <c r="C276" s="79">
        <v>347.52</v>
      </c>
      <c r="D276" s="79">
        <v>208.35</v>
      </c>
      <c r="E276" s="79"/>
      <c r="F276" s="79">
        <v>315.26</v>
      </c>
      <c r="G276" s="79">
        <v>208.35</v>
      </c>
      <c r="H276" s="79"/>
      <c r="I276" s="79">
        <v>268.7</v>
      </c>
      <c r="J276" s="79">
        <v>208.33</v>
      </c>
      <c r="K276" s="79"/>
      <c r="L276" s="79">
        <v>433.98</v>
      </c>
      <c r="M276" s="79">
        <v>208.33</v>
      </c>
      <c r="N276" s="79"/>
      <c r="O276" s="79">
        <v>40.270000000000003</v>
      </c>
      <c r="P276" s="79">
        <v>208.33</v>
      </c>
      <c r="Q276" s="79"/>
      <c r="R276" s="79">
        <v>223.4</v>
      </c>
      <c r="S276" s="79">
        <v>208.33</v>
      </c>
      <c r="T276" s="80">
        <f>+C276+F276+I276+L276+O276+R276</f>
        <v>1629.13</v>
      </c>
      <c r="U276" s="80">
        <f>+D276+G276+J276+M276+P276+S276</f>
        <v>1250.02</v>
      </c>
      <c r="V276" s="79"/>
      <c r="W276" s="76">
        <v>2500</v>
      </c>
      <c r="X276" s="64"/>
      <c r="Y276" s="76">
        <f>+W276</f>
        <v>2500</v>
      </c>
      <c r="Z276" s="76"/>
      <c r="AA276" s="62"/>
    </row>
    <row r="277" spans="1:27" x14ac:dyDescent="0.2">
      <c r="A277" s="82" t="s">
        <v>129</v>
      </c>
      <c r="B277" s="81" t="s">
        <v>99</v>
      </c>
      <c r="C277" s="79"/>
      <c r="D277" s="79">
        <v>83.35</v>
      </c>
      <c r="E277" s="79"/>
      <c r="F277" s="79"/>
      <c r="G277" s="79">
        <v>83.35</v>
      </c>
      <c r="H277" s="79"/>
      <c r="I277" s="79"/>
      <c r="J277" s="79">
        <v>83.33</v>
      </c>
      <c r="K277" s="79"/>
      <c r="L277" s="79"/>
      <c r="M277" s="79">
        <v>83.33</v>
      </c>
      <c r="N277" s="79"/>
      <c r="O277" s="79">
        <v>3000</v>
      </c>
      <c r="P277" s="79">
        <v>83.33</v>
      </c>
      <c r="Q277" s="79"/>
      <c r="R277" s="79">
        <v>0</v>
      </c>
      <c r="S277" s="79">
        <v>83.33</v>
      </c>
      <c r="T277" s="80">
        <f>+C277+F277+I277+L277+O277+R277</f>
        <v>3000</v>
      </c>
      <c r="U277" s="80">
        <f>+D277+G277+J277+M277+P277+S277</f>
        <v>500.01999999999992</v>
      </c>
      <c r="V277" s="79"/>
      <c r="W277" s="76">
        <v>1000</v>
      </c>
      <c r="X277" s="64"/>
      <c r="Y277" s="76">
        <f>+W277</f>
        <v>1000</v>
      </c>
      <c r="Z277" s="76"/>
      <c r="AA277" s="62"/>
    </row>
    <row r="278" spans="1:27" x14ac:dyDescent="0.2">
      <c r="A278" s="82" t="s">
        <v>128</v>
      </c>
      <c r="B278" s="81" t="s">
        <v>95</v>
      </c>
      <c r="C278" s="79">
        <v>964.71</v>
      </c>
      <c r="D278" s="79">
        <v>666.65</v>
      </c>
      <c r="E278" s="79"/>
      <c r="F278" s="79">
        <v>630.66999999999996</v>
      </c>
      <c r="G278" s="79">
        <v>666.65</v>
      </c>
      <c r="H278" s="79"/>
      <c r="I278" s="79">
        <v>506.24</v>
      </c>
      <c r="J278" s="79">
        <v>666.67</v>
      </c>
      <c r="K278" s="79"/>
      <c r="L278" s="79">
        <v>708.9</v>
      </c>
      <c r="M278" s="79">
        <v>666.67</v>
      </c>
      <c r="N278" s="79"/>
      <c r="O278" s="79">
        <v>671.55</v>
      </c>
      <c r="P278" s="79">
        <v>666.67</v>
      </c>
      <c r="Q278" s="79"/>
      <c r="R278" s="79">
        <v>415.23</v>
      </c>
      <c r="S278" s="79">
        <v>666.67</v>
      </c>
      <c r="T278" s="80">
        <f>+C278+F278+I278+L278+O278+R278</f>
        <v>3897.2999999999997</v>
      </c>
      <c r="U278" s="80">
        <f>+D278+G278+J278+M278+P278+S278</f>
        <v>3999.98</v>
      </c>
      <c r="V278" s="79"/>
      <c r="W278" s="76">
        <v>8000</v>
      </c>
      <c r="X278" s="64"/>
      <c r="Y278" s="76">
        <f>+W278</f>
        <v>8000</v>
      </c>
      <c r="Z278" s="76"/>
      <c r="AA278" s="62"/>
    </row>
    <row r="279" spans="1:27" x14ac:dyDescent="0.2">
      <c r="A279" s="82" t="s">
        <v>127</v>
      </c>
      <c r="B279" s="81" t="s">
        <v>126</v>
      </c>
      <c r="C279" s="79">
        <v>153.06</v>
      </c>
      <c r="D279" s="79">
        <v>208.35</v>
      </c>
      <c r="E279" s="79"/>
      <c r="F279" s="79"/>
      <c r="G279" s="79">
        <v>208.35</v>
      </c>
      <c r="H279" s="79"/>
      <c r="I279" s="79">
        <v>21.99</v>
      </c>
      <c r="J279" s="79">
        <v>208.33</v>
      </c>
      <c r="K279" s="79"/>
      <c r="L279" s="79"/>
      <c r="M279" s="79">
        <v>208.33</v>
      </c>
      <c r="N279" s="79"/>
      <c r="O279" s="79">
        <v>157.47</v>
      </c>
      <c r="P279" s="79">
        <v>208.33</v>
      </c>
      <c r="Q279" s="79"/>
      <c r="R279" s="79">
        <v>0</v>
      </c>
      <c r="S279" s="79">
        <v>208.33</v>
      </c>
      <c r="T279" s="80">
        <f>+C279+F279+I279+L279+O279+R279</f>
        <v>332.52</v>
      </c>
      <c r="U279" s="80">
        <f>+D279+G279+J279+M279+P279+S279</f>
        <v>1250.02</v>
      </c>
      <c r="V279" s="79"/>
      <c r="W279" s="76">
        <v>2500</v>
      </c>
      <c r="X279" s="64"/>
      <c r="Y279" s="76">
        <f>+W279</f>
        <v>2500</v>
      </c>
      <c r="Z279" s="76"/>
      <c r="AA279" s="62"/>
    </row>
    <row r="280" spans="1:27" x14ac:dyDescent="0.2">
      <c r="A280" s="82" t="s">
        <v>125</v>
      </c>
      <c r="B280" s="81" t="s">
        <v>85</v>
      </c>
      <c r="C280" s="79">
        <v>591.32000000000005</v>
      </c>
      <c r="D280" s="79">
        <v>416.65</v>
      </c>
      <c r="E280" s="79"/>
      <c r="F280" s="79">
        <v>35.26</v>
      </c>
      <c r="G280" s="79">
        <v>416.65</v>
      </c>
      <c r="H280" s="79"/>
      <c r="I280" s="79">
        <v>244.36</v>
      </c>
      <c r="J280" s="79">
        <v>416.67</v>
      </c>
      <c r="K280" s="79"/>
      <c r="L280" s="79">
        <v>43.16</v>
      </c>
      <c r="M280" s="79">
        <v>416.67</v>
      </c>
      <c r="N280" s="79"/>
      <c r="O280" s="79">
        <v>771.19</v>
      </c>
      <c r="P280" s="79">
        <v>416.67</v>
      </c>
      <c r="Q280" s="79"/>
      <c r="R280" s="79">
        <v>1031.3900000000001</v>
      </c>
      <c r="S280" s="79">
        <v>416.67</v>
      </c>
      <c r="T280" s="80">
        <f>+C280+F280+I280+L280+O280+R280</f>
        <v>2716.6800000000003</v>
      </c>
      <c r="U280" s="80">
        <f>+D280+G280+J280+M280+P280+S280</f>
        <v>2499.98</v>
      </c>
      <c r="V280" s="79"/>
      <c r="W280" s="76">
        <v>5000</v>
      </c>
      <c r="X280" s="64"/>
      <c r="Y280" s="76">
        <f>+W280</f>
        <v>5000</v>
      </c>
      <c r="Z280" s="76"/>
      <c r="AA280" s="62"/>
    </row>
    <row r="281" spans="1:27" x14ac:dyDescent="0.2">
      <c r="A281" s="82" t="s">
        <v>124</v>
      </c>
      <c r="B281" s="81" t="s">
        <v>81</v>
      </c>
      <c r="C281" s="79"/>
      <c r="D281" s="79">
        <v>12.5</v>
      </c>
      <c r="E281" s="79"/>
      <c r="F281" s="79">
        <v>10.48</v>
      </c>
      <c r="G281" s="79">
        <v>12.5</v>
      </c>
      <c r="H281" s="79"/>
      <c r="I281" s="79">
        <v>25.76</v>
      </c>
      <c r="J281" s="79">
        <v>12.5</v>
      </c>
      <c r="K281" s="79"/>
      <c r="L281" s="79"/>
      <c r="M281" s="79">
        <v>12.5</v>
      </c>
      <c r="N281" s="79"/>
      <c r="O281" s="79"/>
      <c r="P281" s="79">
        <v>12.5</v>
      </c>
      <c r="Q281" s="79"/>
      <c r="R281" s="79">
        <v>0</v>
      </c>
      <c r="S281" s="79">
        <v>12.5</v>
      </c>
      <c r="T281" s="80">
        <f>+C281+F281+I281+L281+O281+R281</f>
        <v>36.24</v>
      </c>
      <c r="U281" s="80">
        <f>+D281+G281+J281+M281+P281+S281</f>
        <v>75</v>
      </c>
      <c r="V281" s="79"/>
      <c r="W281" s="76">
        <v>150</v>
      </c>
      <c r="X281" s="64"/>
      <c r="Y281" s="76">
        <f>+W281</f>
        <v>150</v>
      </c>
      <c r="Z281" s="76"/>
      <c r="AA281" s="62"/>
    </row>
    <row r="282" spans="1:27" x14ac:dyDescent="0.2">
      <c r="A282" s="82" t="s">
        <v>123</v>
      </c>
      <c r="B282" s="81" t="s">
        <v>77</v>
      </c>
      <c r="C282" s="79"/>
      <c r="D282" s="79">
        <v>208.35</v>
      </c>
      <c r="E282" s="79"/>
      <c r="F282" s="79"/>
      <c r="G282" s="79">
        <v>208.35</v>
      </c>
      <c r="H282" s="79"/>
      <c r="I282" s="79"/>
      <c r="J282" s="79">
        <v>208.33</v>
      </c>
      <c r="K282" s="79"/>
      <c r="L282" s="79"/>
      <c r="M282" s="79">
        <v>208.33</v>
      </c>
      <c r="N282" s="79"/>
      <c r="O282" s="79">
        <v>29.96</v>
      </c>
      <c r="P282" s="79">
        <v>208.33</v>
      </c>
      <c r="Q282" s="79"/>
      <c r="R282" s="79">
        <v>63.96</v>
      </c>
      <c r="S282" s="79">
        <v>208.33</v>
      </c>
      <c r="T282" s="80">
        <f>+C282+F282+I282+L282+O282+R282</f>
        <v>93.92</v>
      </c>
      <c r="U282" s="80">
        <f>+D282+G282+J282+M282+P282+S282</f>
        <v>1250.02</v>
      </c>
      <c r="V282" s="79"/>
      <c r="W282" s="76">
        <v>2500</v>
      </c>
      <c r="X282" s="64"/>
      <c r="Y282" s="76">
        <f>+W282</f>
        <v>2500</v>
      </c>
      <c r="Z282" s="76"/>
      <c r="AA282" s="62"/>
    </row>
    <row r="283" spans="1:27" x14ac:dyDescent="0.2">
      <c r="A283" s="82">
        <v>6042000</v>
      </c>
      <c r="B283" s="81" t="s">
        <v>122</v>
      </c>
      <c r="C283" s="79">
        <v>6046</v>
      </c>
      <c r="D283" s="79">
        <v>6000</v>
      </c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>
        <v>0</v>
      </c>
      <c r="S283" s="79">
        <v>0</v>
      </c>
      <c r="T283" s="80">
        <f>+C283+F283+I283+L283+O283+R283</f>
        <v>6046</v>
      </c>
      <c r="U283" s="80">
        <f>+D283+G283+J283+M283+P283+S283</f>
        <v>6000</v>
      </c>
      <c r="V283" s="79"/>
      <c r="W283" s="76">
        <v>6000</v>
      </c>
      <c r="X283" s="64"/>
      <c r="Y283" s="76">
        <v>0</v>
      </c>
      <c r="Z283" s="76">
        <f>+W283-Y283</f>
        <v>6000</v>
      </c>
      <c r="AA283" s="62"/>
    </row>
    <row r="284" spans="1:27" x14ac:dyDescent="0.2">
      <c r="A284" s="82">
        <v>6042050</v>
      </c>
      <c r="B284" s="81" t="s">
        <v>75</v>
      </c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80"/>
      <c r="U284" s="80"/>
      <c r="V284" s="79"/>
      <c r="W284" s="76"/>
      <c r="X284" s="64"/>
      <c r="Y284" s="76"/>
      <c r="Z284" s="76"/>
      <c r="AA284" s="62"/>
    </row>
    <row r="285" spans="1:27" x14ac:dyDescent="0.2">
      <c r="A285" s="82"/>
      <c r="B285" s="81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6"/>
      <c r="X285" s="64"/>
      <c r="Y285" s="76"/>
      <c r="Z285" s="76"/>
      <c r="AA285" s="62"/>
    </row>
    <row r="286" spans="1:27" x14ac:dyDescent="0.2">
      <c r="A286" s="89"/>
      <c r="B286" s="88" t="s">
        <v>121</v>
      </c>
      <c r="C286" s="86">
        <f>SUM(C267:C283)</f>
        <v>17998.690000000002</v>
      </c>
      <c r="D286" s="86">
        <f>SUM(D267:D283)</f>
        <v>21144.22</v>
      </c>
      <c r="E286" s="70"/>
      <c r="F286" s="86">
        <f>SUM(F267:F283)</f>
        <v>17333.509999999995</v>
      </c>
      <c r="G286" s="86">
        <f>SUM(G267:G283)</f>
        <v>17234.219999999998</v>
      </c>
      <c r="H286" s="70"/>
      <c r="I286" s="86">
        <f>SUM(I267:I283)</f>
        <v>16392.41</v>
      </c>
      <c r="J286" s="86">
        <f>SUM(J267:J283)</f>
        <v>17324.18</v>
      </c>
      <c r="K286" s="70"/>
      <c r="L286" s="86">
        <f>SUM(L267:L283)</f>
        <v>18812.510000000002</v>
      </c>
      <c r="M286" s="86">
        <f>SUM(M267:M283)</f>
        <v>17324.18</v>
      </c>
      <c r="N286" s="70"/>
      <c r="O286" s="86">
        <f>SUM(O267:O283)</f>
        <v>28605.479999999996</v>
      </c>
      <c r="P286" s="86">
        <f>SUM(P267:P283)</f>
        <v>22837.059999999998</v>
      </c>
      <c r="Q286" s="70"/>
      <c r="R286" s="86">
        <f>SUM(R267:R284)</f>
        <v>19816.749999999996</v>
      </c>
      <c r="S286" s="86">
        <f>SUM(S267:S284)</f>
        <v>17324.18</v>
      </c>
      <c r="T286" s="86">
        <f>SUM(T267:T283)</f>
        <v>118959.35000000003</v>
      </c>
      <c r="U286" s="86">
        <f>SUM(U267:U283)</f>
        <v>113188.04000000001</v>
      </c>
      <c r="V286" s="70"/>
      <c r="W286" s="86">
        <f>SUM(W267:W283)</f>
        <v>208476</v>
      </c>
      <c r="X286" s="87"/>
      <c r="Y286" s="86">
        <f>SUM(Y267:Y283)</f>
        <v>202476</v>
      </c>
      <c r="Z286" s="86">
        <f>SUM(Z267:Z283)</f>
        <v>6000</v>
      </c>
      <c r="AA286" s="62"/>
    </row>
    <row r="287" spans="1:27" x14ac:dyDescent="0.2">
      <c r="A287" s="78"/>
      <c r="B287" s="77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64"/>
      <c r="Y287" s="76"/>
      <c r="Z287" s="76"/>
      <c r="AA287" s="62"/>
    </row>
    <row r="288" spans="1:27" x14ac:dyDescent="0.2">
      <c r="A288" s="75" t="s">
        <v>74</v>
      </c>
      <c r="B288" s="74" t="s">
        <v>120</v>
      </c>
      <c r="C288" s="73">
        <f>C286+C265</f>
        <v>34188.47</v>
      </c>
      <c r="D288" s="73">
        <f>D286+D265</f>
        <v>55144.23</v>
      </c>
      <c r="E288" s="70"/>
      <c r="F288" s="73">
        <f>F286+F265</f>
        <v>24786.389999999992</v>
      </c>
      <c r="G288" s="73">
        <f>G286+G265</f>
        <v>51234.229999999996</v>
      </c>
      <c r="H288" s="70"/>
      <c r="I288" s="73">
        <f>I286+I265</f>
        <v>26774.86</v>
      </c>
      <c r="J288" s="73">
        <f>J286+J265</f>
        <v>51324.19</v>
      </c>
      <c r="K288" s="70"/>
      <c r="L288" s="73">
        <f>L286+L265</f>
        <v>89462.62</v>
      </c>
      <c r="M288" s="73">
        <f>M286+M265</f>
        <v>51324.19</v>
      </c>
      <c r="N288" s="70"/>
      <c r="O288" s="73">
        <f>O286+O265</f>
        <v>32530.359999999997</v>
      </c>
      <c r="P288" s="73">
        <f>P286+P265</f>
        <v>56837.06</v>
      </c>
      <c r="Q288" s="70"/>
      <c r="R288" s="73">
        <f>R286+R265</f>
        <v>96410.26</v>
      </c>
      <c r="S288" s="73">
        <f>S286+S265</f>
        <v>51324.18</v>
      </c>
      <c r="T288" s="73">
        <f>T286+T265</f>
        <v>304152.96000000002</v>
      </c>
      <c r="U288" s="73">
        <f>U286+U265</f>
        <v>317188.08</v>
      </c>
      <c r="V288" s="70"/>
      <c r="W288" s="73">
        <f>W286+W265</f>
        <v>2616476</v>
      </c>
      <c r="X288" s="64"/>
      <c r="Y288" s="73">
        <f>Y286+Y265</f>
        <v>310476</v>
      </c>
      <c r="Z288" s="73">
        <f>Z286+Z265</f>
        <v>2306000</v>
      </c>
      <c r="AA288" s="62"/>
    </row>
    <row r="289" spans="1:28" x14ac:dyDescent="0.2"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4"/>
      <c r="Y289" s="61"/>
      <c r="Z289" s="68"/>
      <c r="AA289" s="62"/>
    </row>
    <row r="290" spans="1:28" x14ac:dyDescent="0.2">
      <c r="A290" s="85" t="s">
        <v>119</v>
      </c>
      <c r="B290" s="84" t="s">
        <v>118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61"/>
      <c r="X290" s="64"/>
      <c r="Y290" s="61"/>
      <c r="Z290" s="68"/>
      <c r="AA290" s="62"/>
    </row>
    <row r="291" spans="1:28" x14ac:dyDescent="0.2">
      <c r="A291" s="82" t="s">
        <v>117</v>
      </c>
      <c r="B291" s="81" t="s">
        <v>116</v>
      </c>
      <c r="C291" s="79">
        <v>1890.74</v>
      </c>
      <c r="D291" s="79">
        <v>1923.08</v>
      </c>
      <c r="E291" s="79"/>
      <c r="F291" s="79">
        <v>1923.08</v>
      </c>
      <c r="G291" s="79">
        <v>1923.08</v>
      </c>
      <c r="H291" s="79"/>
      <c r="I291" s="79">
        <v>1923.08</v>
      </c>
      <c r="J291" s="79">
        <v>1923.08</v>
      </c>
      <c r="K291" s="79"/>
      <c r="L291" s="79">
        <v>1923.08</v>
      </c>
      <c r="M291" s="79">
        <v>1923.08</v>
      </c>
      <c r="N291" s="79"/>
      <c r="O291" s="79">
        <v>2884.62</v>
      </c>
      <c r="P291" s="79">
        <v>2884.6</v>
      </c>
      <c r="Q291" s="79"/>
      <c r="R291" s="79">
        <v>1923.08</v>
      </c>
      <c r="S291" s="79">
        <v>1923.08</v>
      </c>
      <c r="T291" s="80">
        <f>+C291+F291+I291+L291+O291+R291</f>
        <v>12467.679999999998</v>
      </c>
      <c r="U291" s="80">
        <f>+D291+G291+J291+M291+P291+S291</f>
        <v>12500</v>
      </c>
      <c r="V291" s="79"/>
      <c r="W291" s="76">
        <v>25000</v>
      </c>
      <c r="X291" s="64"/>
      <c r="Y291" s="76">
        <f>+W291</f>
        <v>25000</v>
      </c>
      <c r="Z291" s="76"/>
      <c r="AA291" s="62"/>
    </row>
    <row r="292" spans="1:28" x14ac:dyDescent="0.2">
      <c r="A292" s="82" t="s">
        <v>115</v>
      </c>
      <c r="B292" s="81" t="s">
        <v>114</v>
      </c>
      <c r="C292" s="79">
        <v>167.33</v>
      </c>
      <c r="D292" s="79">
        <v>153.85</v>
      </c>
      <c r="E292" s="79"/>
      <c r="F292" s="79">
        <v>170.2</v>
      </c>
      <c r="G292" s="79">
        <v>153.85</v>
      </c>
      <c r="H292" s="79"/>
      <c r="I292" s="79">
        <v>152</v>
      </c>
      <c r="J292" s="79">
        <v>153.85</v>
      </c>
      <c r="K292" s="79"/>
      <c r="L292" s="79">
        <v>147.12</v>
      </c>
      <c r="M292" s="79">
        <v>153.85</v>
      </c>
      <c r="N292" s="79"/>
      <c r="O292" s="79">
        <v>228.32</v>
      </c>
      <c r="P292" s="79">
        <v>230.75</v>
      </c>
      <c r="Q292" s="79"/>
      <c r="R292" s="79">
        <v>147.12</v>
      </c>
      <c r="S292" s="79">
        <v>153.85</v>
      </c>
      <c r="T292" s="80">
        <f>+C292+F292+I292+L292+O292+R292</f>
        <v>1012.09</v>
      </c>
      <c r="U292" s="80">
        <f>+D292+G292+J292+M292+P292+S292</f>
        <v>1000</v>
      </c>
      <c r="V292" s="79"/>
      <c r="W292" s="76">
        <v>2000</v>
      </c>
      <c r="X292" s="64"/>
      <c r="Y292" s="76">
        <f>+W292</f>
        <v>2000</v>
      </c>
      <c r="Z292" s="76"/>
      <c r="AA292" s="62"/>
    </row>
    <row r="293" spans="1:28" x14ac:dyDescent="0.2">
      <c r="A293" s="82" t="s">
        <v>113</v>
      </c>
      <c r="B293" s="81" t="s">
        <v>112</v>
      </c>
      <c r="C293" s="79">
        <v>58.7</v>
      </c>
      <c r="D293" s="79">
        <v>58.65</v>
      </c>
      <c r="E293" s="79"/>
      <c r="F293" s="79">
        <v>58.7</v>
      </c>
      <c r="G293" s="79">
        <v>58.65</v>
      </c>
      <c r="H293" s="79"/>
      <c r="I293" s="79">
        <v>58.7</v>
      </c>
      <c r="J293" s="79">
        <v>58.67</v>
      </c>
      <c r="K293" s="79"/>
      <c r="L293" s="79">
        <v>58.7</v>
      </c>
      <c r="M293" s="79">
        <v>58.67</v>
      </c>
      <c r="N293" s="79"/>
      <c r="O293" s="79">
        <v>58.7</v>
      </c>
      <c r="P293" s="79">
        <v>58.67</v>
      </c>
      <c r="Q293" s="79"/>
      <c r="R293" s="79">
        <v>58.7</v>
      </c>
      <c r="S293" s="79">
        <v>58.67</v>
      </c>
      <c r="T293" s="80">
        <f>+C293+F293+I293+L293+O293+R293</f>
        <v>352.2</v>
      </c>
      <c r="U293" s="80">
        <f>+D293+G293+J293+M293+P293+S293</f>
        <v>351.98</v>
      </c>
      <c r="V293" s="79"/>
      <c r="W293" s="76">
        <v>704</v>
      </c>
      <c r="X293" s="64"/>
      <c r="Y293" s="76">
        <f>+W293</f>
        <v>704</v>
      </c>
      <c r="Z293" s="76"/>
      <c r="AA293" s="62"/>
    </row>
    <row r="294" spans="1:28" x14ac:dyDescent="0.2">
      <c r="A294" s="82" t="s">
        <v>111</v>
      </c>
      <c r="B294" s="81" t="s">
        <v>110</v>
      </c>
      <c r="C294" s="79">
        <v>32.380000000000003</v>
      </c>
      <c r="D294" s="79">
        <v>64.150000000000006</v>
      </c>
      <c r="E294" s="79"/>
      <c r="F294" s="79">
        <v>32.380000000000003</v>
      </c>
      <c r="G294" s="79">
        <v>64.150000000000006</v>
      </c>
      <c r="H294" s="79"/>
      <c r="I294" s="79">
        <v>32.380000000000003</v>
      </c>
      <c r="J294" s="79">
        <v>64.17</v>
      </c>
      <c r="K294" s="79"/>
      <c r="L294" s="79">
        <v>32.380000000000003</v>
      </c>
      <c r="M294" s="79">
        <v>64.17</v>
      </c>
      <c r="N294" s="79"/>
      <c r="O294" s="79">
        <v>32.380000000000003</v>
      </c>
      <c r="P294" s="79">
        <v>64.17</v>
      </c>
      <c r="Q294" s="79"/>
      <c r="R294" s="79">
        <v>62.77</v>
      </c>
      <c r="S294" s="79">
        <v>64.17</v>
      </c>
      <c r="T294" s="80">
        <f>+C294+F294+I294+L294+O294+R294</f>
        <v>224.67000000000002</v>
      </c>
      <c r="U294" s="80">
        <f>+D294+G294+J294+M294+P294+S294</f>
        <v>384.98000000000008</v>
      </c>
      <c r="V294" s="79"/>
      <c r="W294" s="76">
        <v>770</v>
      </c>
      <c r="X294" s="64"/>
      <c r="Y294" s="76">
        <f>+W294</f>
        <v>770</v>
      </c>
      <c r="Z294" s="76"/>
      <c r="AA294" s="62"/>
      <c r="AB294" s="62"/>
    </row>
    <row r="295" spans="1:28" x14ac:dyDescent="0.2">
      <c r="A295" s="82">
        <v>6080300</v>
      </c>
      <c r="B295" s="81" t="s">
        <v>109</v>
      </c>
      <c r="C295" s="79"/>
      <c r="D295" s="79"/>
      <c r="E295" s="79"/>
      <c r="F295" s="79"/>
      <c r="G295" s="79">
        <v>40199.25</v>
      </c>
      <c r="H295" s="79"/>
      <c r="I295" s="79">
        <v>96036.15</v>
      </c>
      <c r="J295" s="79">
        <v>80398.5</v>
      </c>
      <c r="K295" s="79"/>
      <c r="L295" s="79">
        <v>127133.78</v>
      </c>
      <c r="M295" s="79">
        <v>80398.5</v>
      </c>
      <c r="N295" s="79"/>
      <c r="O295" s="79">
        <v>157195.43</v>
      </c>
      <c r="P295" s="79">
        <v>120597.75</v>
      </c>
      <c r="Q295" s="79"/>
      <c r="R295" s="79">
        <v>21707</v>
      </c>
      <c r="S295" s="79">
        <v>80398.5</v>
      </c>
      <c r="T295" s="80">
        <f>+C295+F295+I295+L295+O295+R295</f>
        <v>402072.36</v>
      </c>
      <c r="U295" s="80">
        <f>+D295+G295+J295+M295+P295+S295</f>
        <v>401992.5</v>
      </c>
      <c r="V295" s="79"/>
      <c r="W295" s="76">
        <v>401992.5</v>
      </c>
      <c r="X295" s="64"/>
      <c r="Y295" s="76">
        <f>+W295</f>
        <v>401992.5</v>
      </c>
      <c r="Z295" s="76"/>
      <c r="AA295" s="62"/>
    </row>
    <row r="296" spans="1:28" x14ac:dyDescent="0.2">
      <c r="A296" s="82">
        <v>6080310</v>
      </c>
      <c r="B296" s="81" t="s">
        <v>108</v>
      </c>
      <c r="C296" s="79"/>
      <c r="D296" s="79"/>
      <c r="E296" s="79"/>
      <c r="F296" s="79"/>
      <c r="G296" s="79">
        <v>4019.93</v>
      </c>
      <c r="H296" s="79"/>
      <c r="I296" s="79">
        <v>8499.17</v>
      </c>
      <c r="J296" s="79">
        <v>8039.85</v>
      </c>
      <c r="K296" s="79"/>
      <c r="L296" s="79">
        <v>12245.42</v>
      </c>
      <c r="M296" s="79">
        <v>8039.85</v>
      </c>
      <c r="N296" s="79"/>
      <c r="O296" s="79">
        <v>14275.77</v>
      </c>
      <c r="P296" s="79">
        <v>12059.77</v>
      </c>
      <c r="Q296" s="79"/>
      <c r="R296" s="79">
        <v>1851.79</v>
      </c>
      <c r="S296" s="79">
        <v>8039.85</v>
      </c>
      <c r="T296" s="80">
        <f>+C296+F296+I296+L296+O296+R296</f>
        <v>36872.15</v>
      </c>
      <c r="U296" s="80">
        <f>+D296+G296+J296+M296+P296+S296</f>
        <v>40199.25</v>
      </c>
      <c r="V296" s="79"/>
      <c r="W296" s="76">
        <v>40199.25</v>
      </c>
      <c r="X296" s="64"/>
      <c r="Y296" s="76">
        <f>+W296</f>
        <v>40199.25</v>
      </c>
      <c r="Z296" s="76"/>
      <c r="AA296" s="62"/>
    </row>
    <row r="297" spans="1:28" x14ac:dyDescent="0.2">
      <c r="A297" s="82">
        <v>6080320</v>
      </c>
      <c r="B297" s="81" t="s">
        <v>107</v>
      </c>
      <c r="C297" s="79"/>
      <c r="D297" s="79"/>
      <c r="E297" s="79"/>
      <c r="F297" s="79"/>
      <c r="G297" s="79">
        <v>100</v>
      </c>
      <c r="H297" s="79"/>
      <c r="I297" s="79"/>
      <c r="J297" s="79">
        <v>200</v>
      </c>
      <c r="K297" s="79"/>
      <c r="L297" s="79"/>
      <c r="M297" s="79">
        <v>200</v>
      </c>
      <c r="N297" s="79"/>
      <c r="O297" s="79"/>
      <c r="P297" s="79">
        <v>300</v>
      </c>
      <c r="Q297" s="79"/>
      <c r="R297" s="79">
        <v>0</v>
      </c>
      <c r="S297" s="79">
        <v>200</v>
      </c>
      <c r="T297" s="80">
        <f>+C297+F297+I297+L297+O297+R297</f>
        <v>0</v>
      </c>
      <c r="U297" s="80">
        <f>+D297+G297+J297+M297+P297+S297</f>
        <v>1000</v>
      </c>
      <c r="V297" s="79"/>
      <c r="W297" s="76">
        <v>1000</v>
      </c>
      <c r="X297" s="64"/>
      <c r="Y297" s="76">
        <f>+W297</f>
        <v>1000</v>
      </c>
      <c r="Z297" s="76"/>
      <c r="AA297" s="62"/>
    </row>
    <row r="298" spans="1:28" x14ac:dyDescent="0.2">
      <c r="A298" s="82">
        <v>6080350</v>
      </c>
      <c r="B298" s="81" t="s">
        <v>106</v>
      </c>
      <c r="C298" s="79">
        <v>2363</v>
      </c>
      <c r="D298" s="79">
        <v>5000</v>
      </c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>
        <v>0</v>
      </c>
      <c r="S298" s="79">
        <v>0</v>
      </c>
      <c r="T298" s="80">
        <f>+C298+F298+I298+L298+O298+R298</f>
        <v>2363</v>
      </c>
      <c r="U298" s="80">
        <f>+D298+G298+J298+M298+P298+S298</f>
        <v>5000</v>
      </c>
      <c r="V298" s="79"/>
      <c r="W298" s="76">
        <v>10000</v>
      </c>
      <c r="X298" s="64"/>
      <c r="Y298" s="76">
        <f>+W298</f>
        <v>10000</v>
      </c>
      <c r="Z298" s="76"/>
      <c r="AA298" s="62"/>
    </row>
    <row r="299" spans="1:28" x14ac:dyDescent="0.2">
      <c r="A299" s="82">
        <v>6080360</v>
      </c>
      <c r="B299" s="81" t="s">
        <v>105</v>
      </c>
      <c r="C299" s="79">
        <v>-1759.53</v>
      </c>
      <c r="D299" s="79">
        <v>1031.79</v>
      </c>
      <c r="E299" s="79"/>
      <c r="F299" s="79">
        <v>-1759.53</v>
      </c>
      <c r="G299" s="79">
        <v>1031.78</v>
      </c>
      <c r="H299" s="79"/>
      <c r="I299" s="79">
        <v>-1759.53</v>
      </c>
      <c r="J299" s="79">
        <v>1031.78</v>
      </c>
      <c r="K299" s="79"/>
      <c r="L299" s="79">
        <v>-1759.53</v>
      </c>
      <c r="M299" s="79">
        <v>1031.78</v>
      </c>
      <c r="N299" s="79"/>
      <c r="O299" s="79">
        <v>-1759.53</v>
      </c>
      <c r="P299" s="79">
        <v>1031.78</v>
      </c>
      <c r="Q299" s="79"/>
      <c r="R299" s="79">
        <v>1009.36</v>
      </c>
      <c r="S299" s="79">
        <v>1031.78</v>
      </c>
      <c r="T299" s="80">
        <f>+C299+F299+I299+L299+O299+R299</f>
        <v>-7788.29</v>
      </c>
      <c r="U299" s="80">
        <f>+D299+G299+J299+M299+P299+S299</f>
        <v>6190.6899999999987</v>
      </c>
      <c r="V299" s="79"/>
      <c r="W299" s="76">
        <v>12381.37</v>
      </c>
      <c r="X299" s="64"/>
      <c r="Y299" s="76">
        <f>+W299</f>
        <v>12381.37</v>
      </c>
      <c r="Z299" s="76"/>
      <c r="AA299" s="62"/>
      <c r="AB299" s="62"/>
    </row>
    <row r="300" spans="1:28" x14ac:dyDescent="0.2">
      <c r="A300" s="82" t="s">
        <v>104</v>
      </c>
      <c r="B300" s="81" t="s">
        <v>103</v>
      </c>
      <c r="C300" s="79">
        <v>524.23</v>
      </c>
      <c r="D300" s="79">
        <v>666.65</v>
      </c>
      <c r="E300" s="79"/>
      <c r="F300" s="79">
        <v>890.52</v>
      </c>
      <c r="G300" s="79">
        <v>666.65</v>
      </c>
      <c r="H300" s="79"/>
      <c r="I300" s="79">
        <v>514.63</v>
      </c>
      <c r="J300" s="79">
        <v>666.67</v>
      </c>
      <c r="K300" s="79"/>
      <c r="L300" s="79">
        <v>276.7</v>
      </c>
      <c r="M300" s="79">
        <v>666.67</v>
      </c>
      <c r="N300" s="79"/>
      <c r="O300" s="79">
        <v>1388.4</v>
      </c>
      <c r="P300" s="79">
        <v>666.67</v>
      </c>
      <c r="Q300" s="79"/>
      <c r="R300" s="79">
        <v>584.23</v>
      </c>
      <c r="S300" s="79">
        <v>666.67</v>
      </c>
      <c r="T300" s="80">
        <f>+C300+F300+I300+L300+O300+R300</f>
        <v>4178.71</v>
      </c>
      <c r="U300" s="80">
        <f>+D300+G300+J300+M300+P300+S300</f>
        <v>3999.98</v>
      </c>
      <c r="V300" s="79"/>
      <c r="W300" s="76">
        <v>8000</v>
      </c>
      <c r="X300" s="64"/>
      <c r="Y300" s="76">
        <f>+W300</f>
        <v>8000</v>
      </c>
      <c r="Z300" s="76"/>
      <c r="AA300" s="62"/>
    </row>
    <row r="301" spans="1:28" x14ac:dyDescent="0.2">
      <c r="A301" s="82" t="s">
        <v>102</v>
      </c>
      <c r="B301" s="81" t="s">
        <v>101</v>
      </c>
      <c r="C301" s="79">
        <v>300</v>
      </c>
      <c r="D301" s="79">
        <v>195</v>
      </c>
      <c r="E301" s="79"/>
      <c r="F301" s="79"/>
      <c r="G301" s="79">
        <v>195</v>
      </c>
      <c r="H301" s="79"/>
      <c r="I301" s="79">
        <v>415</v>
      </c>
      <c r="J301" s="79">
        <v>195</v>
      </c>
      <c r="K301" s="79"/>
      <c r="L301" s="79">
        <v>300</v>
      </c>
      <c r="M301" s="79">
        <v>195</v>
      </c>
      <c r="N301" s="79"/>
      <c r="O301" s="79"/>
      <c r="P301" s="79">
        <v>195</v>
      </c>
      <c r="Q301" s="79"/>
      <c r="R301" s="79">
        <v>493</v>
      </c>
      <c r="S301" s="79">
        <v>195</v>
      </c>
      <c r="T301" s="80">
        <f>+C301+F301+I301+L301+O301+R301</f>
        <v>1508</v>
      </c>
      <c r="U301" s="80">
        <f>+D301+G301+J301+M301+P301+S301</f>
        <v>1170</v>
      </c>
      <c r="V301" s="79"/>
      <c r="W301" s="76">
        <v>2340</v>
      </c>
      <c r="X301" s="64"/>
      <c r="Y301" s="76">
        <f>+W301</f>
        <v>2340</v>
      </c>
      <c r="Z301" s="76"/>
      <c r="AA301" s="62"/>
    </row>
    <row r="302" spans="1:28" x14ac:dyDescent="0.2">
      <c r="A302" s="82" t="s">
        <v>100</v>
      </c>
      <c r="B302" s="81" t="s">
        <v>99</v>
      </c>
      <c r="C302" s="79">
        <v>34.18</v>
      </c>
      <c r="D302" s="79">
        <v>125</v>
      </c>
      <c r="E302" s="79"/>
      <c r="F302" s="79">
        <v>162.58000000000001</v>
      </c>
      <c r="G302" s="79">
        <v>125</v>
      </c>
      <c r="H302" s="79"/>
      <c r="I302" s="79">
        <v>289.17</v>
      </c>
      <c r="J302" s="79">
        <v>125</v>
      </c>
      <c r="K302" s="79"/>
      <c r="L302" s="79">
        <v>110.07</v>
      </c>
      <c r="M302" s="79">
        <v>125</v>
      </c>
      <c r="N302" s="79"/>
      <c r="O302" s="79">
        <v>337.62</v>
      </c>
      <c r="P302" s="79">
        <v>125</v>
      </c>
      <c r="Q302" s="79"/>
      <c r="R302" s="79">
        <v>36.06</v>
      </c>
      <c r="S302" s="79">
        <v>125</v>
      </c>
      <c r="T302" s="80">
        <f>+C302+F302+I302+L302+O302+R302</f>
        <v>969.68000000000006</v>
      </c>
      <c r="U302" s="80">
        <f>+D302+G302+J302+M302+P302+S302</f>
        <v>750</v>
      </c>
      <c r="V302" s="79"/>
      <c r="W302" s="76">
        <v>1500</v>
      </c>
      <c r="X302" s="64"/>
      <c r="Y302" s="76">
        <f>+W302</f>
        <v>1500</v>
      </c>
      <c r="Z302" s="76"/>
      <c r="AA302" s="62"/>
    </row>
    <row r="303" spans="1:28" x14ac:dyDescent="0.2">
      <c r="A303" s="82" t="s">
        <v>98</v>
      </c>
      <c r="B303" s="81" t="s">
        <v>97</v>
      </c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>
        <v>0</v>
      </c>
      <c r="S303" s="79">
        <v>0</v>
      </c>
      <c r="T303" s="80">
        <f>+C303+F303+I303+L303+O303+R303</f>
        <v>0</v>
      </c>
      <c r="U303" s="80">
        <f>+D303+G303+J303+M303+P303+S303</f>
        <v>0</v>
      </c>
      <c r="V303" s="79"/>
      <c r="W303" s="76"/>
      <c r="X303" s="64"/>
      <c r="Y303" s="76">
        <f>+W303</f>
        <v>0</v>
      </c>
      <c r="Z303" s="76"/>
      <c r="AA303" s="62"/>
    </row>
    <row r="304" spans="1:28" x14ac:dyDescent="0.2">
      <c r="A304" s="82" t="s">
        <v>96</v>
      </c>
      <c r="B304" s="81" t="s">
        <v>95</v>
      </c>
      <c r="C304" s="79">
        <v>18.559999999999999</v>
      </c>
      <c r="D304" s="79"/>
      <c r="E304" s="79"/>
      <c r="F304" s="79"/>
      <c r="G304" s="79">
        <v>125</v>
      </c>
      <c r="H304" s="79"/>
      <c r="I304" s="79">
        <v>228.51</v>
      </c>
      <c r="J304" s="79">
        <v>250</v>
      </c>
      <c r="K304" s="79"/>
      <c r="L304" s="79">
        <v>202.75</v>
      </c>
      <c r="M304" s="79">
        <v>250</v>
      </c>
      <c r="N304" s="79"/>
      <c r="O304" s="79">
        <v>187.67</v>
      </c>
      <c r="P304" s="79">
        <v>250</v>
      </c>
      <c r="Q304" s="79"/>
      <c r="R304" s="79">
        <v>144.96</v>
      </c>
      <c r="S304" s="79">
        <v>125</v>
      </c>
      <c r="T304" s="80">
        <f>+C304+F304+I304+L304+O304+R304</f>
        <v>782.45</v>
      </c>
      <c r="U304" s="80">
        <f>+D304+G304+J304+M304+P304+S304</f>
        <v>1000</v>
      </c>
      <c r="V304" s="79"/>
      <c r="W304" s="76">
        <v>1000</v>
      </c>
      <c r="X304" s="64"/>
      <c r="Y304" s="76">
        <f>+W304</f>
        <v>1000</v>
      </c>
      <c r="Z304" s="76"/>
      <c r="AA304" s="62"/>
    </row>
    <row r="305" spans="1:27" x14ac:dyDescent="0.2">
      <c r="A305" s="82" t="s">
        <v>94</v>
      </c>
      <c r="B305" s="81" t="s">
        <v>93</v>
      </c>
      <c r="C305" s="79">
        <v>17.989999999999998</v>
      </c>
      <c r="D305" s="79">
        <v>750</v>
      </c>
      <c r="E305" s="79"/>
      <c r="F305" s="79">
        <v>16.96</v>
      </c>
      <c r="G305" s="79"/>
      <c r="H305" s="79"/>
      <c r="I305" s="79">
        <v>259.98</v>
      </c>
      <c r="J305" s="79"/>
      <c r="K305" s="79"/>
      <c r="L305" s="79">
        <v>36.99</v>
      </c>
      <c r="M305" s="79"/>
      <c r="N305" s="79"/>
      <c r="O305" s="79"/>
      <c r="P305" s="79"/>
      <c r="Q305" s="79"/>
      <c r="R305" s="79">
        <v>0</v>
      </c>
      <c r="S305" s="79">
        <v>0</v>
      </c>
      <c r="T305" s="80">
        <f>+C305+F305+I305+L305+O305+R305</f>
        <v>331.92</v>
      </c>
      <c r="U305" s="80">
        <f>+D305+G305+J305+M305+P305+S305</f>
        <v>750</v>
      </c>
      <c r="V305" s="79"/>
      <c r="W305" s="76">
        <v>1500</v>
      </c>
      <c r="X305" s="64"/>
      <c r="Y305" s="76">
        <f>+W305</f>
        <v>1500</v>
      </c>
      <c r="Z305" s="76"/>
      <c r="AA305" s="62"/>
    </row>
    <row r="306" spans="1:27" x14ac:dyDescent="0.2">
      <c r="A306" s="82" t="s">
        <v>92</v>
      </c>
      <c r="B306" s="81" t="s">
        <v>91</v>
      </c>
      <c r="C306" s="79">
        <v>121.92</v>
      </c>
      <c r="D306" s="79">
        <v>62.5</v>
      </c>
      <c r="E306" s="79"/>
      <c r="F306" s="79">
        <v>121.92</v>
      </c>
      <c r="G306" s="79">
        <v>62.5</v>
      </c>
      <c r="H306" s="79"/>
      <c r="I306" s="79">
        <v>121.92</v>
      </c>
      <c r="J306" s="79">
        <v>62.5</v>
      </c>
      <c r="K306" s="79"/>
      <c r="L306" s="79">
        <v>121.92</v>
      </c>
      <c r="M306" s="79">
        <v>62.5</v>
      </c>
      <c r="N306" s="79"/>
      <c r="O306" s="79">
        <v>121.92</v>
      </c>
      <c r="P306" s="79">
        <v>62.5</v>
      </c>
      <c r="Q306" s="79"/>
      <c r="R306" s="79">
        <v>121.92</v>
      </c>
      <c r="S306" s="79">
        <v>62.5</v>
      </c>
      <c r="T306" s="80">
        <f>+C306+F306+I306+L306+O306+R306</f>
        <v>731.52</v>
      </c>
      <c r="U306" s="80">
        <f>+D306+G306+J306+M306+P306+S306</f>
        <v>375</v>
      </c>
      <c r="V306" s="79"/>
      <c r="W306" s="76">
        <v>750</v>
      </c>
      <c r="X306" s="64"/>
      <c r="Y306" s="76">
        <f>+W306</f>
        <v>750</v>
      </c>
      <c r="Z306" s="76"/>
      <c r="AA306" s="62"/>
    </row>
    <row r="307" spans="1:27" x14ac:dyDescent="0.2">
      <c r="A307" s="82" t="s">
        <v>90</v>
      </c>
      <c r="B307" s="81" t="s">
        <v>89</v>
      </c>
      <c r="C307" s="79"/>
      <c r="D307" s="79">
        <v>41.65</v>
      </c>
      <c r="E307" s="79"/>
      <c r="F307" s="79"/>
      <c r="G307" s="79">
        <v>41.65</v>
      </c>
      <c r="H307" s="79"/>
      <c r="I307" s="79"/>
      <c r="J307" s="79">
        <v>41.67</v>
      </c>
      <c r="K307" s="79"/>
      <c r="L307" s="79"/>
      <c r="M307" s="79">
        <v>41.67</v>
      </c>
      <c r="N307" s="79"/>
      <c r="O307" s="79"/>
      <c r="P307" s="79">
        <v>41.67</v>
      </c>
      <c r="Q307" s="79"/>
      <c r="R307" s="79">
        <v>0</v>
      </c>
      <c r="S307" s="79">
        <v>41.67</v>
      </c>
      <c r="T307" s="80">
        <f>+C307+F307+I307+L307+O307+R307</f>
        <v>0</v>
      </c>
      <c r="U307" s="80">
        <f>+D307+G307+J307+M307+P307+S307</f>
        <v>249.98000000000002</v>
      </c>
      <c r="V307" s="79"/>
      <c r="W307" s="76">
        <v>500</v>
      </c>
      <c r="X307" s="64"/>
      <c r="Y307" s="76">
        <f>+W307</f>
        <v>500</v>
      </c>
      <c r="Z307" s="76"/>
      <c r="AA307" s="62"/>
    </row>
    <row r="308" spans="1:27" x14ac:dyDescent="0.2">
      <c r="A308" s="82" t="s">
        <v>88</v>
      </c>
      <c r="B308" s="81" t="s">
        <v>87</v>
      </c>
      <c r="C308" s="79"/>
      <c r="D308" s="79"/>
      <c r="E308" s="79"/>
      <c r="F308" s="79">
        <v>270</v>
      </c>
      <c r="G308" s="79"/>
      <c r="H308" s="79"/>
      <c r="I308" s="79"/>
      <c r="J308" s="79"/>
      <c r="K308" s="79"/>
      <c r="L308" s="79">
        <v>2100</v>
      </c>
      <c r="M308" s="79">
        <v>10000</v>
      </c>
      <c r="N308" s="79"/>
      <c r="O308" s="79">
        <v>6650</v>
      </c>
      <c r="P308" s="79"/>
      <c r="Q308" s="79"/>
      <c r="R308" s="79">
        <v>0</v>
      </c>
      <c r="S308" s="79">
        <v>0</v>
      </c>
      <c r="T308" s="80">
        <f>+C308+F308+I308+L308+O308+R308</f>
        <v>9020</v>
      </c>
      <c r="U308" s="80">
        <f>+D308+G308+J308+M308+P308+S308</f>
        <v>10000</v>
      </c>
      <c r="V308" s="79"/>
      <c r="W308" s="76">
        <v>10000</v>
      </c>
      <c r="X308" s="64"/>
      <c r="Y308" s="76">
        <f>+W308</f>
        <v>10000</v>
      </c>
      <c r="Z308" s="76"/>
      <c r="AA308" s="62"/>
    </row>
    <row r="309" spans="1:27" x14ac:dyDescent="0.2">
      <c r="A309" s="82" t="s">
        <v>86</v>
      </c>
      <c r="B309" s="81" t="s">
        <v>85</v>
      </c>
      <c r="C309" s="79">
        <v>628.29</v>
      </c>
      <c r="D309" s="79">
        <v>500</v>
      </c>
      <c r="E309" s="79"/>
      <c r="F309" s="79">
        <v>143.82</v>
      </c>
      <c r="G309" s="79">
        <v>500</v>
      </c>
      <c r="H309" s="79"/>
      <c r="I309" s="79">
        <v>416.04</v>
      </c>
      <c r="J309" s="79">
        <v>1500</v>
      </c>
      <c r="K309" s="79"/>
      <c r="L309" s="79">
        <v>813.39</v>
      </c>
      <c r="M309" s="79">
        <v>1500</v>
      </c>
      <c r="N309" s="79"/>
      <c r="O309" s="79">
        <v>109.25</v>
      </c>
      <c r="P309" s="79">
        <v>1500</v>
      </c>
      <c r="Q309" s="79"/>
      <c r="R309" s="79">
        <v>127.22</v>
      </c>
      <c r="S309" s="79">
        <v>500</v>
      </c>
      <c r="T309" s="80">
        <f>+C309+F309+I309+L309+O309+R309</f>
        <v>2238.0099999999998</v>
      </c>
      <c r="U309" s="80">
        <f>+D309+G309+J309+M309+P309+S309</f>
        <v>6000</v>
      </c>
      <c r="V309" s="79"/>
      <c r="W309" s="76">
        <v>6000</v>
      </c>
      <c r="X309" s="64"/>
      <c r="Y309" s="76">
        <f>+W309</f>
        <v>6000</v>
      </c>
      <c r="Z309" s="76"/>
      <c r="AA309" s="62"/>
    </row>
    <row r="310" spans="1:27" x14ac:dyDescent="0.2">
      <c r="A310" s="82" t="s">
        <v>84</v>
      </c>
      <c r="B310" s="81" t="s">
        <v>83</v>
      </c>
      <c r="C310" s="79">
        <v>967.14</v>
      </c>
      <c r="D310" s="79"/>
      <c r="E310" s="79"/>
      <c r="F310" s="79"/>
      <c r="G310" s="79"/>
      <c r="H310" s="79"/>
      <c r="I310" s="79">
        <v>281.64999999999998</v>
      </c>
      <c r="J310" s="79"/>
      <c r="K310" s="79"/>
      <c r="L310" s="79"/>
      <c r="M310" s="79"/>
      <c r="N310" s="79"/>
      <c r="O310" s="79"/>
      <c r="P310" s="79"/>
      <c r="Q310" s="79"/>
      <c r="R310" s="79">
        <v>0</v>
      </c>
      <c r="S310" s="79">
        <v>0</v>
      </c>
      <c r="T310" s="80">
        <f>+C310+F310+I310+L310+O310+R310</f>
        <v>1248.79</v>
      </c>
      <c r="U310" s="80">
        <f>+D310+G310+J310+M310+P310+S310</f>
        <v>0</v>
      </c>
      <c r="V310" s="79"/>
      <c r="W310" s="76"/>
      <c r="X310" s="64"/>
      <c r="Y310" s="76">
        <f>+W310</f>
        <v>0</v>
      </c>
      <c r="Z310" s="76"/>
      <c r="AA310" s="62"/>
    </row>
    <row r="311" spans="1:27" x14ac:dyDescent="0.2">
      <c r="A311" s="82" t="s">
        <v>82</v>
      </c>
      <c r="B311" s="81" t="s">
        <v>81</v>
      </c>
      <c r="C311" s="79"/>
      <c r="D311" s="79"/>
      <c r="E311" s="79"/>
      <c r="F311" s="79"/>
      <c r="G311" s="79"/>
      <c r="H311" s="79"/>
      <c r="I311" s="79">
        <v>158</v>
      </c>
      <c r="J311" s="79"/>
      <c r="K311" s="79"/>
      <c r="L311" s="79"/>
      <c r="M311" s="79"/>
      <c r="N311" s="79"/>
      <c r="O311" s="79">
        <v>80.180000000000007</v>
      </c>
      <c r="P311" s="79"/>
      <c r="Q311" s="79"/>
      <c r="R311" s="79">
        <v>245.05</v>
      </c>
      <c r="S311" s="79">
        <v>0</v>
      </c>
      <c r="T311" s="80">
        <f>+C311+F311+I311+L311+O311+R311</f>
        <v>483.23</v>
      </c>
      <c r="U311" s="80">
        <f>+D311+G311+J311+M311+P311+S311</f>
        <v>0</v>
      </c>
      <c r="V311" s="79"/>
      <c r="W311" s="76"/>
      <c r="X311" s="64"/>
      <c r="Y311" s="76">
        <f>+W311</f>
        <v>0</v>
      </c>
      <c r="Z311" s="76"/>
      <c r="AA311" s="62"/>
    </row>
    <row r="312" spans="1:27" x14ac:dyDescent="0.2">
      <c r="A312" s="82" t="s">
        <v>80</v>
      </c>
      <c r="B312" s="81" t="s">
        <v>79</v>
      </c>
      <c r="C312" s="79"/>
      <c r="D312" s="79">
        <v>666.65</v>
      </c>
      <c r="E312" s="79"/>
      <c r="F312" s="79">
        <v>2170.8000000000002</v>
      </c>
      <c r="G312" s="79">
        <v>666.65</v>
      </c>
      <c r="H312" s="79"/>
      <c r="I312" s="79"/>
      <c r="J312" s="79">
        <v>666.67</v>
      </c>
      <c r="K312" s="79"/>
      <c r="L312" s="79">
        <v>1845</v>
      </c>
      <c r="M312" s="79">
        <v>666.67</v>
      </c>
      <c r="N312" s="79"/>
      <c r="O312" s="79">
        <v>7081.47</v>
      </c>
      <c r="P312" s="79">
        <v>666.67</v>
      </c>
      <c r="Q312" s="79"/>
      <c r="R312" s="79">
        <v>235</v>
      </c>
      <c r="S312" s="79">
        <v>666.67</v>
      </c>
      <c r="T312" s="80">
        <f>+C312+F312+I312+L312+O312+R312</f>
        <v>11332.27</v>
      </c>
      <c r="U312" s="80">
        <f>+D312+G312+J312+M312+P312+S312</f>
        <v>3999.98</v>
      </c>
      <c r="V312" s="79"/>
      <c r="W312" s="76">
        <v>8000</v>
      </c>
      <c r="X312" s="64"/>
      <c r="Y312" s="76">
        <v>0</v>
      </c>
      <c r="Z312" s="76">
        <f>+W312</f>
        <v>8000</v>
      </c>
      <c r="AA312" s="62"/>
    </row>
    <row r="313" spans="1:27" x14ac:dyDescent="0.2">
      <c r="A313" s="82" t="s">
        <v>78</v>
      </c>
      <c r="B313" s="81" t="s">
        <v>77</v>
      </c>
      <c r="C313" s="79">
        <v>1554.8</v>
      </c>
      <c r="D313" s="79">
        <v>1250</v>
      </c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>
        <v>0</v>
      </c>
      <c r="S313" s="79">
        <v>0</v>
      </c>
      <c r="T313" s="80">
        <f>+C313+F313+I313+L313+O313+R313</f>
        <v>1554.8</v>
      </c>
      <c r="U313" s="80">
        <f>+D313+G313+J313+M313+P313+S313</f>
        <v>1250</v>
      </c>
      <c r="V313" s="79"/>
      <c r="W313" s="76">
        <v>2500</v>
      </c>
      <c r="X313" s="64"/>
      <c r="Y313" s="76">
        <f>+W313</f>
        <v>2500</v>
      </c>
      <c r="Z313" s="76"/>
      <c r="AA313" s="62"/>
    </row>
    <row r="314" spans="1:27" x14ac:dyDescent="0.2">
      <c r="A314" s="82">
        <v>6082000</v>
      </c>
      <c r="B314" s="81" t="s">
        <v>76</v>
      </c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>
        <v>0</v>
      </c>
      <c r="S314" s="79">
        <v>0</v>
      </c>
      <c r="T314" s="80">
        <f>+C314+F314+I314+L314+O314+R314</f>
        <v>0</v>
      </c>
      <c r="U314" s="80">
        <f>+D314+G314+J314+M314+P314+S314</f>
        <v>0</v>
      </c>
      <c r="V314" s="79"/>
      <c r="W314" s="76"/>
      <c r="X314" s="64"/>
      <c r="Y314" s="76">
        <f>+W314</f>
        <v>0</v>
      </c>
      <c r="Z314" s="76"/>
      <c r="AA314" s="62"/>
    </row>
    <row r="315" spans="1:27" x14ac:dyDescent="0.2">
      <c r="A315" s="82">
        <v>6082050</v>
      </c>
      <c r="B315" s="81" t="s">
        <v>75</v>
      </c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>
        <v>0</v>
      </c>
      <c r="S315" s="79">
        <v>0</v>
      </c>
      <c r="T315" s="80">
        <f>+C315+F315+I315+L315+O315+R315</f>
        <v>0</v>
      </c>
      <c r="U315" s="80">
        <f>+D315+G315+J315+M315+P315+S315</f>
        <v>0</v>
      </c>
      <c r="V315" s="79"/>
      <c r="W315" s="76"/>
      <c r="X315" s="64"/>
      <c r="Y315" s="76"/>
      <c r="Z315" s="76"/>
      <c r="AA315" s="62"/>
    </row>
    <row r="316" spans="1:27" x14ac:dyDescent="0.2">
      <c r="A316" s="78"/>
      <c r="B316" s="77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64"/>
      <c r="Y316" s="76"/>
      <c r="Z316" s="76"/>
      <c r="AA316" s="62"/>
    </row>
    <row r="317" spans="1:27" x14ac:dyDescent="0.2">
      <c r="A317" s="75" t="s">
        <v>74</v>
      </c>
      <c r="B317" s="74" t="s">
        <v>73</v>
      </c>
      <c r="C317" s="73">
        <f>SUM(C291:C316)</f>
        <v>6919.73</v>
      </c>
      <c r="D317" s="73">
        <f>SUM(D291:D316)</f>
        <v>12488.97</v>
      </c>
      <c r="E317" s="70"/>
      <c r="F317" s="73">
        <f>SUM(F291:F316)</f>
        <v>4201.43</v>
      </c>
      <c r="G317" s="73">
        <f>SUM(G291:G316)</f>
        <v>49933.140000000007</v>
      </c>
      <c r="H317" s="70"/>
      <c r="I317" s="73">
        <f>SUM(I291:I316)</f>
        <v>107626.84999999998</v>
      </c>
      <c r="J317" s="73">
        <f>SUM(J291:J316)</f>
        <v>95377.41</v>
      </c>
      <c r="K317" s="70"/>
      <c r="L317" s="73">
        <f>SUM(L291:L316)</f>
        <v>145587.77000000005</v>
      </c>
      <c r="M317" s="73">
        <f>SUM(M291:M316)</f>
        <v>105377.41</v>
      </c>
      <c r="N317" s="70"/>
      <c r="O317" s="73">
        <f>SUM(O291:O316)</f>
        <v>188872.19999999998</v>
      </c>
      <c r="P317" s="73">
        <f>SUM(P291:P316)</f>
        <v>140735.00000000003</v>
      </c>
      <c r="Q317" s="70"/>
      <c r="R317" s="73">
        <f>SUM(R291:R316)</f>
        <v>28747.26</v>
      </c>
      <c r="S317" s="73">
        <f>SUM(S291:S316)</f>
        <v>94252.41</v>
      </c>
      <c r="T317" s="73">
        <f>SUM(T291:T316)</f>
        <v>481955.24000000005</v>
      </c>
      <c r="U317" s="73">
        <f>SUM(U291:U316)</f>
        <v>498164.33999999997</v>
      </c>
      <c r="V317" s="70"/>
      <c r="W317" s="73">
        <f>SUM(W291:W316)</f>
        <v>536137.12</v>
      </c>
      <c r="X317" s="64"/>
      <c r="Y317" s="73">
        <f>SUM(Y291:Y316)</f>
        <v>528137.12</v>
      </c>
      <c r="Z317" s="73">
        <f>SUM(Z291:Z316)</f>
        <v>8000</v>
      </c>
      <c r="AA317" s="62"/>
    </row>
    <row r="318" spans="1:27" x14ac:dyDescent="0.2"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4"/>
      <c r="Y318" s="61"/>
      <c r="Z318" s="68"/>
      <c r="AA318" s="62"/>
    </row>
    <row r="319" spans="1:27" ht="12" thickBot="1" x14ac:dyDescent="0.25">
      <c r="A319" s="72" t="s">
        <v>72</v>
      </c>
      <c r="B319" s="71" t="s">
        <v>71</v>
      </c>
      <c r="C319" s="69">
        <f>+C317+C288+C253+C210</f>
        <v>393230.2</v>
      </c>
      <c r="D319" s="69">
        <f>+D317+D288+D253+D210</f>
        <v>445743.48000000004</v>
      </c>
      <c r="E319" s="70"/>
      <c r="F319" s="69">
        <f>+F317+F288+F253+F210</f>
        <v>542606.97</v>
      </c>
      <c r="G319" s="69">
        <f>+G317+G288+G253+G210</f>
        <v>527503.56000000006</v>
      </c>
      <c r="H319" s="70"/>
      <c r="I319" s="69">
        <f>+I317+I288+I253+I210</f>
        <v>639158.10999999987</v>
      </c>
      <c r="J319" s="69">
        <f>+J317+J288+J253+J210</f>
        <v>559311.43000000005</v>
      </c>
      <c r="K319" s="70"/>
      <c r="L319" s="69">
        <f>+L317+L288+L253+L210</f>
        <v>760955.56</v>
      </c>
      <c r="M319" s="69">
        <f>+M317+M288+M253+M210</f>
        <v>570080.43000000005</v>
      </c>
      <c r="N319" s="70"/>
      <c r="O319" s="69">
        <f>+O317+O288+O253+O210</f>
        <v>917439.89999999991</v>
      </c>
      <c r="P319" s="69">
        <f>+P317+P288+P253+P210</f>
        <v>762434.88</v>
      </c>
      <c r="Q319" s="70"/>
      <c r="R319" s="69">
        <f>+R317+R288+R253+R210</f>
        <v>652778.17000000004</v>
      </c>
      <c r="S319" s="69">
        <f>+S317+S288+S253+S210</f>
        <v>558260.82999999996</v>
      </c>
      <c r="T319" s="69">
        <f>+T317+T288+T253+T210</f>
        <v>3906168.91</v>
      </c>
      <c r="U319" s="69">
        <f>+U317+U288+U253+U210</f>
        <v>3423334.61</v>
      </c>
      <c r="V319" s="70"/>
      <c r="W319" s="69">
        <f>+W317+W288+W253+W210</f>
        <v>8022036.3300000001</v>
      </c>
      <c r="X319" s="64"/>
      <c r="Y319" s="69">
        <f>+Y317+Y288+Y253+Y210</f>
        <v>5313036.33</v>
      </c>
      <c r="Z319" s="69">
        <f>+Z317+Z288+Z253+Z210</f>
        <v>2709000</v>
      </c>
      <c r="AA319" s="62"/>
    </row>
    <row r="320" spans="1:27" ht="12" thickTop="1" x14ac:dyDescent="0.2"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4"/>
      <c r="Y320" s="61"/>
      <c r="Z320" s="68"/>
      <c r="AA320" s="62"/>
    </row>
    <row r="321" spans="1:27" x14ac:dyDescent="0.2"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4"/>
      <c r="Y321" s="61"/>
      <c r="Z321" s="68"/>
      <c r="AA321" s="62"/>
    </row>
    <row r="322" spans="1:27" ht="12" thickBot="1" x14ac:dyDescent="0.25">
      <c r="A322" s="67"/>
      <c r="B322" s="66" t="s">
        <v>70</v>
      </c>
      <c r="C322" s="63">
        <f>+C100-C319</f>
        <v>37466.340000000026</v>
      </c>
      <c r="D322" s="63">
        <f>+D100-D319</f>
        <v>-194.29000000003725</v>
      </c>
      <c r="E322" s="65"/>
      <c r="F322" s="63">
        <f>+F100-F319</f>
        <v>286421.20000000007</v>
      </c>
      <c r="G322" s="63">
        <f>+G100-G319</f>
        <v>183727.96999999986</v>
      </c>
      <c r="H322" s="65"/>
      <c r="I322" s="63">
        <f>+I100-I319</f>
        <v>-5670.5999999998603</v>
      </c>
      <c r="J322" s="63">
        <f>+J100-J319</f>
        <v>-56776.920000000042</v>
      </c>
      <c r="K322" s="65"/>
      <c r="L322" s="63">
        <f>+L100-L319</f>
        <v>111720.02999999991</v>
      </c>
      <c r="M322" s="63">
        <f>+M100-M319</f>
        <v>154556.85999999999</v>
      </c>
      <c r="N322" s="65"/>
      <c r="O322" s="63">
        <f>+O100-O319</f>
        <v>42553.190000000177</v>
      </c>
      <c r="P322" s="63">
        <f>+P100-P319</f>
        <v>-3755.2800000000279</v>
      </c>
      <c r="Q322" s="65"/>
      <c r="R322" s="63">
        <f>+R100-R319</f>
        <v>128663.35999999999</v>
      </c>
      <c r="S322" s="63">
        <f>+S100-S319</f>
        <v>121583.54000000004</v>
      </c>
      <c r="T322" s="63">
        <f>+T100-T319</f>
        <v>601153.51999999955</v>
      </c>
      <c r="U322" s="63">
        <f>+U100-U319</f>
        <v>399141.88000000035</v>
      </c>
      <c r="V322" s="65"/>
      <c r="W322" s="63">
        <f>+W100-W319</f>
        <v>69968.669999999925</v>
      </c>
      <c r="X322" s="64"/>
      <c r="Y322" s="63">
        <f>+Y100-Y319</f>
        <v>22097.570000000298</v>
      </c>
      <c r="Z322" s="63">
        <f>+Z100-Z319</f>
        <v>47871.100000000093</v>
      </c>
      <c r="AA322" s="62"/>
    </row>
    <row r="323" spans="1:27" ht="12" thickTop="1" x14ac:dyDescent="0.2">
      <c r="A323" s="57"/>
      <c r="B323" s="57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1"/>
      <c r="Y323" s="60"/>
      <c r="Z323" s="59"/>
    </row>
    <row r="324" spans="1:27" x14ac:dyDescent="0.2">
      <c r="A324" s="57"/>
      <c r="B324" s="57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1"/>
      <c r="Y324" s="60"/>
      <c r="Z324" s="59"/>
    </row>
    <row r="325" spans="1:27" x14ac:dyDescent="0.2">
      <c r="A325" s="57"/>
      <c r="B325" s="57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1"/>
      <c r="Y325" s="60"/>
      <c r="Z325" s="59"/>
    </row>
    <row r="326" spans="1:27" x14ac:dyDescent="0.2">
      <c r="A326" s="57"/>
      <c r="B326" s="57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1"/>
      <c r="Y326" s="60"/>
      <c r="Z326" s="59"/>
    </row>
    <row r="327" spans="1:27" x14ac:dyDescent="0.2">
      <c r="A327" s="57"/>
      <c r="B327" s="57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1"/>
      <c r="Y327" s="60"/>
      <c r="Z327" s="59"/>
    </row>
    <row r="328" spans="1:27" x14ac:dyDescent="0.2">
      <c r="A328" s="57"/>
      <c r="B328" s="57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1"/>
      <c r="Y328" s="60"/>
      <c r="Z328" s="59"/>
    </row>
    <row r="329" spans="1:27" x14ac:dyDescent="0.2">
      <c r="A329" s="57"/>
      <c r="B329" s="57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1"/>
      <c r="Y329" s="60"/>
      <c r="Z329" s="59"/>
    </row>
    <row r="330" spans="1:27" x14ac:dyDescent="0.2">
      <c r="A330" s="57"/>
      <c r="B330" s="57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1"/>
      <c r="Y330" s="60"/>
      <c r="Z330" s="59"/>
    </row>
    <row r="331" spans="1:27" x14ac:dyDescent="0.2">
      <c r="A331" s="57"/>
      <c r="B331" s="57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1"/>
      <c r="Y331" s="60"/>
      <c r="Z331" s="59"/>
    </row>
    <row r="332" spans="1:27" x14ac:dyDescent="0.2">
      <c r="A332" s="57"/>
      <c r="B332" s="57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1"/>
      <c r="Y332" s="60"/>
      <c r="Z332" s="59"/>
    </row>
    <row r="333" spans="1:27" x14ac:dyDescent="0.2">
      <c r="A333" s="57"/>
      <c r="B333" s="57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1"/>
      <c r="Y333" s="60"/>
      <c r="Z333" s="59"/>
    </row>
    <row r="334" spans="1:27" x14ac:dyDescent="0.2">
      <c r="A334" s="57"/>
      <c r="B334" s="57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1"/>
      <c r="Y334" s="60"/>
      <c r="Z334" s="59"/>
    </row>
    <row r="335" spans="1:27" x14ac:dyDescent="0.2">
      <c r="A335" s="57"/>
      <c r="B335" s="57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1"/>
      <c r="Y335" s="60"/>
      <c r="Z335" s="59"/>
    </row>
    <row r="336" spans="1:27" x14ac:dyDescent="0.2">
      <c r="A336" s="57"/>
      <c r="B336" s="57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1"/>
      <c r="Y336" s="60"/>
      <c r="Z336" s="59"/>
    </row>
    <row r="337" spans="1:26" x14ac:dyDescent="0.2">
      <c r="A337" s="57"/>
      <c r="B337" s="57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1"/>
      <c r="Y337" s="60"/>
      <c r="Z337" s="59"/>
    </row>
    <row r="338" spans="1:26" x14ac:dyDescent="0.2">
      <c r="A338" s="57"/>
      <c r="B338" s="57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1"/>
      <c r="Y338" s="60"/>
      <c r="Z338" s="59"/>
    </row>
    <row r="339" spans="1:26" x14ac:dyDescent="0.2">
      <c r="A339" s="57"/>
      <c r="B339" s="57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1"/>
      <c r="Y339" s="60"/>
      <c r="Z339" s="59"/>
    </row>
    <row r="340" spans="1:26" x14ac:dyDescent="0.2">
      <c r="A340" s="57"/>
      <c r="B340" s="57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1"/>
      <c r="Y340" s="60"/>
      <c r="Z340" s="59"/>
    </row>
    <row r="341" spans="1:26" x14ac:dyDescent="0.2">
      <c r="A341" s="57"/>
      <c r="B341" s="57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1"/>
      <c r="Y341" s="60"/>
      <c r="Z341" s="59"/>
    </row>
    <row r="342" spans="1:26" x14ac:dyDescent="0.2">
      <c r="A342" s="57"/>
      <c r="B342" s="57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1"/>
      <c r="Y342" s="60"/>
      <c r="Z342" s="59"/>
    </row>
    <row r="343" spans="1:26" x14ac:dyDescent="0.2">
      <c r="A343" s="57"/>
      <c r="B343" s="57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1"/>
      <c r="Y343" s="60"/>
      <c r="Z343" s="59"/>
    </row>
    <row r="344" spans="1:26" x14ac:dyDescent="0.2">
      <c r="A344" s="57"/>
      <c r="B344" s="57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1"/>
      <c r="Y344" s="60"/>
      <c r="Z344" s="59"/>
    </row>
    <row r="345" spans="1:26" x14ac:dyDescent="0.2">
      <c r="A345" s="57"/>
      <c r="B345" s="57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1"/>
      <c r="Y345" s="60"/>
      <c r="Z345" s="59"/>
    </row>
    <row r="346" spans="1:26" x14ac:dyDescent="0.2">
      <c r="A346" s="57"/>
      <c r="B346" s="57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1"/>
      <c r="Y346" s="60"/>
      <c r="Z346" s="59"/>
    </row>
    <row r="347" spans="1:26" x14ac:dyDescent="0.2">
      <c r="A347" s="57"/>
      <c r="B347" s="57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1"/>
      <c r="Y347" s="60"/>
      <c r="Z347" s="59"/>
    </row>
    <row r="348" spans="1:26" x14ac:dyDescent="0.2">
      <c r="A348" s="57"/>
      <c r="B348" s="57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1"/>
      <c r="Y348" s="60"/>
      <c r="Z348" s="59"/>
    </row>
    <row r="349" spans="1:26" x14ac:dyDescent="0.2">
      <c r="A349" s="57"/>
      <c r="B349" s="57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1"/>
      <c r="Y349" s="60"/>
      <c r="Z349" s="59"/>
    </row>
    <row r="350" spans="1:26" x14ac:dyDescent="0.2">
      <c r="A350" s="57"/>
      <c r="B350" s="57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1"/>
      <c r="Y350" s="60"/>
      <c r="Z350" s="59"/>
    </row>
    <row r="351" spans="1:26" x14ac:dyDescent="0.2">
      <c r="A351" s="57"/>
      <c r="B351" s="57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1"/>
      <c r="Y351" s="60"/>
      <c r="Z351" s="59"/>
    </row>
    <row r="352" spans="1:26" x14ac:dyDescent="0.2">
      <c r="A352" s="57"/>
      <c r="B352" s="57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1"/>
      <c r="Y352" s="60"/>
      <c r="Z352" s="59"/>
    </row>
    <row r="353" spans="1:26" x14ac:dyDescent="0.2">
      <c r="A353" s="57"/>
      <c r="B353" s="57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1"/>
      <c r="Y353" s="60"/>
      <c r="Z353" s="59"/>
    </row>
    <row r="354" spans="1:26" x14ac:dyDescent="0.2">
      <c r="A354" s="57"/>
      <c r="B354" s="57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1"/>
      <c r="Y354" s="60"/>
      <c r="Z354" s="59"/>
    </row>
    <row r="355" spans="1:26" x14ac:dyDescent="0.2">
      <c r="A355" s="57"/>
      <c r="B355" s="57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1"/>
      <c r="Y355" s="60"/>
      <c r="Z355" s="59"/>
    </row>
    <row r="356" spans="1:26" x14ac:dyDescent="0.2">
      <c r="A356" s="57"/>
      <c r="B356" s="57"/>
      <c r="C356" s="57"/>
      <c r="D356" s="58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Y356" s="57"/>
      <c r="Z356" s="56"/>
    </row>
    <row r="357" spans="1:26" x14ac:dyDescent="0.2">
      <c r="A357" s="57"/>
      <c r="B357" s="57"/>
      <c r="C357" s="57"/>
      <c r="D357" s="58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Y357" s="57"/>
      <c r="Z357" s="56"/>
    </row>
    <row r="358" spans="1:26" x14ac:dyDescent="0.2">
      <c r="A358" s="57"/>
      <c r="B358" s="57"/>
      <c r="C358" s="57"/>
      <c r="D358" s="58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Y358" s="57"/>
      <c r="Z358" s="56"/>
    </row>
    <row r="359" spans="1:26" x14ac:dyDescent="0.2">
      <c r="A359" s="57"/>
      <c r="B359" s="57"/>
      <c r="C359" s="57"/>
      <c r="D359" s="58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Y359" s="57"/>
      <c r="Z359" s="56"/>
    </row>
    <row r="360" spans="1:26" x14ac:dyDescent="0.2">
      <c r="A360" s="57"/>
      <c r="B360" s="57"/>
      <c r="C360" s="57"/>
      <c r="D360" s="58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Y360" s="57"/>
      <c r="Z360" s="56"/>
    </row>
    <row r="361" spans="1:26" x14ac:dyDescent="0.2">
      <c r="A361" s="57"/>
      <c r="B361" s="57"/>
      <c r="C361" s="57"/>
      <c r="D361" s="58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Y361" s="57"/>
      <c r="Z361" s="56"/>
    </row>
    <row r="362" spans="1:26" x14ac:dyDescent="0.2">
      <c r="A362" s="57"/>
      <c r="B362" s="57"/>
      <c r="C362" s="57"/>
      <c r="D362" s="58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Y362" s="57"/>
      <c r="Z362" s="56"/>
    </row>
    <row r="363" spans="1:26" x14ac:dyDescent="0.2">
      <c r="A363" s="57"/>
      <c r="B363" s="57"/>
      <c r="C363" s="57"/>
      <c r="D363" s="58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Y363" s="57"/>
      <c r="Z363" s="56"/>
    </row>
    <row r="364" spans="1:26" x14ac:dyDescent="0.2">
      <c r="A364" s="57"/>
      <c r="B364" s="57"/>
      <c r="C364" s="57"/>
      <c r="D364" s="58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Y364" s="57"/>
      <c r="Z364" s="56"/>
    </row>
    <row r="365" spans="1:26" x14ac:dyDescent="0.2">
      <c r="A365" s="57"/>
      <c r="B365" s="57"/>
      <c r="C365" s="57"/>
      <c r="D365" s="58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Y365" s="57"/>
      <c r="Z365" s="56"/>
    </row>
    <row r="366" spans="1:26" x14ac:dyDescent="0.2">
      <c r="A366" s="57"/>
      <c r="B366" s="57"/>
      <c r="C366" s="57"/>
      <c r="D366" s="58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Y366" s="57"/>
      <c r="Z366" s="56"/>
    </row>
    <row r="367" spans="1:26" x14ac:dyDescent="0.2">
      <c r="A367" s="57"/>
      <c r="B367" s="57"/>
      <c r="C367" s="57"/>
      <c r="D367" s="58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Y367" s="57"/>
      <c r="Z367" s="56"/>
    </row>
    <row r="368" spans="1:26" x14ac:dyDescent="0.2">
      <c r="A368" s="57"/>
      <c r="B368" s="57"/>
      <c r="C368" s="57"/>
      <c r="D368" s="58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Y368" s="57"/>
      <c r="Z368" s="56"/>
    </row>
    <row r="369" spans="1:26" x14ac:dyDescent="0.2">
      <c r="A369" s="57"/>
      <c r="B369" s="57"/>
      <c r="C369" s="57"/>
      <c r="D369" s="58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Y369" s="57"/>
      <c r="Z369" s="56"/>
    </row>
    <row r="370" spans="1:26" x14ac:dyDescent="0.2">
      <c r="A370" s="57"/>
      <c r="B370" s="57"/>
      <c r="C370" s="57"/>
      <c r="D370" s="58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Y370" s="57"/>
      <c r="Z370" s="56"/>
    </row>
    <row r="371" spans="1:26" x14ac:dyDescent="0.2">
      <c r="A371" s="57"/>
      <c r="B371" s="57"/>
      <c r="C371" s="57"/>
      <c r="D371" s="58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Y371" s="57"/>
      <c r="Z371" s="56"/>
    </row>
    <row r="372" spans="1:26" x14ac:dyDescent="0.2">
      <c r="A372" s="57"/>
      <c r="B372" s="57"/>
      <c r="C372" s="57"/>
      <c r="D372" s="58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Y372" s="57"/>
      <c r="Z372" s="56"/>
    </row>
    <row r="373" spans="1:26" x14ac:dyDescent="0.2">
      <c r="A373" s="57"/>
      <c r="B373" s="57"/>
      <c r="C373" s="57"/>
      <c r="D373" s="58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Y373" s="57"/>
      <c r="Z373" s="56"/>
    </row>
    <row r="374" spans="1:26" x14ac:dyDescent="0.2">
      <c r="A374" s="57"/>
      <c r="B374" s="57"/>
      <c r="C374" s="57"/>
      <c r="D374" s="58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Y374" s="57"/>
      <c r="Z374" s="56"/>
    </row>
    <row r="375" spans="1:26" x14ac:dyDescent="0.2">
      <c r="A375" s="57"/>
      <c r="B375" s="57"/>
      <c r="C375" s="57"/>
      <c r="D375" s="58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Y375" s="57"/>
      <c r="Z375" s="56"/>
    </row>
    <row r="376" spans="1:26" x14ac:dyDescent="0.2">
      <c r="A376" s="57"/>
      <c r="B376" s="57"/>
      <c r="C376" s="57"/>
      <c r="D376" s="58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Y376" s="57"/>
      <c r="Z376" s="56"/>
    </row>
    <row r="377" spans="1:26" x14ac:dyDescent="0.2">
      <c r="A377" s="57"/>
      <c r="B377" s="57"/>
      <c r="C377" s="57"/>
      <c r="D377" s="58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Y377" s="57"/>
      <c r="Z377" s="56"/>
    </row>
    <row r="378" spans="1:26" x14ac:dyDescent="0.2">
      <c r="A378" s="57"/>
      <c r="B378" s="57"/>
      <c r="C378" s="57"/>
      <c r="D378" s="58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Y378" s="57"/>
      <c r="Z378" s="56"/>
    </row>
    <row r="379" spans="1:26" x14ac:dyDescent="0.2">
      <c r="A379" s="57"/>
      <c r="B379" s="57"/>
      <c r="C379" s="57"/>
      <c r="D379" s="58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Y379" s="57"/>
      <c r="Z379" s="56"/>
    </row>
    <row r="380" spans="1:26" x14ac:dyDescent="0.2">
      <c r="A380" s="57"/>
      <c r="B380" s="57"/>
      <c r="C380" s="57"/>
      <c r="D380" s="58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Y380" s="57"/>
      <c r="Z380" s="56"/>
    </row>
    <row r="381" spans="1:26" x14ac:dyDescent="0.2">
      <c r="A381" s="57"/>
      <c r="B381" s="57"/>
      <c r="C381" s="57"/>
      <c r="D381" s="58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Y381" s="57"/>
      <c r="Z381" s="56"/>
    </row>
    <row r="382" spans="1:26" x14ac:dyDescent="0.2">
      <c r="A382" s="57"/>
      <c r="B382" s="57"/>
      <c r="C382" s="57"/>
      <c r="D382" s="58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Y382" s="57"/>
      <c r="Z382" s="56"/>
    </row>
    <row r="383" spans="1:26" x14ac:dyDescent="0.2">
      <c r="A383" s="57"/>
      <c r="B383" s="57"/>
      <c r="C383" s="57"/>
      <c r="D383" s="58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Y383" s="57"/>
      <c r="Z383" s="56"/>
    </row>
    <row r="384" spans="1:26" x14ac:dyDescent="0.2">
      <c r="A384" s="57"/>
      <c r="B384" s="57"/>
      <c r="C384" s="57"/>
      <c r="D384" s="58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Y384" s="57"/>
      <c r="Z384" s="56"/>
    </row>
    <row r="385" spans="1:26" x14ac:dyDescent="0.2">
      <c r="A385" s="57"/>
      <c r="B385" s="57"/>
      <c r="C385" s="57"/>
      <c r="D385" s="58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Y385" s="57"/>
      <c r="Z385" s="56"/>
    </row>
    <row r="386" spans="1:26" x14ac:dyDescent="0.2">
      <c r="A386" s="57"/>
      <c r="B386" s="57"/>
      <c r="C386" s="57"/>
      <c r="D386" s="58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Y386" s="57"/>
      <c r="Z386" s="56"/>
    </row>
    <row r="387" spans="1:26" x14ac:dyDescent="0.2">
      <c r="A387" s="57"/>
      <c r="B387" s="57"/>
      <c r="C387" s="57"/>
      <c r="D387" s="58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Y387" s="57"/>
      <c r="Z387" s="56"/>
    </row>
    <row r="388" spans="1:26" x14ac:dyDescent="0.2">
      <c r="A388" s="57"/>
      <c r="B388" s="57"/>
      <c r="C388" s="57"/>
      <c r="D388" s="58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Y388" s="57"/>
      <c r="Z388" s="56"/>
    </row>
  </sheetData>
  <mergeCells count="19">
    <mergeCell ref="P1:P2"/>
    <mergeCell ref="R1:R2"/>
    <mergeCell ref="S1:S2"/>
    <mergeCell ref="T1:T2"/>
    <mergeCell ref="U1:U2"/>
    <mergeCell ref="Y1:Y2"/>
    <mergeCell ref="Z1:Z2"/>
    <mergeCell ref="W1:W2"/>
    <mergeCell ref="I1:I2"/>
    <mergeCell ref="J1:J2"/>
    <mergeCell ref="L1:L2"/>
    <mergeCell ref="M1:M2"/>
    <mergeCell ref="O1:O2"/>
    <mergeCell ref="A1:A2"/>
    <mergeCell ref="B1:B2"/>
    <mergeCell ref="C1:C2"/>
    <mergeCell ref="D1:D2"/>
    <mergeCell ref="F1:F2"/>
    <mergeCell ref="G1:G2"/>
  </mergeCells>
  <conditionalFormatting sqref="X3:X1048576">
    <cfRule type="cellIs" dxfId="6" priority="6" operator="lessThan">
      <formula>-0.1</formula>
    </cfRule>
    <cfRule type="cellIs" dxfId="5" priority="7" operator="greaterThan">
      <formula>0.1</formula>
    </cfRule>
  </conditionalFormatting>
  <conditionalFormatting sqref="X5:X8">
    <cfRule type="cellIs" dxfId="4" priority="1" operator="greaterThan">
      <formula>0.1</formula>
    </cfRule>
  </conditionalFormatting>
  <conditionalFormatting sqref="X14:X82">
    <cfRule type="cellIs" dxfId="3" priority="2" operator="greaterThan">
      <formula>0.1</formula>
    </cfRule>
  </conditionalFormatting>
  <conditionalFormatting sqref="X100">
    <cfRule type="cellIs" dxfId="2" priority="5" operator="greaterThan">
      <formula>0.1</formula>
    </cfRule>
  </conditionalFormatting>
  <conditionalFormatting sqref="X104:X319">
    <cfRule type="cellIs" dxfId="1" priority="4" operator="lessThan">
      <formula>-0.1</formula>
    </cfRule>
  </conditionalFormatting>
  <conditionalFormatting sqref="X322">
    <cfRule type="cellIs" dxfId="0" priority="3" operator="greaterThan">
      <formula>0.1</formula>
    </cfRule>
  </conditionalFormatting>
  <pageMargins left="0.2" right="0.2" top="0.75" bottom="0.75" header="0.3" footer="0.3"/>
  <pageSetup paperSize="3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6227-CD49-47F7-9FE7-90128E2DE928}">
  <dimension ref="A1:U46"/>
  <sheetViews>
    <sheetView tabSelected="1" zoomScaleNormal="100" workbookViewId="0">
      <selection activeCell="I7" sqref="I7"/>
    </sheetView>
  </sheetViews>
  <sheetFormatPr defaultRowHeight="15" x14ac:dyDescent="0.25"/>
  <cols>
    <col min="1" max="1" width="7.5703125" bestFit="1" customWidth="1"/>
    <col min="2" max="2" width="17.42578125" bestFit="1" customWidth="1"/>
    <col min="3" max="3" width="11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2.28515625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6" width="13.28515625" bestFit="1" customWidth="1"/>
    <col min="17" max="17" width="12.28515625" bestFit="1" customWidth="1"/>
    <col min="18" max="18" width="14.42578125" bestFit="1" customWidth="1"/>
    <col min="19" max="19" width="12.28515625" bestFit="1" customWidth="1"/>
    <col min="20" max="20" width="9.5703125" bestFit="1" customWidth="1"/>
    <col min="21" max="21" width="17.42578125" bestFit="1" customWidth="1"/>
    <col min="22" max="22" width="9.5703125" bestFit="1" customWidth="1"/>
    <col min="23" max="23" width="12" bestFit="1" customWidth="1"/>
    <col min="24" max="24" width="14.42578125" bestFit="1" customWidth="1"/>
    <col min="25" max="25" width="7.5703125" bestFit="1" customWidth="1"/>
    <col min="26" max="26" width="17.42578125" bestFit="1" customWidth="1"/>
    <col min="27" max="27" width="9.5703125" bestFit="1" customWidth="1"/>
    <col min="28" max="28" width="12" bestFit="1" customWidth="1"/>
    <col min="29" max="29" width="14.42578125" bestFit="1" customWidth="1"/>
    <col min="30" max="30" width="2.7109375" customWidth="1"/>
    <col min="31" max="31" width="7.5703125" bestFit="1" customWidth="1"/>
    <col min="32" max="32" width="17.42578125" bestFit="1" customWidth="1"/>
    <col min="33" max="33" width="10.5703125" bestFit="1" customWidth="1"/>
    <col min="34" max="34" width="12" bestFit="1" customWidth="1"/>
    <col min="35" max="35" width="14.42578125" bestFit="1" customWidth="1"/>
    <col min="36" max="36" width="2.7109375" customWidth="1"/>
    <col min="37" max="37" width="7.5703125" bestFit="1" customWidth="1"/>
    <col min="38" max="38" width="17.42578125" bestFit="1" customWidth="1"/>
    <col min="39" max="39" width="9.5703125" bestFit="1" customWidth="1"/>
    <col min="40" max="40" width="12" bestFit="1" customWidth="1"/>
    <col min="41" max="41" width="14.42578125" bestFit="1" customWidth="1"/>
  </cols>
  <sheetData>
    <row r="1" spans="1:19" x14ac:dyDescent="0.25">
      <c r="B1" s="120" t="s">
        <v>454</v>
      </c>
      <c r="C1" s="120"/>
      <c r="D1" s="120"/>
      <c r="E1" s="120"/>
      <c r="H1" s="120" t="s">
        <v>507</v>
      </c>
      <c r="I1" s="120"/>
      <c r="J1" s="120"/>
      <c r="K1" s="120"/>
      <c r="O1" t="s">
        <v>506</v>
      </c>
      <c r="P1" t="s">
        <v>505</v>
      </c>
      <c r="Q1" t="s">
        <v>504</v>
      </c>
    </row>
    <row r="2" spans="1:19" x14ac:dyDescent="0.25">
      <c r="A2" t="s">
        <v>496</v>
      </c>
      <c r="B2" t="s">
        <v>495</v>
      </c>
      <c r="C2" t="s">
        <v>494</v>
      </c>
      <c r="D2" t="s">
        <v>493</v>
      </c>
      <c r="E2" t="s">
        <v>492</v>
      </c>
      <c r="G2" t="s">
        <v>496</v>
      </c>
      <c r="H2" t="s">
        <v>495</v>
      </c>
      <c r="I2" t="s">
        <v>494</v>
      </c>
      <c r="J2" t="s">
        <v>493</v>
      </c>
      <c r="K2" t="s">
        <v>492</v>
      </c>
      <c r="N2" t="s">
        <v>503</v>
      </c>
      <c r="O2" s="117">
        <f>5334980.05*0.5</f>
        <v>2667490.0249999999</v>
      </c>
      <c r="P2" s="117">
        <f>+E14</f>
        <v>2692900.7899999996</v>
      </c>
      <c r="Q2" s="117">
        <f>+P2-O2</f>
        <v>25410.764999999665</v>
      </c>
    </row>
    <row r="3" spans="1:19" x14ac:dyDescent="0.25">
      <c r="A3" s="118" t="s">
        <v>491</v>
      </c>
      <c r="B3" s="117">
        <v>2667490.0299999998</v>
      </c>
      <c r="C3" s="117"/>
      <c r="D3" s="117"/>
      <c r="E3" s="117">
        <f>+B3+C3+D3</f>
        <v>2667490.0299999998</v>
      </c>
      <c r="G3" s="118" t="s">
        <v>491</v>
      </c>
      <c r="H3" s="117">
        <v>935690.22</v>
      </c>
      <c r="I3" s="117">
        <f>-D3-D19-J19-Q19-D35-Q35</f>
        <v>49162.39</v>
      </c>
      <c r="J3" s="117">
        <f>-C3-C19-C35-I19-P19-P35</f>
        <v>-25235.67</v>
      </c>
      <c r="K3" s="117">
        <f>+H3+I3+J3</f>
        <v>959616.94</v>
      </c>
      <c r="N3" t="s">
        <v>502</v>
      </c>
      <c r="O3" s="117">
        <f>5334980.05*0.15</f>
        <v>800247.00749999995</v>
      </c>
      <c r="P3" s="117">
        <f>+K14</f>
        <v>1025283.0700000002</v>
      </c>
      <c r="Q3" s="117">
        <f>+P3-O3</f>
        <v>225036.06250000023</v>
      </c>
    </row>
    <row r="4" spans="1:19" x14ac:dyDescent="0.25">
      <c r="A4" s="118" t="s">
        <v>490</v>
      </c>
      <c r="B4" s="117">
        <f>+E3</f>
        <v>2667490.0299999998</v>
      </c>
      <c r="C4" s="117">
        <v>5080.5</v>
      </c>
      <c r="D4" s="117"/>
      <c r="E4" s="117">
        <f>+B4+C4+D4</f>
        <v>2672570.5299999998</v>
      </c>
      <c r="G4" s="118" t="s">
        <v>490</v>
      </c>
      <c r="H4" s="117">
        <f>+K3</f>
        <v>959616.94</v>
      </c>
      <c r="I4" s="117">
        <f>-D4-D20-J20-Q20-D36-Q36</f>
        <v>98249.29</v>
      </c>
      <c r="J4" s="117">
        <f>-C4-C20-C36-I20-P20-P36</f>
        <v>-41592.490000000005</v>
      </c>
      <c r="K4" s="117">
        <f>+H4+I4+J4</f>
        <v>1016273.74</v>
      </c>
    </row>
    <row r="5" spans="1:19" x14ac:dyDescent="0.25">
      <c r="A5" s="118" t="s">
        <v>489</v>
      </c>
      <c r="B5" s="117">
        <f>+E4</f>
        <v>2672570.5299999998</v>
      </c>
      <c r="C5" s="117">
        <v>7963.88</v>
      </c>
      <c r="D5" s="117"/>
      <c r="E5" s="117">
        <f>+B5+C5+D5</f>
        <v>2680534.4099999997</v>
      </c>
      <c r="G5" s="118" t="s">
        <v>489</v>
      </c>
      <c r="H5" s="117">
        <f>+K4</f>
        <v>1016273.74</v>
      </c>
      <c r="I5" s="117">
        <f>-D5-D21-J21-Q21-D37-Q37</f>
        <v>96493</v>
      </c>
      <c r="J5" s="117">
        <f>-C5-C21-C37-I21-P21-P37</f>
        <v>-44335.479999999996</v>
      </c>
      <c r="K5" s="117">
        <f>+H5+I5+J5</f>
        <v>1068431.26</v>
      </c>
    </row>
    <row r="6" spans="1:19" x14ac:dyDescent="0.25">
      <c r="A6" s="118" t="s">
        <v>488</v>
      </c>
      <c r="B6" s="117">
        <f>+E5</f>
        <v>2680534.4099999997</v>
      </c>
      <c r="C6" s="117">
        <v>4553.63</v>
      </c>
      <c r="D6" s="117"/>
      <c r="E6" s="117">
        <f>+B6+C6+D6</f>
        <v>2685088.0399999996</v>
      </c>
      <c r="G6" s="118" t="s">
        <v>488</v>
      </c>
      <c r="H6" s="117">
        <f>+K5</f>
        <v>1068431.26</v>
      </c>
      <c r="I6" s="117">
        <f>-D6-D22-J22-Q22-D38-Q38</f>
        <v>42735.87</v>
      </c>
      <c r="J6" s="117">
        <f>-C6-C22-C38-I22-P22-P38</f>
        <v>-86717.759999999995</v>
      </c>
      <c r="K6" s="117">
        <f>+H6+I6+J6</f>
        <v>1024449.3700000001</v>
      </c>
      <c r="N6" t="s">
        <v>501</v>
      </c>
      <c r="O6" s="121"/>
    </row>
    <row r="7" spans="1:19" x14ac:dyDescent="0.25">
      <c r="A7" s="118" t="s">
        <v>487</v>
      </c>
      <c r="B7" s="117">
        <f>+E6</f>
        <v>2685088.0399999996</v>
      </c>
      <c r="C7" s="117">
        <v>4824.75</v>
      </c>
      <c r="D7" s="117"/>
      <c r="E7" s="117">
        <f>+B7+C7+D7</f>
        <v>2689912.7899999996</v>
      </c>
      <c r="G7" s="118" t="s">
        <v>487</v>
      </c>
      <c r="H7" s="117">
        <f>+K6</f>
        <v>1024449.3700000001</v>
      </c>
      <c r="I7" s="117">
        <f>-D7-D23-J23-Q23-D39-Q39</f>
        <v>107586.91</v>
      </c>
      <c r="J7" s="117">
        <f>-C7-C23-C39-I23-P23-P39</f>
        <v>-78757.73</v>
      </c>
      <c r="K7" s="117">
        <f>+H7+I7+J7</f>
        <v>1053278.55</v>
      </c>
      <c r="N7" t="s">
        <v>500</v>
      </c>
    </row>
    <row r="8" spans="1:19" x14ac:dyDescent="0.25">
      <c r="A8" s="118" t="s">
        <v>486</v>
      </c>
      <c r="B8" s="117">
        <f>+E7</f>
        <v>2689912.7899999996</v>
      </c>
      <c r="C8" s="117">
        <v>2988</v>
      </c>
      <c r="D8" s="117"/>
      <c r="E8" s="117">
        <f>+B8+C8+D8</f>
        <v>2692900.7899999996</v>
      </c>
      <c r="G8" s="118" t="s">
        <v>486</v>
      </c>
      <c r="H8" s="117">
        <f>+K7</f>
        <v>1053278.55</v>
      </c>
      <c r="I8" s="117">
        <f>-D8-D24-J24-Q24-D40-Q40</f>
        <v>46095.1</v>
      </c>
      <c r="J8" s="117">
        <f>-C8-C24-C40-I24-P24-P40</f>
        <v>-74090.58</v>
      </c>
      <c r="K8" s="117">
        <f>+H8+I8+J8</f>
        <v>1025283.0700000002</v>
      </c>
    </row>
    <row r="9" spans="1:19" x14ac:dyDescent="0.25">
      <c r="A9" s="118" t="s">
        <v>485</v>
      </c>
      <c r="B9" s="117">
        <f>+E8</f>
        <v>2692900.7899999996</v>
      </c>
      <c r="C9" s="117"/>
      <c r="D9" s="117"/>
      <c r="E9" s="117">
        <f>+B9+C9+D9</f>
        <v>2692900.7899999996</v>
      </c>
      <c r="G9" s="118" t="s">
        <v>485</v>
      </c>
      <c r="H9" s="117">
        <f>+K8</f>
        <v>1025283.0700000002</v>
      </c>
      <c r="I9" s="117">
        <f>-D9-D25-J25-Q25-D41-Q41</f>
        <v>0</v>
      </c>
      <c r="J9" s="117">
        <f>-C9-C25-C41-I25-P25-P41</f>
        <v>0</v>
      </c>
      <c r="K9" s="117">
        <f>+H9+I9+J9</f>
        <v>1025283.0700000002</v>
      </c>
      <c r="O9" s="122"/>
      <c r="P9" s="121"/>
      <c r="Q9" s="122"/>
      <c r="R9" s="119"/>
      <c r="S9" s="119"/>
    </row>
    <row r="10" spans="1:19" x14ac:dyDescent="0.25">
      <c r="A10" s="118" t="s">
        <v>484</v>
      </c>
      <c r="B10" s="117">
        <f>+E9</f>
        <v>2692900.7899999996</v>
      </c>
      <c r="C10" s="117"/>
      <c r="D10" s="117"/>
      <c r="E10" s="117">
        <f>+B10+C10+D10</f>
        <v>2692900.7899999996</v>
      </c>
      <c r="G10" s="118" t="s">
        <v>484</v>
      </c>
      <c r="H10" s="117">
        <f>+K9</f>
        <v>1025283.0700000002</v>
      </c>
      <c r="I10" s="117">
        <f>-D10-D26-J26-Q26-D42-Q42</f>
        <v>0</v>
      </c>
      <c r="J10" s="117">
        <f>-C10-C26-C42-I26-P26-P42</f>
        <v>0</v>
      </c>
      <c r="K10" s="117">
        <f>+H10+I10+J10</f>
        <v>1025283.0700000002</v>
      </c>
      <c r="O10" s="122"/>
      <c r="P10" s="121"/>
      <c r="Q10" s="122"/>
      <c r="S10" s="119"/>
    </row>
    <row r="11" spans="1:19" x14ac:dyDescent="0.25">
      <c r="A11" s="118" t="s">
        <v>483</v>
      </c>
      <c r="B11" s="117">
        <f>+E10</f>
        <v>2692900.7899999996</v>
      </c>
      <c r="C11" s="117"/>
      <c r="D11" s="117"/>
      <c r="E11" s="117">
        <f>+B11+C11+D11</f>
        <v>2692900.7899999996</v>
      </c>
      <c r="G11" s="118" t="s">
        <v>483</v>
      </c>
      <c r="H11" s="117">
        <f>+K10</f>
        <v>1025283.0700000002</v>
      </c>
      <c r="I11" s="117">
        <f>-D11-D27-J27-Q27-D43-Q43</f>
        <v>0</v>
      </c>
      <c r="J11" s="117">
        <f>-C11-C27-C43-I27-P27-P43</f>
        <v>0</v>
      </c>
      <c r="K11" s="117">
        <f>+H11+I11+J11</f>
        <v>1025283.0700000002</v>
      </c>
      <c r="O11" s="122"/>
      <c r="P11" s="121"/>
      <c r="Q11" s="122"/>
      <c r="R11" s="119"/>
      <c r="S11" s="119"/>
    </row>
    <row r="12" spans="1:19" x14ac:dyDescent="0.25">
      <c r="A12" s="118" t="s">
        <v>482</v>
      </c>
      <c r="B12" s="117">
        <f>+E11</f>
        <v>2692900.7899999996</v>
      </c>
      <c r="C12" s="117"/>
      <c r="D12" s="117"/>
      <c r="E12" s="117">
        <f>+B12+C12+D12</f>
        <v>2692900.7899999996</v>
      </c>
      <c r="G12" s="118" t="s">
        <v>482</v>
      </c>
      <c r="H12" s="117">
        <f>+K11</f>
        <v>1025283.0700000002</v>
      </c>
      <c r="I12" s="117">
        <f>-D12-D28-J28-Q28-D44-Q44</f>
        <v>0</v>
      </c>
      <c r="J12" s="117">
        <f>-C12-C28-C44-I28-P28-P44</f>
        <v>0</v>
      </c>
      <c r="K12" s="117">
        <f>+H12+I12+J12</f>
        <v>1025283.0700000002</v>
      </c>
      <c r="O12" s="122"/>
      <c r="Q12" s="122"/>
    </row>
    <row r="13" spans="1:19" x14ac:dyDescent="0.25">
      <c r="A13" s="118" t="s">
        <v>481</v>
      </c>
      <c r="B13" s="117">
        <f>+E12</f>
        <v>2692900.7899999996</v>
      </c>
      <c r="C13" s="117"/>
      <c r="D13" s="117"/>
      <c r="E13" s="117">
        <f>+B13+C13+D13</f>
        <v>2692900.7899999996</v>
      </c>
      <c r="G13" s="118" t="s">
        <v>481</v>
      </c>
      <c r="H13" s="117">
        <f>+K12</f>
        <v>1025283.0700000002</v>
      </c>
      <c r="I13" s="117">
        <f>-D13-D29-J29-Q29-D45-Q45</f>
        <v>0</v>
      </c>
      <c r="J13" s="117">
        <f>-C13-C29-C45-I29-P29-P45</f>
        <v>0</v>
      </c>
      <c r="K13" s="117">
        <f>+H13+I13+J13</f>
        <v>1025283.0700000002</v>
      </c>
      <c r="O13" s="122"/>
      <c r="P13" s="121"/>
      <c r="Q13" s="122"/>
      <c r="R13" s="121"/>
      <c r="S13" s="117"/>
    </row>
    <row r="14" spans="1:19" x14ac:dyDescent="0.25">
      <c r="A14" s="118" t="s">
        <v>480</v>
      </c>
      <c r="B14" s="117">
        <f>+E13</f>
        <v>2692900.7899999996</v>
      </c>
      <c r="C14" s="117"/>
      <c r="D14" s="117"/>
      <c r="E14" s="117">
        <f>+B14+C14+D14</f>
        <v>2692900.7899999996</v>
      </c>
      <c r="G14" s="118" t="s">
        <v>480</v>
      </c>
      <c r="H14" s="117">
        <f>+K13</f>
        <v>1025283.0700000002</v>
      </c>
      <c r="I14" s="117">
        <f>-D14-D30-J30-Q30-D46-Q46</f>
        <v>0</v>
      </c>
      <c r="J14" s="117">
        <f>-C14-C30-C46-I30-P30-P46</f>
        <v>0</v>
      </c>
      <c r="K14" s="117">
        <f>+H14+I14+J14</f>
        <v>1025283.0700000002</v>
      </c>
    </row>
    <row r="15" spans="1:19" x14ac:dyDescent="0.25">
      <c r="R15" s="119"/>
    </row>
    <row r="17" spans="1:21" x14ac:dyDescent="0.25">
      <c r="B17" s="120" t="s">
        <v>499</v>
      </c>
      <c r="C17" s="120"/>
      <c r="D17" s="120"/>
      <c r="E17" s="120"/>
      <c r="H17" s="120" t="s">
        <v>46</v>
      </c>
      <c r="I17" s="120"/>
      <c r="J17" s="120"/>
      <c r="K17" s="120"/>
      <c r="O17" s="120" t="s">
        <v>498</v>
      </c>
      <c r="P17" s="120"/>
      <c r="Q17" s="120"/>
      <c r="R17" s="120"/>
    </row>
    <row r="18" spans="1:21" x14ac:dyDescent="0.25">
      <c r="A18" t="s">
        <v>496</v>
      </c>
      <c r="B18" t="s">
        <v>495</v>
      </c>
      <c r="C18" t="s">
        <v>494</v>
      </c>
      <c r="D18" t="s">
        <v>493</v>
      </c>
      <c r="E18" t="s">
        <v>492</v>
      </c>
      <c r="G18" t="s">
        <v>496</v>
      </c>
      <c r="H18" t="s">
        <v>495</v>
      </c>
      <c r="I18" t="s">
        <v>494</v>
      </c>
      <c r="J18" t="s">
        <v>493</v>
      </c>
      <c r="K18" t="s">
        <v>492</v>
      </c>
      <c r="N18" t="s">
        <v>496</v>
      </c>
      <c r="O18" t="s">
        <v>495</v>
      </c>
      <c r="P18" t="s">
        <v>494</v>
      </c>
      <c r="Q18" t="s">
        <v>493</v>
      </c>
      <c r="R18" t="s">
        <v>492</v>
      </c>
    </row>
    <row r="19" spans="1:21" x14ac:dyDescent="0.25">
      <c r="A19" s="118" t="s">
        <v>491</v>
      </c>
      <c r="B19" s="117">
        <v>682398.03</v>
      </c>
      <c r="C19" s="117">
        <v>20485.669999999998</v>
      </c>
      <c r="D19" s="117"/>
      <c r="E19" s="117">
        <f>+B19+C19+D19</f>
        <v>702883.70000000007</v>
      </c>
      <c r="G19" s="118" t="s">
        <v>491</v>
      </c>
      <c r="H19" s="117">
        <v>296000</v>
      </c>
      <c r="I19" s="117"/>
      <c r="J19" s="117">
        <v>-13993</v>
      </c>
      <c r="K19" s="117">
        <f>+H19+I19+J19</f>
        <v>282007</v>
      </c>
      <c r="N19" s="118" t="s">
        <v>491</v>
      </c>
      <c r="O19" s="117">
        <v>91528.29</v>
      </c>
      <c r="P19" s="117">
        <v>4750</v>
      </c>
      <c r="Q19" s="117"/>
      <c r="R19" s="117">
        <f>+O19+P19+Q19</f>
        <v>96278.29</v>
      </c>
    </row>
    <row r="20" spans="1:21" x14ac:dyDescent="0.25">
      <c r="A20" s="118" t="s">
        <v>490</v>
      </c>
      <c r="B20" s="117">
        <f>+E19</f>
        <v>702883.70000000007</v>
      </c>
      <c r="C20" s="117">
        <v>27485.49</v>
      </c>
      <c r="D20" s="117"/>
      <c r="E20" s="117">
        <f>+B20+C20+D20</f>
        <v>730369.19000000006</v>
      </c>
      <c r="G20" s="118" t="s">
        <v>490</v>
      </c>
      <c r="H20" s="117">
        <f>+K19</f>
        <v>282007</v>
      </c>
      <c r="I20" s="117"/>
      <c r="J20" s="117">
        <v>-65280.7</v>
      </c>
      <c r="K20" s="117">
        <f>+H20+I20+J20</f>
        <v>216726.3</v>
      </c>
      <c r="N20" s="118" t="s">
        <v>490</v>
      </c>
      <c r="O20" s="117">
        <f>+R19</f>
        <v>96278.29</v>
      </c>
      <c r="P20" s="117"/>
      <c r="Q20" s="117"/>
      <c r="R20" s="117">
        <f>+O20+P20+Q20</f>
        <v>96278.29</v>
      </c>
    </row>
    <row r="21" spans="1:21" x14ac:dyDescent="0.25">
      <c r="A21" s="118" t="s">
        <v>489</v>
      </c>
      <c r="B21" s="117">
        <f>+E20</f>
        <v>730369.19000000006</v>
      </c>
      <c r="C21" s="117">
        <v>13753.19</v>
      </c>
      <c r="D21" s="117"/>
      <c r="E21" s="117">
        <f>+B21+C21+D21</f>
        <v>744122.38</v>
      </c>
      <c r="G21" s="118" t="s">
        <v>489</v>
      </c>
      <c r="H21" s="117">
        <f>+K20</f>
        <v>216726.3</v>
      </c>
      <c r="I21" s="117"/>
      <c r="J21" s="117">
        <v>-31205.31</v>
      </c>
      <c r="K21" s="117">
        <f>+H21+I21+J21</f>
        <v>185520.99</v>
      </c>
      <c r="N21" s="118" t="s">
        <v>489</v>
      </c>
      <c r="O21" s="117">
        <f>+R20</f>
        <v>96278.29</v>
      </c>
      <c r="P21" s="117"/>
      <c r="Q21" s="117">
        <v>-31568.57</v>
      </c>
      <c r="R21" s="117">
        <f>+O21+P21+Q21</f>
        <v>64709.719999999994</v>
      </c>
    </row>
    <row r="22" spans="1:21" x14ac:dyDescent="0.25">
      <c r="A22" s="118" t="s">
        <v>488</v>
      </c>
      <c r="B22" s="117">
        <f>+E21</f>
        <v>744122.38</v>
      </c>
      <c r="C22" s="117">
        <v>12053.73</v>
      </c>
      <c r="D22" s="117"/>
      <c r="E22" s="117">
        <f>+B22+C22+D22</f>
        <v>756176.11</v>
      </c>
      <c r="G22" s="118" t="s">
        <v>488</v>
      </c>
      <c r="H22" s="117">
        <f>+K21</f>
        <v>185520.99</v>
      </c>
      <c r="I22" s="117"/>
      <c r="J22" s="117"/>
      <c r="K22" s="117">
        <f>+H22+I22+J22</f>
        <v>185520.99</v>
      </c>
      <c r="N22" s="118" t="s">
        <v>488</v>
      </c>
      <c r="O22" s="117">
        <f>+R21</f>
        <v>64709.719999999994</v>
      </c>
      <c r="P22" s="117">
        <v>18732.05</v>
      </c>
      <c r="Q22" s="117"/>
      <c r="R22" s="117">
        <f>+O22+P22+Q22</f>
        <v>83441.76999999999</v>
      </c>
    </row>
    <row r="23" spans="1:21" x14ac:dyDescent="0.25">
      <c r="A23" s="118" t="s">
        <v>487</v>
      </c>
      <c r="B23" s="117">
        <f>+E22</f>
        <v>756176.11</v>
      </c>
      <c r="C23" s="117">
        <v>15259.53</v>
      </c>
      <c r="D23" s="117"/>
      <c r="E23" s="117">
        <f>+B23+C23+D23</f>
        <v>771435.64</v>
      </c>
      <c r="G23" s="118" t="s">
        <v>487</v>
      </c>
      <c r="H23" s="117">
        <f>+K22</f>
        <v>185520.99</v>
      </c>
      <c r="I23" s="117"/>
      <c r="J23" s="117">
        <v>-73469.240000000005</v>
      </c>
      <c r="K23" s="117">
        <f>+H23+I23+J23</f>
        <v>112051.74999999999</v>
      </c>
      <c r="N23" s="118" t="s">
        <v>487</v>
      </c>
      <c r="O23" s="117">
        <f>+R22</f>
        <v>83441.76999999999</v>
      </c>
      <c r="P23" s="117">
        <v>2602.8000000000002</v>
      </c>
      <c r="Q23" s="117"/>
      <c r="R23" s="117">
        <f>+O23+P23+Q23</f>
        <v>86044.569999999992</v>
      </c>
    </row>
    <row r="24" spans="1:21" x14ac:dyDescent="0.25">
      <c r="A24" s="118" t="s">
        <v>486</v>
      </c>
      <c r="B24" s="117">
        <f>+E23</f>
        <v>771435.64</v>
      </c>
      <c r="C24" s="117">
        <v>17545.78</v>
      </c>
      <c r="D24" s="117"/>
      <c r="E24" s="117">
        <f>+B24+C24+D24</f>
        <v>788981.42</v>
      </c>
      <c r="G24" s="118" t="s">
        <v>486</v>
      </c>
      <c r="H24" s="117">
        <f>+K23</f>
        <v>112051.74999999999</v>
      </c>
      <c r="I24" s="117"/>
      <c r="J24" s="117"/>
      <c r="K24" s="117">
        <f>+H24+I24+J24</f>
        <v>112051.74999999999</v>
      </c>
      <c r="N24" s="118" t="s">
        <v>486</v>
      </c>
      <c r="O24" s="117">
        <f>+R23</f>
        <v>86044.569999999992</v>
      </c>
      <c r="P24" s="117"/>
      <c r="Q24" s="117">
        <v>-31350.76</v>
      </c>
      <c r="R24" s="117">
        <f>+O24+P24+Q24</f>
        <v>54693.81</v>
      </c>
    </row>
    <row r="25" spans="1:21" x14ac:dyDescent="0.25">
      <c r="A25" s="118" t="s">
        <v>485</v>
      </c>
      <c r="B25" s="117">
        <f>+E24</f>
        <v>788981.42</v>
      </c>
      <c r="C25" s="117"/>
      <c r="D25" s="117"/>
      <c r="E25" s="117">
        <f>+B25+C25+D25</f>
        <v>788981.42</v>
      </c>
      <c r="G25" s="118" t="s">
        <v>485</v>
      </c>
      <c r="H25" s="117">
        <f>+K24</f>
        <v>112051.74999999999</v>
      </c>
      <c r="I25" s="117"/>
      <c r="J25" s="117"/>
      <c r="K25" s="117">
        <f>+H25+I25+J25</f>
        <v>112051.74999999999</v>
      </c>
      <c r="N25" s="118" t="s">
        <v>485</v>
      </c>
      <c r="O25" s="117">
        <f>+R24</f>
        <v>54693.81</v>
      </c>
      <c r="P25" s="117"/>
      <c r="Q25" s="117"/>
      <c r="R25" s="117">
        <f>+O25+P25+Q25</f>
        <v>54693.81</v>
      </c>
      <c r="U25" s="119"/>
    </row>
    <row r="26" spans="1:21" x14ac:dyDescent="0.25">
      <c r="A26" s="118" t="s">
        <v>484</v>
      </c>
      <c r="B26" s="117">
        <f>+E25</f>
        <v>788981.42</v>
      </c>
      <c r="C26" s="117"/>
      <c r="D26" s="117"/>
      <c r="E26" s="117">
        <f>+B26+C26+D26</f>
        <v>788981.42</v>
      </c>
      <c r="G26" s="118" t="s">
        <v>484</v>
      </c>
      <c r="H26" s="117">
        <f>+K25</f>
        <v>112051.74999999999</v>
      </c>
      <c r="I26" s="117"/>
      <c r="J26" s="117"/>
      <c r="K26" s="117">
        <f>+H26+I26+J26</f>
        <v>112051.74999999999</v>
      </c>
      <c r="N26" s="118" t="s">
        <v>484</v>
      </c>
      <c r="O26" s="117">
        <f>+R25</f>
        <v>54693.81</v>
      </c>
      <c r="P26" s="117"/>
      <c r="Q26" s="117"/>
      <c r="R26" s="117">
        <f>+O26+P26+Q26</f>
        <v>54693.81</v>
      </c>
    </row>
    <row r="27" spans="1:21" x14ac:dyDescent="0.25">
      <c r="A27" s="118" t="s">
        <v>483</v>
      </c>
      <c r="B27" s="117">
        <f>+E26</f>
        <v>788981.42</v>
      </c>
      <c r="C27" s="117"/>
      <c r="D27" s="117"/>
      <c r="E27" s="117">
        <f>+B27+C27+D27</f>
        <v>788981.42</v>
      </c>
      <c r="G27" s="118" t="s">
        <v>483</v>
      </c>
      <c r="H27" s="117">
        <f>+K26</f>
        <v>112051.74999999999</v>
      </c>
      <c r="I27" s="117"/>
      <c r="J27" s="117"/>
      <c r="K27" s="117">
        <f>+H27+I27+J27</f>
        <v>112051.74999999999</v>
      </c>
      <c r="N27" s="118" t="s">
        <v>483</v>
      </c>
      <c r="O27" s="117">
        <f>+R26</f>
        <v>54693.81</v>
      </c>
      <c r="P27" s="117"/>
      <c r="Q27" s="117"/>
      <c r="R27" s="117">
        <f>+O27+P27+Q27</f>
        <v>54693.81</v>
      </c>
    </row>
    <row r="28" spans="1:21" x14ac:dyDescent="0.25">
      <c r="A28" s="118" t="s">
        <v>482</v>
      </c>
      <c r="B28" s="117">
        <f>+E27</f>
        <v>788981.42</v>
      </c>
      <c r="C28" s="117"/>
      <c r="D28" s="117"/>
      <c r="E28" s="117">
        <f>+B28+C28+D28</f>
        <v>788981.42</v>
      </c>
      <c r="G28" s="118" t="s">
        <v>482</v>
      </c>
      <c r="H28" s="117">
        <f>+K27</f>
        <v>112051.74999999999</v>
      </c>
      <c r="I28" s="117"/>
      <c r="J28" s="117"/>
      <c r="K28" s="117">
        <f>+H28+I28+J28</f>
        <v>112051.74999999999</v>
      </c>
      <c r="N28" s="118" t="s">
        <v>482</v>
      </c>
      <c r="O28" s="117">
        <f>+R27</f>
        <v>54693.81</v>
      </c>
      <c r="P28" s="117"/>
      <c r="Q28" s="117"/>
      <c r="R28" s="117">
        <f>+O28+P28+Q28</f>
        <v>54693.81</v>
      </c>
    </row>
    <row r="29" spans="1:21" x14ac:dyDescent="0.25">
      <c r="A29" s="118" t="s">
        <v>481</v>
      </c>
      <c r="B29" s="117">
        <f>+E28</f>
        <v>788981.42</v>
      </c>
      <c r="C29" s="117"/>
      <c r="D29" s="117"/>
      <c r="E29" s="117">
        <f>+B29+C29+D29</f>
        <v>788981.42</v>
      </c>
      <c r="G29" s="118" t="s">
        <v>481</v>
      </c>
      <c r="H29" s="117">
        <f>+K28</f>
        <v>112051.74999999999</v>
      </c>
      <c r="I29" s="117"/>
      <c r="J29" s="117"/>
      <c r="K29" s="117">
        <f>+H29+I29+J29</f>
        <v>112051.74999999999</v>
      </c>
      <c r="N29" s="118" t="s">
        <v>481</v>
      </c>
      <c r="O29" s="117">
        <f>+R28</f>
        <v>54693.81</v>
      </c>
      <c r="P29" s="117"/>
      <c r="Q29" s="117"/>
      <c r="R29" s="117">
        <f>+O29+P29+Q29</f>
        <v>54693.81</v>
      </c>
    </row>
    <row r="30" spans="1:21" x14ac:dyDescent="0.25">
      <c r="A30" s="118" t="s">
        <v>480</v>
      </c>
      <c r="B30" s="117">
        <f>+E29</f>
        <v>788981.42</v>
      </c>
      <c r="C30" s="117"/>
      <c r="D30" s="117"/>
      <c r="E30" s="117">
        <f>+B30+C30+D30</f>
        <v>788981.42</v>
      </c>
      <c r="G30" s="118" t="s">
        <v>480</v>
      </c>
      <c r="H30" s="117">
        <f>+K29</f>
        <v>112051.74999999999</v>
      </c>
      <c r="I30" s="117"/>
      <c r="J30" s="117"/>
      <c r="K30" s="117">
        <f>+H30+I30+J30</f>
        <v>112051.74999999999</v>
      </c>
      <c r="N30" s="118" t="s">
        <v>480</v>
      </c>
      <c r="O30" s="117">
        <f>+R29</f>
        <v>54693.81</v>
      </c>
      <c r="P30" s="117"/>
      <c r="Q30" s="117"/>
      <c r="R30" s="117">
        <f>+O30+P30+Q30</f>
        <v>54693.81</v>
      </c>
    </row>
    <row r="33" spans="1:20" x14ac:dyDescent="0.25">
      <c r="B33" s="120" t="s">
        <v>456</v>
      </c>
      <c r="C33" s="120"/>
      <c r="D33" s="120"/>
      <c r="E33" s="120"/>
      <c r="H33" s="120" t="s">
        <v>396</v>
      </c>
      <c r="I33" s="120"/>
      <c r="J33" s="120"/>
      <c r="K33" s="120"/>
      <c r="O33" s="120" t="s">
        <v>497</v>
      </c>
      <c r="P33" s="120"/>
      <c r="Q33" s="120"/>
      <c r="R33" s="120"/>
    </row>
    <row r="34" spans="1:20" x14ac:dyDescent="0.25">
      <c r="A34" t="s">
        <v>496</v>
      </c>
      <c r="B34" t="s">
        <v>495</v>
      </c>
      <c r="C34" t="s">
        <v>494</v>
      </c>
      <c r="D34" t="s">
        <v>493</v>
      </c>
      <c r="E34" t="s">
        <v>492</v>
      </c>
      <c r="G34" t="s">
        <v>496</v>
      </c>
      <c r="H34" t="s">
        <v>495</v>
      </c>
      <c r="I34" t="s">
        <v>494</v>
      </c>
      <c r="J34" t="s">
        <v>493</v>
      </c>
      <c r="K34" t="s">
        <v>492</v>
      </c>
      <c r="N34" t="s">
        <v>496</v>
      </c>
      <c r="O34" t="s">
        <v>495</v>
      </c>
      <c r="P34" t="s">
        <v>494</v>
      </c>
      <c r="Q34" t="s">
        <v>493</v>
      </c>
      <c r="R34" t="s">
        <v>492</v>
      </c>
    </row>
    <row r="35" spans="1:20" x14ac:dyDescent="0.25">
      <c r="A35" s="118" t="s">
        <v>491</v>
      </c>
      <c r="B35" s="117">
        <v>2197591.39</v>
      </c>
      <c r="C35" s="117"/>
      <c r="D35" s="117">
        <f>-(0.01+316.88+34852.5)</f>
        <v>-35169.39</v>
      </c>
      <c r="E35" s="117">
        <f>+B35+C35+D35</f>
        <v>2162422</v>
      </c>
      <c r="G35" s="118" t="s">
        <v>491</v>
      </c>
      <c r="H35" s="117">
        <v>327443.37</v>
      </c>
      <c r="I35" s="117"/>
      <c r="J35" s="117"/>
      <c r="K35" s="117">
        <f>+H35+I35+J35</f>
        <v>327443.37</v>
      </c>
      <c r="N35" s="118" t="s">
        <v>491</v>
      </c>
      <c r="O35" s="117">
        <v>45869.37</v>
      </c>
      <c r="P35" s="117"/>
      <c r="Q35" s="117"/>
      <c r="R35" s="117">
        <f>+O35+P35+Q35</f>
        <v>45869.37</v>
      </c>
    </row>
    <row r="36" spans="1:20" x14ac:dyDescent="0.25">
      <c r="A36" s="118" t="s">
        <v>490</v>
      </c>
      <c r="B36" s="117">
        <f>+E35</f>
        <v>2162422</v>
      </c>
      <c r="C36" s="117">
        <v>9026.5</v>
      </c>
      <c r="D36" s="117">
        <v>-32968.589999999997</v>
      </c>
      <c r="E36" s="117">
        <f>+B36+C36+D36</f>
        <v>2138479.91</v>
      </c>
      <c r="G36" s="118" t="s">
        <v>490</v>
      </c>
      <c r="H36" s="117">
        <f>+K35</f>
        <v>327443.37</v>
      </c>
      <c r="I36" s="117"/>
      <c r="J36" s="117"/>
      <c r="K36" s="117">
        <f>+H36+I36+J36</f>
        <v>327443.37</v>
      </c>
      <c r="N36" s="118" t="s">
        <v>490</v>
      </c>
      <c r="O36" s="117">
        <f>+R35</f>
        <v>45869.37</v>
      </c>
      <c r="P36" s="117"/>
      <c r="Q36" s="117"/>
      <c r="R36" s="117">
        <f>+O36+P36+Q36</f>
        <v>45869.37</v>
      </c>
    </row>
    <row r="37" spans="1:20" x14ac:dyDescent="0.25">
      <c r="A37" s="118" t="s">
        <v>489</v>
      </c>
      <c r="B37" s="117">
        <f>+E36</f>
        <v>2138479.91</v>
      </c>
      <c r="C37" s="117">
        <v>22618.41</v>
      </c>
      <c r="D37" s="117">
        <v>-33719.120000000003</v>
      </c>
      <c r="E37" s="117">
        <f>+B37+C37+D37</f>
        <v>2127379.2000000002</v>
      </c>
      <c r="G37" s="118" t="s">
        <v>489</v>
      </c>
      <c r="H37" s="117">
        <f>+K36</f>
        <v>327443.37</v>
      </c>
      <c r="I37" s="117"/>
      <c r="J37" s="117">
        <v>-3215.19</v>
      </c>
      <c r="K37" s="117">
        <f>+H37+I37+J37</f>
        <v>324228.18</v>
      </c>
      <c r="N37" s="118" t="s">
        <v>489</v>
      </c>
      <c r="O37" s="117">
        <f>+R36</f>
        <v>45869.37</v>
      </c>
      <c r="P37" s="117"/>
      <c r="Q37" s="117"/>
      <c r="R37" s="117">
        <f>+O37+P37+Q37</f>
        <v>45869.37</v>
      </c>
    </row>
    <row r="38" spans="1:20" x14ac:dyDescent="0.25">
      <c r="A38" s="118" t="s">
        <v>488</v>
      </c>
      <c r="B38" s="117">
        <f>+E37</f>
        <v>2127379.2000000002</v>
      </c>
      <c r="C38" s="117">
        <v>42009.85</v>
      </c>
      <c r="D38" s="117">
        <v>-37200.870000000003</v>
      </c>
      <c r="E38" s="117">
        <f>+B38+C38+D38</f>
        <v>2132188.1800000002</v>
      </c>
      <c r="G38" s="118" t="s">
        <v>488</v>
      </c>
      <c r="H38" s="117">
        <f>+K37</f>
        <v>324228.18</v>
      </c>
      <c r="I38" s="117"/>
      <c r="J38" s="117"/>
      <c r="K38" s="117">
        <f>+H38+I38+J38</f>
        <v>324228.18</v>
      </c>
      <c r="N38" s="118" t="s">
        <v>488</v>
      </c>
      <c r="O38" s="117">
        <f>+R37</f>
        <v>45869.37</v>
      </c>
      <c r="P38" s="117">
        <v>9368.5</v>
      </c>
      <c r="Q38" s="117">
        <v>-5535</v>
      </c>
      <c r="R38" s="117">
        <f>+O38+P38+Q38</f>
        <v>49702.87</v>
      </c>
      <c r="T38" s="119"/>
    </row>
    <row r="39" spans="1:20" x14ac:dyDescent="0.25">
      <c r="A39" s="118" t="s">
        <v>487</v>
      </c>
      <c r="B39" s="117">
        <f>+E38</f>
        <v>2132188.1800000002</v>
      </c>
      <c r="C39" s="117">
        <v>56070.65</v>
      </c>
      <c r="D39" s="117">
        <v>-17859.2</v>
      </c>
      <c r="E39" s="117">
        <f>+B39+C39+D39</f>
        <v>2170399.63</v>
      </c>
      <c r="G39" s="118" t="s">
        <v>487</v>
      </c>
      <c r="H39" s="117">
        <f>+K38</f>
        <v>324228.18</v>
      </c>
      <c r="I39" s="117"/>
      <c r="J39" s="117"/>
      <c r="K39" s="117">
        <f>+H39+I39+J39</f>
        <v>324228.18</v>
      </c>
      <c r="N39" s="118" t="s">
        <v>487</v>
      </c>
      <c r="O39" s="117">
        <f>+R38</f>
        <v>49702.87</v>
      </c>
      <c r="P39" s="117"/>
      <c r="Q39" s="117">
        <v>-16258.47</v>
      </c>
      <c r="R39" s="117">
        <f>+O39+P39+Q39</f>
        <v>33444.400000000001</v>
      </c>
    </row>
    <row r="40" spans="1:20" x14ac:dyDescent="0.25">
      <c r="A40" s="118" t="s">
        <v>486</v>
      </c>
      <c r="B40" s="117">
        <f>+E39</f>
        <v>2170399.63</v>
      </c>
      <c r="C40" s="117">
        <v>53556.800000000003</v>
      </c>
      <c r="D40" s="117">
        <v>-14744.34</v>
      </c>
      <c r="E40" s="117">
        <f>+B40+C40+D40</f>
        <v>2209212.09</v>
      </c>
      <c r="G40" s="118" t="s">
        <v>486</v>
      </c>
      <c r="H40" s="117">
        <f>+K39</f>
        <v>324228.18</v>
      </c>
      <c r="I40" s="117"/>
      <c r="J40" s="117"/>
      <c r="K40" s="117">
        <f>+H40+I40+J40</f>
        <v>324228.18</v>
      </c>
      <c r="N40" s="118" t="s">
        <v>486</v>
      </c>
      <c r="O40" s="117">
        <f>+R39</f>
        <v>33444.400000000001</v>
      </c>
      <c r="P40" s="117"/>
      <c r="Q40" s="117"/>
      <c r="R40" s="117">
        <f>+O40+P40+Q40</f>
        <v>33444.400000000001</v>
      </c>
    </row>
    <row r="41" spans="1:20" x14ac:dyDescent="0.25">
      <c r="A41" s="118" t="s">
        <v>485</v>
      </c>
      <c r="B41" s="117">
        <f>+E40</f>
        <v>2209212.09</v>
      </c>
      <c r="C41" s="117"/>
      <c r="D41" s="117"/>
      <c r="E41" s="117">
        <f>+B41+C41+D41</f>
        <v>2209212.09</v>
      </c>
      <c r="G41" s="118" t="s">
        <v>485</v>
      </c>
      <c r="H41" s="117">
        <f>+K40</f>
        <v>324228.18</v>
      </c>
      <c r="I41" s="117"/>
      <c r="J41" s="117"/>
      <c r="K41" s="117">
        <f>+H41+I41+J41</f>
        <v>324228.18</v>
      </c>
      <c r="N41" s="118" t="s">
        <v>485</v>
      </c>
      <c r="O41" s="117">
        <f>+R40</f>
        <v>33444.400000000001</v>
      </c>
      <c r="P41" s="117"/>
      <c r="Q41" s="117"/>
      <c r="R41" s="117">
        <f>+O41+P41+Q41</f>
        <v>33444.400000000001</v>
      </c>
    </row>
    <row r="42" spans="1:20" x14ac:dyDescent="0.25">
      <c r="A42" s="118" t="s">
        <v>484</v>
      </c>
      <c r="B42" s="117">
        <f>+E41</f>
        <v>2209212.09</v>
      </c>
      <c r="C42" s="117"/>
      <c r="D42" s="117"/>
      <c r="E42" s="117">
        <f>+B42+C42+D42</f>
        <v>2209212.09</v>
      </c>
      <c r="G42" s="118" t="s">
        <v>484</v>
      </c>
      <c r="H42" s="117">
        <f>+K41</f>
        <v>324228.18</v>
      </c>
      <c r="I42" s="117"/>
      <c r="J42" s="117"/>
      <c r="K42" s="117">
        <f>+H42+I42+J42</f>
        <v>324228.18</v>
      </c>
      <c r="N42" s="118" t="s">
        <v>484</v>
      </c>
      <c r="O42" s="117">
        <f>+R41</f>
        <v>33444.400000000001</v>
      </c>
      <c r="P42" s="117"/>
      <c r="Q42" s="117"/>
      <c r="R42" s="117">
        <f>+O42+P42+Q42</f>
        <v>33444.400000000001</v>
      </c>
    </row>
    <row r="43" spans="1:20" x14ac:dyDescent="0.25">
      <c r="A43" s="118" t="s">
        <v>483</v>
      </c>
      <c r="B43" s="117">
        <f>+E42</f>
        <v>2209212.09</v>
      </c>
      <c r="C43" s="117"/>
      <c r="D43" s="117"/>
      <c r="E43" s="117">
        <f>+B43+C43+D43</f>
        <v>2209212.09</v>
      </c>
      <c r="G43" s="118" t="s">
        <v>483</v>
      </c>
      <c r="H43" s="117">
        <f>+K42</f>
        <v>324228.18</v>
      </c>
      <c r="I43" s="117"/>
      <c r="J43" s="117"/>
      <c r="K43" s="117">
        <f>+H43+I43+J43</f>
        <v>324228.18</v>
      </c>
      <c r="N43" s="118" t="s">
        <v>483</v>
      </c>
      <c r="O43" s="117">
        <f>+R42</f>
        <v>33444.400000000001</v>
      </c>
      <c r="P43" s="117"/>
      <c r="Q43" s="117"/>
      <c r="R43" s="117">
        <f>+O43+P43+Q43</f>
        <v>33444.400000000001</v>
      </c>
    </row>
    <row r="44" spans="1:20" x14ac:dyDescent="0.25">
      <c r="A44" s="118" t="s">
        <v>482</v>
      </c>
      <c r="B44" s="117">
        <f>+E43</f>
        <v>2209212.09</v>
      </c>
      <c r="C44" s="117"/>
      <c r="D44" s="117"/>
      <c r="E44" s="117">
        <f>+B44+C44+D44</f>
        <v>2209212.09</v>
      </c>
      <c r="G44" s="118" t="s">
        <v>482</v>
      </c>
      <c r="H44" s="117">
        <f>+K43</f>
        <v>324228.18</v>
      </c>
      <c r="I44" s="117"/>
      <c r="J44" s="117"/>
      <c r="K44" s="117">
        <f>+H44+I44+J44</f>
        <v>324228.18</v>
      </c>
      <c r="N44" s="118" t="s">
        <v>482</v>
      </c>
      <c r="O44" s="117">
        <f>+R43</f>
        <v>33444.400000000001</v>
      </c>
      <c r="P44" s="117"/>
      <c r="Q44" s="117"/>
      <c r="R44" s="117">
        <f>+O44+P44+Q44</f>
        <v>33444.400000000001</v>
      </c>
    </row>
    <row r="45" spans="1:20" x14ac:dyDescent="0.25">
      <c r="A45" s="118" t="s">
        <v>481</v>
      </c>
      <c r="B45" s="117">
        <f>+E44</f>
        <v>2209212.09</v>
      </c>
      <c r="C45" s="117"/>
      <c r="D45" s="117"/>
      <c r="E45" s="117">
        <f>+B45+C45+D45</f>
        <v>2209212.09</v>
      </c>
      <c r="G45" s="118" t="s">
        <v>481</v>
      </c>
      <c r="H45" s="117">
        <f>+K44</f>
        <v>324228.18</v>
      </c>
      <c r="I45" s="117"/>
      <c r="J45" s="117"/>
      <c r="K45" s="117">
        <f>+H45+I45+J45</f>
        <v>324228.18</v>
      </c>
      <c r="N45" s="118" t="s">
        <v>481</v>
      </c>
      <c r="O45" s="117">
        <f>+R44</f>
        <v>33444.400000000001</v>
      </c>
      <c r="P45" s="117"/>
      <c r="Q45" s="117"/>
      <c r="R45" s="117">
        <f>+O45+P45+Q45</f>
        <v>33444.400000000001</v>
      </c>
    </row>
    <row r="46" spans="1:20" x14ac:dyDescent="0.25">
      <c r="A46" s="118" t="s">
        <v>480</v>
      </c>
      <c r="B46" s="117">
        <f>+E45</f>
        <v>2209212.09</v>
      </c>
      <c r="C46" s="117"/>
      <c r="D46" s="117"/>
      <c r="E46" s="117">
        <f>+B46+C46+D46</f>
        <v>2209212.09</v>
      </c>
      <c r="G46" s="118" t="s">
        <v>480</v>
      </c>
      <c r="H46" s="117">
        <f>+K45</f>
        <v>324228.18</v>
      </c>
      <c r="I46" s="117"/>
      <c r="J46" s="117"/>
      <c r="K46" s="117">
        <f>+H46+I46+J46</f>
        <v>324228.18</v>
      </c>
      <c r="N46" s="118" t="s">
        <v>480</v>
      </c>
      <c r="O46" s="117">
        <f>+R45</f>
        <v>33444.400000000001</v>
      </c>
      <c r="P46" s="117"/>
      <c r="Q46" s="117"/>
      <c r="R46" s="117">
        <f>+O46+P46+Q46</f>
        <v>33444.400000000001</v>
      </c>
    </row>
  </sheetData>
  <mergeCells count="8">
    <mergeCell ref="O33:R33"/>
    <mergeCell ref="H33:K33"/>
    <mergeCell ref="B1:E1"/>
    <mergeCell ref="H1:K1"/>
    <mergeCell ref="B17:E17"/>
    <mergeCell ref="O17:R17"/>
    <mergeCell ref="H17:K17"/>
    <mergeCell ref="B33:E33"/>
  </mergeCells>
  <pageMargins left="0.2" right="0.2" top="0.5" bottom="0.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Fin Summary - Operating</vt:lpstr>
      <vt:lpstr>Fin Summary - All Data</vt:lpstr>
      <vt:lpstr>Full Data</vt:lpstr>
      <vt:lpstr>Fund Balances</vt:lpstr>
      <vt:lpstr>'Fin Summary - All Data'!Print_Area</vt:lpstr>
      <vt:lpstr>'Fin Summary - Operating'!Print_Area</vt:lpstr>
      <vt:lpstr>'Full Data'!Print_Titles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Sheena Hall</cp:lastModifiedBy>
  <cp:lastPrinted>2023-12-07T21:09:35Z</cp:lastPrinted>
  <dcterms:created xsi:type="dcterms:W3CDTF">2012-11-05T20:18:57Z</dcterms:created>
  <dcterms:modified xsi:type="dcterms:W3CDTF">2024-10-11T13:45:01Z</dcterms:modified>
</cp:coreProperties>
</file>