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heena\Sheena\FY25 Financials\7 October\"/>
    </mc:Choice>
  </mc:AlternateContent>
  <xr:revisionPtr revIDLastSave="0" documentId="13_ncr:1_{3A372398-DB08-4795-A06D-6EBC0EF0C63B}" xr6:coauthVersionLast="47" xr6:coauthVersionMax="47" xr10:uidLastSave="{00000000-0000-0000-0000-000000000000}"/>
  <bookViews>
    <workbookView xWindow="-120" yWindow="-120" windowWidth="29040" windowHeight="15840" activeTab="1" xr2:uid="{FF3DC91D-4C1C-4489-ACB0-475AA12376AD}"/>
  </bookViews>
  <sheets>
    <sheet name="Fin Summary - All Data" sheetId="2" r:id="rId1"/>
    <sheet name="Fin Summary - Operating" sheetId="3" r:id="rId2"/>
    <sheet name="Full Data" sheetId="4" r:id="rId3"/>
    <sheet name="Fund Balances" sheetId="1" r:id="rId4"/>
    <sheet name="Projections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All Data'!$A$1:$P$81</definedName>
    <definedName name="_xlnm.Print_Area" localSheetId="1">'Fin Summary - Operating'!$A$1:$P$81</definedName>
    <definedName name="_xlnm.Print_Titles" localSheetId="2">'Full Data'!$1:$2</definedName>
    <definedName name="_xlnm.Print_Titles" localSheetId="4">Projections!$1:$2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7" i="5" l="1"/>
  <c r="Q317" i="5"/>
  <c r="O317" i="5"/>
  <c r="M317" i="5"/>
  <c r="K317" i="5"/>
  <c r="I317" i="5"/>
  <c r="G317" i="5"/>
  <c r="E317" i="5"/>
  <c r="C317" i="5"/>
  <c r="C319" i="5" s="1"/>
  <c r="Z315" i="5"/>
  <c r="Z314" i="5"/>
  <c r="Z313" i="5"/>
  <c r="Z312" i="5"/>
  <c r="Z311" i="5"/>
  <c r="Z310" i="5"/>
  <c r="Z309" i="5"/>
  <c r="Z308" i="5"/>
  <c r="Z307" i="5"/>
  <c r="Z306" i="5"/>
  <c r="Z305" i="5"/>
  <c r="Z304" i="5"/>
  <c r="Z303" i="5"/>
  <c r="Z302" i="5"/>
  <c r="Z301" i="5"/>
  <c r="Z300" i="5"/>
  <c r="Z299" i="5"/>
  <c r="Z298" i="5"/>
  <c r="Z297" i="5"/>
  <c r="Z296" i="5"/>
  <c r="Z295" i="5"/>
  <c r="Z294" i="5"/>
  <c r="Z293" i="5"/>
  <c r="W292" i="5"/>
  <c r="W317" i="5" s="1"/>
  <c r="U292" i="5"/>
  <c r="U317" i="5" s="1"/>
  <c r="S292" i="5"/>
  <c r="S317" i="5" s="1"/>
  <c r="Q292" i="5"/>
  <c r="Y291" i="5"/>
  <c r="K288" i="5"/>
  <c r="E288" i="5"/>
  <c r="O286" i="5"/>
  <c r="O288" i="5" s="1"/>
  <c r="M286" i="5"/>
  <c r="M288" i="5" s="1"/>
  <c r="M319" i="5" s="1"/>
  <c r="K286" i="5"/>
  <c r="I286" i="5"/>
  <c r="I288" i="5" s="1"/>
  <c r="G286" i="5"/>
  <c r="G288" i="5" s="1"/>
  <c r="G319" i="5" s="1"/>
  <c r="E286" i="5"/>
  <c r="C286" i="5"/>
  <c r="C288" i="5" s="1"/>
  <c r="Z283" i="5"/>
  <c r="Z282" i="5"/>
  <c r="Z281" i="5"/>
  <c r="Z280" i="5"/>
  <c r="Z279" i="5"/>
  <c r="Z278" i="5"/>
  <c r="Z277" i="5"/>
  <c r="Z276" i="5"/>
  <c r="Z275" i="5"/>
  <c r="Z274" i="5"/>
  <c r="Z273" i="5"/>
  <c r="Z272" i="5"/>
  <c r="Z271" i="5"/>
  <c r="Z270" i="5"/>
  <c r="AB269" i="5"/>
  <c r="AB286" i="5" s="1"/>
  <c r="AB288" i="5" s="1"/>
  <c r="Z269" i="5"/>
  <c r="Y268" i="5"/>
  <c r="W268" i="5"/>
  <c r="W286" i="5" s="1"/>
  <c r="W288" i="5" s="1"/>
  <c r="U268" i="5"/>
  <c r="U286" i="5" s="1"/>
  <c r="U288" i="5" s="1"/>
  <c r="S268" i="5"/>
  <c r="S286" i="5" s="1"/>
  <c r="S288" i="5" s="1"/>
  <c r="Q268" i="5"/>
  <c r="Q286" i="5" s="1"/>
  <c r="Q288" i="5" s="1"/>
  <c r="Y267" i="5"/>
  <c r="Z267" i="5" s="1"/>
  <c r="AB265" i="5"/>
  <c r="Y265" i="5"/>
  <c r="W265" i="5"/>
  <c r="U265" i="5"/>
  <c r="S265" i="5"/>
  <c r="Q265" i="5"/>
  <c r="O265" i="5"/>
  <c r="M265" i="5"/>
  <c r="K265" i="5"/>
  <c r="I265" i="5"/>
  <c r="G265" i="5"/>
  <c r="E265" i="5"/>
  <c r="C265" i="5"/>
  <c r="Z263" i="5"/>
  <c r="Z262" i="5"/>
  <c r="Z261" i="5"/>
  <c r="Z260" i="5"/>
  <c r="Z259" i="5"/>
  <c r="Z258" i="5"/>
  <c r="Z257" i="5"/>
  <c r="Z256" i="5"/>
  <c r="Z265" i="5" s="1"/>
  <c r="O253" i="5"/>
  <c r="M253" i="5"/>
  <c r="K253" i="5"/>
  <c r="I253" i="5"/>
  <c r="G253" i="5"/>
  <c r="E253" i="5"/>
  <c r="C253" i="5"/>
  <c r="Z251" i="5"/>
  <c r="Z250" i="5"/>
  <c r="Z249" i="5"/>
  <c r="Z248" i="5"/>
  <c r="Z247" i="5"/>
  <c r="Z246" i="5"/>
  <c r="Z245" i="5"/>
  <c r="Z244" i="5"/>
  <c r="Z243" i="5"/>
  <c r="Z242" i="5"/>
  <c r="Z241" i="5"/>
  <c r="Z240" i="5"/>
  <c r="Z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Z226" i="5"/>
  <c r="AB225" i="5"/>
  <c r="Z225" i="5"/>
  <c r="Z224" i="5"/>
  <c r="AB223" i="5"/>
  <c r="Z223" i="5"/>
  <c r="AB222" i="5"/>
  <c r="Z222" i="5"/>
  <c r="AB221" i="5"/>
  <c r="Y221" i="5"/>
  <c r="W221" i="5"/>
  <c r="U221" i="5"/>
  <c r="S221" i="5"/>
  <c r="Q221" i="5"/>
  <c r="Z221" i="5" s="1"/>
  <c r="AB220" i="5"/>
  <c r="Z220" i="5"/>
  <c r="Y220" i="5"/>
  <c r="AB219" i="5"/>
  <c r="Z219" i="5"/>
  <c r="Z218" i="5"/>
  <c r="AB217" i="5"/>
  <c r="W217" i="5"/>
  <c r="U217" i="5"/>
  <c r="S217" i="5"/>
  <c r="S253" i="5" s="1"/>
  <c r="AB216" i="5"/>
  <c r="Z216" i="5"/>
  <c r="AB215" i="5"/>
  <c r="AB253" i="5" s="1"/>
  <c r="Y215" i="5"/>
  <c r="W215" i="5"/>
  <c r="W253" i="5" s="1"/>
  <c r="U215" i="5"/>
  <c r="U253" i="5" s="1"/>
  <c r="S215" i="5"/>
  <c r="Z214" i="5"/>
  <c r="Y213" i="5"/>
  <c r="Q213" i="5"/>
  <c r="Q215" i="5" s="1"/>
  <c r="Z215" i="5" s="1"/>
  <c r="G210" i="5"/>
  <c r="AB208" i="5"/>
  <c r="O208" i="5"/>
  <c r="M208" i="5"/>
  <c r="K208" i="5"/>
  <c r="K210" i="5" s="1"/>
  <c r="I208" i="5"/>
  <c r="I210" i="5" s="1"/>
  <c r="G208" i="5"/>
  <c r="E208" i="5"/>
  <c r="E210" i="5" s="1"/>
  <c r="C208" i="5"/>
  <c r="C210" i="5" s="1"/>
  <c r="Z206" i="5"/>
  <c r="Z205" i="5"/>
  <c r="Z204" i="5"/>
  <c r="Z203" i="5"/>
  <c r="Z202" i="5"/>
  <c r="W201" i="5"/>
  <c r="W208" i="5" s="1"/>
  <c r="U201" i="5"/>
  <c r="U208" i="5" s="1"/>
  <c r="S201" i="5"/>
  <c r="S208" i="5" s="1"/>
  <c r="Q201" i="5"/>
  <c r="Q208" i="5" s="1"/>
  <c r="Q210" i="5" s="1"/>
  <c r="Z200" i="5"/>
  <c r="Y200" i="5"/>
  <c r="AB198" i="5"/>
  <c r="Q198" i="5"/>
  <c r="O198" i="5"/>
  <c r="M198" i="5"/>
  <c r="M210" i="5" s="1"/>
  <c r="K198" i="5"/>
  <c r="I198" i="5"/>
  <c r="G198" i="5"/>
  <c r="E198" i="5"/>
  <c r="C198" i="5"/>
  <c r="Z196" i="5"/>
  <c r="Z195" i="5"/>
  <c r="Z194" i="5"/>
  <c r="Z193" i="5"/>
  <c r="Z192" i="5"/>
  <c r="Z191" i="5"/>
  <c r="Z190" i="5"/>
  <c r="Z189" i="5"/>
  <c r="Z188" i="5"/>
  <c r="Z187" i="5"/>
  <c r="Z186" i="5"/>
  <c r="W185" i="5"/>
  <c r="W198" i="5" s="1"/>
  <c r="U185" i="5"/>
  <c r="U198" i="5" s="1"/>
  <c r="S185" i="5"/>
  <c r="S198" i="5" s="1"/>
  <c r="Q185" i="5"/>
  <c r="Y184" i="5"/>
  <c r="W182" i="5"/>
  <c r="Q182" i="5"/>
  <c r="O182" i="5"/>
  <c r="M182" i="5"/>
  <c r="K182" i="5"/>
  <c r="I182" i="5"/>
  <c r="G182" i="5"/>
  <c r="E182" i="5"/>
  <c r="C182" i="5"/>
  <c r="Z180" i="5"/>
  <c r="Z179" i="5"/>
  <c r="Z178" i="5"/>
  <c r="Z177" i="5"/>
  <c r="Z176" i="5"/>
  <c r="Z175" i="5"/>
  <c r="Z174" i="5"/>
  <c r="Z173" i="5"/>
  <c r="Z172" i="5"/>
  <c r="Z171" i="5"/>
  <c r="Z170" i="5"/>
  <c r="Z169" i="5"/>
  <c r="Z168" i="5"/>
  <c r="Z167" i="5"/>
  <c r="Z166" i="5"/>
  <c r="Z165" i="5"/>
  <c r="Z164" i="5"/>
  <c r="Z163" i="5"/>
  <c r="AB162" i="5"/>
  <c r="Z162" i="5"/>
  <c r="Z161" i="5"/>
  <c r="Z160" i="5"/>
  <c r="AB159" i="5"/>
  <c r="AB182" i="5" s="1"/>
  <c r="Z159" i="5"/>
  <c r="AB158" i="5"/>
  <c r="Z158" i="5"/>
  <c r="Y158" i="5"/>
  <c r="W158" i="5"/>
  <c r="U158" i="5"/>
  <c r="U182" i="5" s="1"/>
  <c r="S158" i="5"/>
  <c r="S182" i="5" s="1"/>
  <c r="Q158" i="5"/>
  <c r="Z157" i="5"/>
  <c r="Z182" i="5" s="1"/>
  <c r="Y157" i="5"/>
  <c r="Y182" i="5" s="1"/>
  <c r="U155" i="5"/>
  <c r="O155" i="5"/>
  <c r="M155" i="5"/>
  <c r="K155" i="5"/>
  <c r="I155" i="5"/>
  <c r="G155" i="5"/>
  <c r="E155" i="5"/>
  <c r="C155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Y135" i="5"/>
  <c r="AB134" i="5"/>
  <c r="AB155" i="5" s="1"/>
  <c r="Z134" i="5"/>
  <c r="Y133" i="5"/>
  <c r="Y155" i="5" s="1"/>
  <c r="W133" i="5"/>
  <c r="W155" i="5" s="1"/>
  <c r="U133" i="5"/>
  <c r="S133" i="5"/>
  <c r="Z133" i="5" s="1"/>
  <c r="Q133" i="5"/>
  <c r="Q155" i="5" s="1"/>
  <c r="Y132" i="5"/>
  <c r="Z132" i="5" s="1"/>
  <c r="Z155" i="5" s="1"/>
  <c r="Y130" i="5"/>
  <c r="U130" i="5"/>
  <c r="S130" i="5"/>
  <c r="Q130" i="5"/>
  <c r="M130" i="5"/>
  <c r="K130" i="5"/>
  <c r="I130" i="5"/>
  <c r="G130" i="5"/>
  <c r="E130" i="5"/>
  <c r="C130" i="5"/>
  <c r="Z128" i="5"/>
  <c r="Z127" i="5"/>
  <c r="Z126" i="5"/>
  <c r="Z125" i="5"/>
  <c r="Z124" i="5"/>
  <c r="Z123" i="5"/>
  <c r="Z122" i="5"/>
  <c r="O122" i="5"/>
  <c r="M122" i="5"/>
  <c r="Z121" i="5"/>
  <c r="Z120" i="5"/>
  <c r="Z119" i="5"/>
  <c r="Z118" i="5"/>
  <c r="AB117" i="5"/>
  <c r="Z117" i="5"/>
  <c r="Z116" i="5"/>
  <c r="Z115" i="5"/>
  <c r="Z114" i="5"/>
  <c r="Z113" i="5"/>
  <c r="Z112" i="5"/>
  <c r="Z111" i="5"/>
  <c r="Z110" i="5"/>
  <c r="Z109" i="5"/>
  <c r="Z108" i="5"/>
  <c r="Z107" i="5"/>
  <c r="O107" i="5"/>
  <c r="O130" i="5" s="1"/>
  <c r="Z106" i="5"/>
  <c r="AB105" i="5"/>
  <c r="AB130" i="5" s="1"/>
  <c r="Y105" i="5"/>
  <c r="W105" i="5"/>
  <c r="Z105" i="5" s="1"/>
  <c r="U105" i="5"/>
  <c r="S105" i="5"/>
  <c r="Q105" i="5"/>
  <c r="Z104" i="5"/>
  <c r="Z130" i="5" s="1"/>
  <c r="AB98" i="5"/>
  <c r="AB100" i="5" s="1"/>
  <c r="Y98" i="5"/>
  <c r="Y100" i="5" s="1"/>
  <c r="W98" i="5"/>
  <c r="W100" i="5" s="1"/>
  <c r="U98" i="5"/>
  <c r="S98" i="5"/>
  <c r="S100" i="5" s="1"/>
  <c r="Q98" i="5"/>
  <c r="Q100" i="5" s="1"/>
  <c r="O98" i="5"/>
  <c r="M98" i="5"/>
  <c r="M100" i="5" s="1"/>
  <c r="K98" i="5"/>
  <c r="K100" i="5" s="1"/>
  <c r="I98" i="5"/>
  <c r="G98" i="5"/>
  <c r="G100" i="5" s="1"/>
  <c r="G322" i="5" s="1"/>
  <c r="E98" i="5"/>
  <c r="E100" i="5" s="1"/>
  <c r="C98" i="5"/>
  <c r="Z96" i="5"/>
  <c r="Z95" i="5"/>
  <c r="Z94" i="5"/>
  <c r="Z93" i="5"/>
  <c r="Z92" i="5"/>
  <c r="Z91" i="5"/>
  <c r="Z90" i="5"/>
  <c r="Z98" i="5" s="1"/>
  <c r="AB87" i="5"/>
  <c r="Y87" i="5"/>
  <c r="W87" i="5"/>
  <c r="U87" i="5"/>
  <c r="S87" i="5"/>
  <c r="Q87" i="5"/>
  <c r="O87" i="5"/>
  <c r="M87" i="5"/>
  <c r="K87" i="5"/>
  <c r="I87" i="5"/>
  <c r="G87" i="5"/>
  <c r="E87" i="5"/>
  <c r="C87" i="5"/>
  <c r="Z85" i="5"/>
  <c r="Z84" i="5"/>
  <c r="Z87" i="5" s="1"/>
  <c r="AB81" i="5"/>
  <c r="Y81" i="5"/>
  <c r="W81" i="5"/>
  <c r="U81" i="5"/>
  <c r="U100" i="5" s="1"/>
  <c r="S81" i="5"/>
  <c r="Q81" i="5"/>
  <c r="O81" i="5"/>
  <c r="M81" i="5"/>
  <c r="K81" i="5"/>
  <c r="I81" i="5"/>
  <c r="I100" i="5" s="1"/>
  <c r="G81" i="5"/>
  <c r="E81" i="5"/>
  <c r="C81" i="5"/>
  <c r="Z79" i="5"/>
  <c r="Z81" i="5" s="1"/>
  <c r="Z78" i="5"/>
  <c r="AB75" i="5"/>
  <c r="Y75" i="5"/>
  <c r="W75" i="5"/>
  <c r="U75" i="5"/>
  <c r="S75" i="5"/>
  <c r="Q75" i="5"/>
  <c r="O75" i="5"/>
  <c r="M75" i="5"/>
  <c r="K75" i="5"/>
  <c r="I75" i="5"/>
  <c r="G75" i="5"/>
  <c r="E75" i="5"/>
  <c r="C75" i="5"/>
  <c r="Z73" i="5"/>
  <c r="Z72" i="5"/>
  <c r="Z71" i="5"/>
  <c r="Z75" i="5" s="1"/>
  <c r="AB68" i="5"/>
  <c r="Z68" i="5"/>
  <c r="Y68" i="5"/>
  <c r="W68" i="5"/>
  <c r="U68" i="5"/>
  <c r="S68" i="5"/>
  <c r="Q68" i="5"/>
  <c r="O68" i="5"/>
  <c r="O100" i="5" s="1"/>
  <c r="M68" i="5"/>
  <c r="K68" i="5"/>
  <c r="I68" i="5"/>
  <c r="G68" i="5"/>
  <c r="E68" i="5"/>
  <c r="C68" i="5"/>
  <c r="Z66" i="5"/>
  <c r="Z65" i="5"/>
  <c r="Z64" i="5"/>
  <c r="Z63" i="5"/>
  <c r="Z62" i="5"/>
  <c r="AB59" i="5"/>
  <c r="Y59" i="5"/>
  <c r="W59" i="5"/>
  <c r="U59" i="5"/>
  <c r="S59" i="5"/>
  <c r="Q59" i="5"/>
  <c r="O59" i="5"/>
  <c r="M59" i="5"/>
  <c r="K59" i="5"/>
  <c r="I59" i="5"/>
  <c r="G59" i="5"/>
  <c r="E59" i="5"/>
  <c r="C59" i="5"/>
  <c r="AB57" i="5"/>
  <c r="Z57" i="5"/>
  <c r="Z56" i="5"/>
  <c r="Z55" i="5"/>
  <c r="Z54" i="5"/>
  <c r="Z53" i="5"/>
  <c r="Z52" i="5"/>
  <c r="Z51" i="5"/>
  <c r="Z50" i="5"/>
  <c r="Z49" i="5"/>
  <c r="Z48" i="5"/>
  <c r="Z59" i="5" s="1"/>
  <c r="AB45" i="5"/>
  <c r="Y45" i="5"/>
  <c r="W45" i="5"/>
  <c r="U45" i="5"/>
  <c r="S45" i="5"/>
  <c r="Q45" i="5"/>
  <c r="O45" i="5"/>
  <c r="M45" i="5"/>
  <c r="K45" i="5"/>
  <c r="I45" i="5"/>
  <c r="G45" i="5"/>
  <c r="E45" i="5"/>
  <c r="C45" i="5"/>
  <c r="Z43" i="5"/>
  <c r="Z42" i="5"/>
  <c r="Z41" i="5"/>
  <c r="Z40" i="5"/>
  <c r="Z39" i="5"/>
  <c r="Z38" i="5"/>
  <c r="Z37" i="5"/>
  <c r="Z45" i="5" s="1"/>
  <c r="AB34" i="5"/>
  <c r="Y34" i="5"/>
  <c r="W34" i="5"/>
  <c r="U34" i="5"/>
  <c r="S34" i="5"/>
  <c r="Q34" i="5"/>
  <c r="O34" i="5"/>
  <c r="M34" i="5"/>
  <c r="K34" i="5"/>
  <c r="I34" i="5"/>
  <c r="G34" i="5"/>
  <c r="E34" i="5"/>
  <c r="Z32" i="5"/>
  <c r="Z31" i="5"/>
  <c r="Z30" i="5"/>
  <c r="Z29" i="5"/>
  <c r="AB28" i="5"/>
  <c r="Z28" i="5"/>
  <c r="Z27" i="5"/>
  <c r="Z26" i="5"/>
  <c r="E25" i="5"/>
  <c r="Z25" i="5" s="1"/>
  <c r="Z24" i="5"/>
  <c r="C23" i="5"/>
  <c r="C34" i="5" s="1"/>
  <c r="Z22" i="5"/>
  <c r="AB19" i="5"/>
  <c r="Y19" i="5"/>
  <c r="W19" i="5"/>
  <c r="U19" i="5"/>
  <c r="S19" i="5"/>
  <c r="Q19" i="5"/>
  <c r="O19" i="5"/>
  <c r="M19" i="5"/>
  <c r="K19" i="5"/>
  <c r="I19" i="5"/>
  <c r="G19" i="5"/>
  <c r="E19" i="5"/>
  <c r="C19" i="5"/>
  <c r="Z17" i="5"/>
  <c r="Z16" i="5"/>
  <c r="Z15" i="5"/>
  <c r="Y15" i="5"/>
  <c r="Z14" i="5"/>
  <c r="Z13" i="5"/>
  <c r="Z19" i="5" s="1"/>
  <c r="M9" i="5"/>
  <c r="G9" i="5"/>
  <c r="AB7" i="5"/>
  <c r="AB9" i="5" s="1"/>
  <c r="Y7" i="5"/>
  <c r="W7" i="5"/>
  <c r="U7" i="5"/>
  <c r="S7" i="5"/>
  <c r="Q7" i="5"/>
  <c r="O7" i="5"/>
  <c r="M7" i="5"/>
  <c r="K7" i="5"/>
  <c r="I7" i="5"/>
  <c r="G7" i="5"/>
  <c r="E7" i="5"/>
  <c r="E9" i="5" s="1"/>
  <c r="C7" i="5"/>
  <c r="Z7" i="5" s="1"/>
  <c r="AB6" i="5"/>
  <c r="Y6" i="5"/>
  <c r="W6" i="5"/>
  <c r="U6" i="5"/>
  <c r="S6" i="5"/>
  <c r="Q6" i="5"/>
  <c r="O6" i="5"/>
  <c r="M6" i="5"/>
  <c r="K6" i="5"/>
  <c r="I6" i="5"/>
  <c r="G6" i="5"/>
  <c r="E6" i="5"/>
  <c r="C6" i="5"/>
  <c r="Z6" i="5" s="1"/>
  <c r="AB5" i="5"/>
  <c r="Y5" i="5"/>
  <c r="Y9" i="5" s="1"/>
  <c r="W5" i="5"/>
  <c r="W9" i="5" s="1"/>
  <c r="U5" i="5"/>
  <c r="U9" i="5" s="1"/>
  <c r="S5" i="5"/>
  <c r="S9" i="5" s="1"/>
  <c r="Q5" i="5"/>
  <c r="Q9" i="5" s="1"/>
  <c r="O5" i="5"/>
  <c r="O9" i="5" s="1"/>
  <c r="M5" i="5"/>
  <c r="K5" i="5"/>
  <c r="K9" i="5" s="1"/>
  <c r="I5" i="5"/>
  <c r="I9" i="5" s="1"/>
  <c r="G5" i="5"/>
  <c r="E5" i="5"/>
  <c r="C5" i="5"/>
  <c r="C9" i="5" s="1"/>
  <c r="C5" i="4"/>
  <c r="D5" i="4"/>
  <c r="F5" i="4"/>
  <c r="G5" i="4"/>
  <c r="I5" i="4"/>
  <c r="J5" i="4"/>
  <c r="L5" i="4"/>
  <c r="M5" i="4"/>
  <c r="O5" i="4"/>
  <c r="P5" i="4"/>
  <c r="R5" i="4"/>
  <c r="S5" i="4"/>
  <c r="U5" i="4"/>
  <c r="V5" i="4"/>
  <c r="W5" i="4"/>
  <c r="X5" i="4"/>
  <c r="Z5" i="4"/>
  <c r="AC5" i="4"/>
  <c r="C6" i="4"/>
  <c r="D6" i="4"/>
  <c r="F6" i="4"/>
  <c r="G6" i="4"/>
  <c r="I6" i="4"/>
  <c r="J6" i="4"/>
  <c r="L6" i="4"/>
  <c r="M6" i="4"/>
  <c r="O6" i="4"/>
  <c r="P6" i="4"/>
  <c r="R6" i="4"/>
  <c r="S6" i="4"/>
  <c r="U6" i="4"/>
  <c r="V6" i="4"/>
  <c r="W6" i="4"/>
  <c r="X6" i="4"/>
  <c r="Z6" i="4"/>
  <c r="AC6" i="4"/>
  <c r="C7" i="4"/>
  <c r="D7" i="4"/>
  <c r="F7" i="4"/>
  <c r="G7" i="4"/>
  <c r="I7" i="4"/>
  <c r="J7" i="4"/>
  <c r="L7" i="4"/>
  <c r="M7" i="4"/>
  <c r="O7" i="4"/>
  <c r="P7" i="4"/>
  <c r="R7" i="4"/>
  <c r="S7" i="4"/>
  <c r="U7" i="4"/>
  <c r="V7" i="4"/>
  <c r="W7" i="4"/>
  <c r="X7" i="4"/>
  <c r="Z7" i="4"/>
  <c r="AC7" i="4"/>
  <c r="C9" i="4"/>
  <c r="D9" i="4"/>
  <c r="F9" i="4"/>
  <c r="G9" i="4"/>
  <c r="I9" i="4"/>
  <c r="J9" i="4"/>
  <c r="L9" i="4"/>
  <c r="M9" i="4"/>
  <c r="O9" i="4"/>
  <c r="P9" i="4"/>
  <c r="R9" i="4"/>
  <c r="S9" i="4"/>
  <c r="U9" i="4"/>
  <c r="V9" i="4"/>
  <c r="W9" i="4"/>
  <c r="X9" i="4"/>
  <c r="Z9" i="4"/>
  <c r="AB9" i="4"/>
  <c r="AC9" i="4"/>
  <c r="W13" i="4"/>
  <c r="X13" i="4"/>
  <c r="AB13" i="4"/>
  <c r="AC13" i="4"/>
  <c r="W14" i="4"/>
  <c r="X14" i="4"/>
  <c r="AB14" i="4"/>
  <c r="W15" i="4"/>
  <c r="X15" i="4"/>
  <c r="AB15" i="4"/>
  <c r="AC15" i="4"/>
  <c r="W16" i="4"/>
  <c r="X16" i="4"/>
  <c r="AB16" i="4"/>
  <c r="W17" i="4"/>
  <c r="X17" i="4"/>
  <c r="AB17" i="4"/>
  <c r="C19" i="4"/>
  <c r="D19" i="4"/>
  <c r="F19" i="4"/>
  <c r="G19" i="4"/>
  <c r="I19" i="4"/>
  <c r="J19" i="4"/>
  <c r="L19" i="4"/>
  <c r="M19" i="4"/>
  <c r="O19" i="4"/>
  <c r="P19" i="4"/>
  <c r="R19" i="4"/>
  <c r="S19" i="4"/>
  <c r="U19" i="4"/>
  <c r="V19" i="4"/>
  <c r="W19" i="4"/>
  <c r="X19" i="4"/>
  <c r="Z19" i="4"/>
  <c r="AB19" i="4"/>
  <c r="AC19" i="4"/>
  <c r="W22" i="4"/>
  <c r="X22" i="4"/>
  <c r="AB22" i="4"/>
  <c r="C23" i="4"/>
  <c r="W23" i="4"/>
  <c r="X23" i="4"/>
  <c r="AB23" i="4"/>
  <c r="W24" i="4"/>
  <c r="X24" i="4"/>
  <c r="AB24" i="4"/>
  <c r="F25" i="4"/>
  <c r="W25" i="4"/>
  <c r="X25" i="4"/>
  <c r="AB25" i="4"/>
  <c r="W26" i="4"/>
  <c r="X26" i="4"/>
  <c r="AB26" i="4"/>
  <c r="AC26" i="4"/>
  <c r="W27" i="4"/>
  <c r="X27" i="4"/>
  <c r="AB27" i="4"/>
  <c r="AC27" i="4"/>
  <c r="W28" i="4"/>
  <c r="X28" i="4"/>
  <c r="Z28" i="4"/>
  <c r="AB28" i="4"/>
  <c r="W29" i="4"/>
  <c r="X29" i="4"/>
  <c r="AB29" i="4"/>
  <c r="AC29" i="4"/>
  <c r="W30" i="4"/>
  <c r="X30" i="4"/>
  <c r="AB30" i="4"/>
  <c r="W31" i="4"/>
  <c r="X31" i="4"/>
  <c r="AB31" i="4"/>
  <c r="W32" i="4"/>
  <c r="X32" i="4"/>
  <c r="AB32" i="4"/>
  <c r="C34" i="4"/>
  <c r="D34" i="4"/>
  <c r="F34" i="4"/>
  <c r="G34" i="4"/>
  <c r="I34" i="4"/>
  <c r="J34" i="4"/>
  <c r="L34" i="4"/>
  <c r="M34" i="4"/>
  <c r="O34" i="4"/>
  <c r="P34" i="4"/>
  <c r="R34" i="4"/>
  <c r="S34" i="4"/>
  <c r="U34" i="4"/>
  <c r="V34" i="4"/>
  <c r="W34" i="4"/>
  <c r="W100" i="4" s="1"/>
  <c r="X34" i="4"/>
  <c r="Z34" i="4"/>
  <c r="AB34" i="4"/>
  <c r="AC34" i="4"/>
  <c r="W37" i="4"/>
  <c r="X37" i="4"/>
  <c r="AB37" i="4"/>
  <c r="W38" i="4"/>
  <c r="X38" i="4"/>
  <c r="AB38" i="4"/>
  <c r="W39" i="4"/>
  <c r="X39" i="4"/>
  <c r="AB39" i="4"/>
  <c r="W40" i="4"/>
  <c r="X40" i="4"/>
  <c r="AB40" i="4"/>
  <c r="W41" i="4"/>
  <c r="X41" i="4"/>
  <c r="AB41" i="4"/>
  <c r="W42" i="4"/>
  <c r="X42" i="4"/>
  <c r="AB42" i="4"/>
  <c r="W43" i="4"/>
  <c r="X43" i="4"/>
  <c r="AB43" i="4"/>
  <c r="C45" i="4"/>
  <c r="D45" i="4"/>
  <c r="F45" i="4"/>
  <c r="G45" i="4"/>
  <c r="I45" i="4"/>
  <c r="J45" i="4"/>
  <c r="L45" i="4"/>
  <c r="M45" i="4"/>
  <c r="O45" i="4"/>
  <c r="P45" i="4"/>
  <c r="R45" i="4"/>
  <c r="S45" i="4"/>
  <c r="U45" i="4"/>
  <c r="V45" i="4"/>
  <c r="W45" i="4"/>
  <c r="X45" i="4"/>
  <c r="Z45" i="4"/>
  <c r="AB45" i="4"/>
  <c r="AC45" i="4"/>
  <c r="W48" i="4"/>
  <c r="X48" i="4"/>
  <c r="AC48" i="4"/>
  <c r="W49" i="4"/>
  <c r="X49" i="4"/>
  <c r="AC49" i="4"/>
  <c r="W50" i="4"/>
  <c r="X50" i="4"/>
  <c r="AC50" i="4"/>
  <c r="W51" i="4"/>
  <c r="X51" i="4"/>
  <c r="AC51" i="4"/>
  <c r="W52" i="4"/>
  <c r="X52" i="4"/>
  <c r="W53" i="4"/>
  <c r="X53" i="4"/>
  <c r="AC53" i="4"/>
  <c r="W54" i="4"/>
  <c r="X54" i="4"/>
  <c r="AC54" i="4"/>
  <c r="W55" i="4"/>
  <c r="X55" i="4"/>
  <c r="AC55" i="4"/>
  <c r="W56" i="4"/>
  <c r="X56" i="4"/>
  <c r="AC56" i="4"/>
  <c r="W57" i="4"/>
  <c r="X57" i="4"/>
  <c r="Z57" i="4"/>
  <c r="AC57" i="4"/>
  <c r="C59" i="4"/>
  <c r="D59" i="4"/>
  <c r="F59" i="4"/>
  <c r="G59" i="4"/>
  <c r="I59" i="4"/>
  <c r="J59" i="4"/>
  <c r="L59" i="4"/>
  <c r="M59" i="4"/>
  <c r="O59" i="4"/>
  <c r="P59" i="4"/>
  <c r="R59" i="4"/>
  <c r="S59" i="4"/>
  <c r="U59" i="4"/>
  <c r="V59" i="4"/>
  <c r="W59" i="4"/>
  <c r="X59" i="4"/>
  <c r="Z59" i="4"/>
  <c r="AB59" i="4"/>
  <c r="AC59" i="4"/>
  <c r="W62" i="4"/>
  <c r="X62" i="4"/>
  <c r="W63" i="4"/>
  <c r="X63" i="4"/>
  <c r="AC63" i="4"/>
  <c r="W64" i="4"/>
  <c r="X64" i="4"/>
  <c r="AB64" i="4"/>
  <c r="W65" i="4"/>
  <c r="X65" i="4"/>
  <c r="AB65" i="4"/>
  <c r="W66" i="4"/>
  <c r="X66" i="4"/>
  <c r="AB66" i="4"/>
  <c r="C68" i="4"/>
  <c r="D68" i="4"/>
  <c r="F68" i="4"/>
  <c r="G68" i="4"/>
  <c r="I68" i="4"/>
  <c r="J68" i="4"/>
  <c r="L68" i="4"/>
  <c r="M68" i="4"/>
  <c r="O68" i="4"/>
  <c r="P68" i="4"/>
  <c r="R68" i="4"/>
  <c r="S68" i="4"/>
  <c r="U68" i="4"/>
  <c r="V68" i="4"/>
  <c r="W68" i="4"/>
  <c r="X68" i="4"/>
  <c r="Z68" i="4"/>
  <c r="AB68" i="4"/>
  <c r="AC68" i="4"/>
  <c r="W71" i="4"/>
  <c r="X71" i="4"/>
  <c r="AC71" i="4"/>
  <c r="W72" i="4"/>
  <c r="X72" i="4"/>
  <c r="AC72" i="4"/>
  <c r="W73" i="4"/>
  <c r="X73" i="4"/>
  <c r="AC73" i="4"/>
  <c r="C75" i="4"/>
  <c r="D75" i="4"/>
  <c r="F75" i="4"/>
  <c r="G75" i="4"/>
  <c r="I75" i="4"/>
  <c r="J75" i="4"/>
  <c r="L75" i="4"/>
  <c r="M75" i="4"/>
  <c r="O75" i="4"/>
  <c r="P75" i="4"/>
  <c r="R75" i="4"/>
  <c r="S75" i="4"/>
  <c r="U75" i="4"/>
  <c r="V75" i="4"/>
  <c r="W75" i="4"/>
  <c r="X75" i="4"/>
  <c r="Z75" i="4"/>
  <c r="AB75" i="4"/>
  <c r="AC75" i="4"/>
  <c r="W78" i="4"/>
  <c r="X78" i="4"/>
  <c r="AB78" i="4"/>
  <c r="W79" i="4"/>
  <c r="X79" i="4"/>
  <c r="C81" i="4"/>
  <c r="D81" i="4"/>
  <c r="F81" i="4"/>
  <c r="G81" i="4"/>
  <c r="I81" i="4"/>
  <c r="J81" i="4"/>
  <c r="L81" i="4"/>
  <c r="M81" i="4"/>
  <c r="O81" i="4"/>
  <c r="P81" i="4"/>
  <c r="R81" i="4"/>
  <c r="S81" i="4"/>
  <c r="U81" i="4"/>
  <c r="V81" i="4"/>
  <c r="W81" i="4"/>
  <c r="X81" i="4"/>
  <c r="Z81" i="4"/>
  <c r="AB81" i="4"/>
  <c r="AC81" i="4"/>
  <c r="W84" i="4"/>
  <c r="X84" i="4"/>
  <c r="W85" i="4"/>
  <c r="X85" i="4"/>
  <c r="C87" i="4"/>
  <c r="D87" i="4"/>
  <c r="F87" i="4"/>
  <c r="G87" i="4"/>
  <c r="I87" i="4"/>
  <c r="J87" i="4"/>
  <c r="L87" i="4"/>
  <c r="M87" i="4"/>
  <c r="O87" i="4"/>
  <c r="P87" i="4"/>
  <c r="R87" i="4"/>
  <c r="S87" i="4"/>
  <c r="U87" i="4"/>
  <c r="V87" i="4"/>
  <c r="W87" i="4"/>
  <c r="X87" i="4"/>
  <c r="Z87" i="4"/>
  <c r="AB87" i="4"/>
  <c r="AC87" i="4"/>
  <c r="W90" i="4"/>
  <c r="X90" i="4"/>
  <c r="AB90" i="4"/>
  <c r="W91" i="4"/>
  <c r="X91" i="4"/>
  <c r="AB91" i="4"/>
  <c r="AC91" i="4"/>
  <c r="W92" i="4"/>
  <c r="X92" i="4"/>
  <c r="AC92" i="4"/>
  <c r="W93" i="4"/>
  <c r="X93" i="4"/>
  <c r="AB93" i="4"/>
  <c r="W94" i="4"/>
  <c r="X94" i="4"/>
  <c r="AC94" i="4"/>
  <c r="W95" i="4"/>
  <c r="X95" i="4"/>
  <c r="W96" i="4"/>
  <c r="X96" i="4"/>
  <c r="AB96" i="4"/>
  <c r="C98" i="4"/>
  <c r="D98" i="4"/>
  <c r="F98" i="4"/>
  <c r="G98" i="4"/>
  <c r="I98" i="4"/>
  <c r="J98" i="4"/>
  <c r="L98" i="4"/>
  <c r="M98" i="4"/>
  <c r="O98" i="4"/>
  <c r="P98" i="4"/>
  <c r="R98" i="4"/>
  <c r="S98" i="4"/>
  <c r="U98" i="4"/>
  <c r="V98" i="4"/>
  <c r="W98" i="4"/>
  <c r="X98" i="4"/>
  <c r="Z98" i="4"/>
  <c r="AB98" i="4"/>
  <c r="AC98" i="4"/>
  <c r="C100" i="4"/>
  <c r="D100" i="4"/>
  <c r="F100" i="4"/>
  <c r="G100" i="4"/>
  <c r="I100" i="4"/>
  <c r="J100" i="4"/>
  <c r="L100" i="4"/>
  <c r="M100" i="4"/>
  <c r="O100" i="4"/>
  <c r="P100" i="4"/>
  <c r="R100" i="4"/>
  <c r="S100" i="4"/>
  <c r="U100" i="4"/>
  <c r="V100" i="4"/>
  <c r="X100" i="4"/>
  <c r="Z100" i="4"/>
  <c r="AB100" i="4"/>
  <c r="AC100" i="4"/>
  <c r="AC322" i="4" s="1"/>
  <c r="W104" i="4"/>
  <c r="X104" i="4"/>
  <c r="AB104" i="4"/>
  <c r="W105" i="4"/>
  <c r="X105" i="4"/>
  <c r="Z105" i="4"/>
  <c r="AB105" i="4"/>
  <c r="W106" i="4"/>
  <c r="X106" i="4"/>
  <c r="AB106" i="4"/>
  <c r="U107" i="4"/>
  <c r="W107" i="4"/>
  <c r="X107" i="4"/>
  <c r="AB107" i="4"/>
  <c r="W108" i="4"/>
  <c r="X108" i="4"/>
  <c r="AB108" i="4"/>
  <c r="W109" i="4"/>
  <c r="X109" i="4"/>
  <c r="AB109" i="4"/>
  <c r="W110" i="4"/>
  <c r="X110" i="4"/>
  <c r="AB110" i="4"/>
  <c r="W111" i="4"/>
  <c r="X111" i="4"/>
  <c r="AB111" i="4"/>
  <c r="W112" i="4"/>
  <c r="X112" i="4"/>
  <c r="AB112" i="4"/>
  <c r="W113" i="4"/>
  <c r="X113" i="4"/>
  <c r="AB113" i="4"/>
  <c r="W114" i="4"/>
  <c r="X114" i="4"/>
  <c r="AB114" i="4"/>
  <c r="W115" i="4"/>
  <c r="X115" i="4"/>
  <c r="AB115" i="4"/>
  <c r="W116" i="4"/>
  <c r="X116" i="4"/>
  <c r="AB116" i="4"/>
  <c r="W117" i="4"/>
  <c r="X117" i="4"/>
  <c r="Z117" i="4"/>
  <c r="AC117" i="4"/>
  <c r="W118" i="4"/>
  <c r="X118" i="4"/>
  <c r="AB118" i="4"/>
  <c r="W119" i="4"/>
  <c r="X119" i="4"/>
  <c r="AB119" i="4"/>
  <c r="W120" i="4"/>
  <c r="X120" i="4"/>
  <c r="AB120" i="4"/>
  <c r="W121" i="4"/>
  <c r="X121" i="4"/>
  <c r="AB121" i="4"/>
  <c r="R122" i="4"/>
  <c r="U122" i="4"/>
  <c r="W122" i="4"/>
  <c r="X122" i="4"/>
  <c r="AB122" i="4"/>
  <c r="W123" i="4"/>
  <c r="X123" i="4"/>
  <c r="AB123" i="4"/>
  <c r="W124" i="4"/>
  <c r="X124" i="4"/>
  <c r="AB124" i="4"/>
  <c r="W125" i="4"/>
  <c r="X125" i="4"/>
  <c r="AB125" i="4"/>
  <c r="W126" i="4"/>
  <c r="X126" i="4"/>
  <c r="AB126" i="4"/>
  <c r="W127" i="4"/>
  <c r="X127" i="4"/>
  <c r="AB127" i="4"/>
  <c r="W128" i="4"/>
  <c r="X128" i="4"/>
  <c r="AB128" i="4"/>
  <c r="C130" i="4"/>
  <c r="D130" i="4"/>
  <c r="F130" i="4"/>
  <c r="G130" i="4"/>
  <c r="I130" i="4"/>
  <c r="J130" i="4"/>
  <c r="L130" i="4"/>
  <c r="M130" i="4"/>
  <c r="O130" i="4"/>
  <c r="P130" i="4"/>
  <c r="R130" i="4"/>
  <c r="S130" i="4"/>
  <c r="U130" i="4"/>
  <c r="V130" i="4"/>
  <c r="W130" i="4"/>
  <c r="X130" i="4"/>
  <c r="Z130" i="4"/>
  <c r="AB130" i="4"/>
  <c r="AC130" i="4"/>
  <c r="W132" i="4"/>
  <c r="X132" i="4"/>
  <c r="AB132" i="4"/>
  <c r="W133" i="4"/>
  <c r="X133" i="4"/>
  <c r="AB133" i="4"/>
  <c r="W134" i="4"/>
  <c r="X134" i="4"/>
  <c r="Z134" i="4"/>
  <c r="AB134" i="4"/>
  <c r="W135" i="4"/>
  <c r="X135" i="4"/>
  <c r="AB135" i="4"/>
  <c r="W136" i="4"/>
  <c r="X136" i="4"/>
  <c r="AB136" i="4"/>
  <c r="W137" i="4"/>
  <c r="X137" i="4"/>
  <c r="AB137" i="4"/>
  <c r="W138" i="4"/>
  <c r="X138" i="4"/>
  <c r="AB138" i="4"/>
  <c r="W139" i="4"/>
  <c r="X139" i="4"/>
  <c r="AB139" i="4"/>
  <c r="W140" i="4"/>
  <c r="X140" i="4"/>
  <c r="AB140" i="4"/>
  <c r="W141" i="4"/>
  <c r="X141" i="4"/>
  <c r="AB141" i="4"/>
  <c r="W142" i="4"/>
  <c r="X142" i="4"/>
  <c r="AB142" i="4"/>
  <c r="W143" i="4"/>
  <c r="X143" i="4"/>
  <c r="AB143" i="4"/>
  <c r="W144" i="4"/>
  <c r="X144" i="4"/>
  <c r="AB144" i="4"/>
  <c r="W145" i="4"/>
  <c r="X145" i="4"/>
  <c r="AB145" i="4"/>
  <c r="W146" i="4"/>
  <c r="X146" i="4"/>
  <c r="AC146" i="4"/>
  <c r="W147" i="4"/>
  <c r="X147" i="4"/>
  <c r="AB147" i="4"/>
  <c r="W148" i="4"/>
  <c r="X148" i="4"/>
  <c r="AB148" i="4"/>
  <c r="W149" i="4"/>
  <c r="X149" i="4"/>
  <c r="AB149" i="4"/>
  <c r="W150" i="4"/>
  <c r="X150" i="4"/>
  <c r="AB150" i="4"/>
  <c r="W151" i="4"/>
  <c r="X151" i="4"/>
  <c r="AB151" i="4"/>
  <c r="W152" i="4"/>
  <c r="X152" i="4"/>
  <c r="AB152" i="4"/>
  <c r="W153" i="4"/>
  <c r="X153" i="4"/>
  <c r="AB153" i="4"/>
  <c r="C155" i="4"/>
  <c r="D155" i="4"/>
  <c r="F155" i="4"/>
  <c r="G155" i="4"/>
  <c r="I155" i="4"/>
  <c r="J155" i="4"/>
  <c r="L155" i="4"/>
  <c r="M155" i="4"/>
  <c r="O155" i="4"/>
  <c r="P155" i="4"/>
  <c r="R155" i="4"/>
  <c r="S155" i="4"/>
  <c r="U155" i="4"/>
  <c r="V155" i="4"/>
  <c r="W155" i="4"/>
  <c r="X155" i="4"/>
  <c r="Z155" i="4"/>
  <c r="AB155" i="4"/>
  <c r="AB210" i="4" s="1"/>
  <c r="AB319" i="4" s="1"/>
  <c r="AB322" i="4" s="1"/>
  <c r="AC155" i="4"/>
  <c r="W157" i="4"/>
  <c r="X157" i="4"/>
  <c r="AB157" i="4"/>
  <c r="W158" i="4"/>
  <c r="X158" i="4"/>
  <c r="Z158" i="4"/>
  <c r="AB158" i="4"/>
  <c r="W159" i="4"/>
  <c r="X159" i="4"/>
  <c r="Z159" i="4"/>
  <c r="AB159" i="4"/>
  <c r="W160" i="4"/>
  <c r="X160" i="4"/>
  <c r="AB160" i="4"/>
  <c r="W161" i="4"/>
  <c r="X161" i="4"/>
  <c r="AB161" i="4"/>
  <c r="W162" i="4"/>
  <c r="X162" i="4"/>
  <c r="Z162" i="4"/>
  <c r="AB162" i="4"/>
  <c r="W163" i="4"/>
  <c r="X163" i="4"/>
  <c r="AB163" i="4"/>
  <c r="W164" i="4"/>
  <c r="X164" i="4"/>
  <c r="AB164" i="4"/>
  <c r="W165" i="4"/>
  <c r="X165" i="4"/>
  <c r="AB165" i="4"/>
  <c r="W166" i="4"/>
  <c r="X166" i="4"/>
  <c r="AB166" i="4"/>
  <c r="W167" i="4"/>
  <c r="X167" i="4"/>
  <c r="AB167" i="4"/>
  <c r="W168" i="4"/>
  <c r="X168" i="4"/>
  <c r="AB168" i="4"/>
  <c r="W169" i="4"/>
  <c r="X169" i="4"/>
  <c r="AB169" i="4"/>
  <c r="W170" i="4"/>
  <c r="X170" i="4"/>
  <c r="AB170" i="4"/>
  <c r="W171" i="4"/>
  <c r="X171" i="4"/>
  <c r="AB171" i="4"/>
  <c r="W172" i="4"/>
  <c r="X172" i="4"/>
  <c r="AB172" i="4"/>
  <c r="W173" i="4"/>
  <c r="X173" i="4"/>
  <c r="AB173" i="4"/>
  <c r="W174" i="4"/>
  <c r="X174" i="4"/>
  <c r="AB174" i="4"/>
  <c r="W175" i="4"/>
  <c r="X175" i="4"/>
  <c r="AB175" i="4"/>
  <c r="W176" i="4"/>
  <c r="X176" i="4"/>
  <c r="AB176" i="4"/>
  <c r="W177" i="4"/>
  <c r="X177" i="4"/>
  <c r="AB177" i="4"/>
  <c r="W178" i="4"/>
  <c r="X178" i="4"/>
  <c r="AB178" i="4"/>
  <c r="W179" i="4"/>
  <c r="X179" i="4"/>
  <c r="W180" i="4"/>
  <c r="X180" i="4"/>
  <c r="C182" i="4"/>
  <c r="D182" i="4"/>
  <c r="F182" i="4"/>
  <c r="G182" i="4"/>
  <c r="I182" i="4"/>
  <c r="J182" i="4"/>
  <c r="L182" i="4"/>
  <c r="M182" i="4"/>
  <c r="O182" i="4"/>
  <c r="P182" i="4"/>
  <c r="R182" i="4"/>
  <c r="S182" i="4"/>
  <c r="U182" i="4"/>
  <c r="V182" i="4"/>
  <c r="W182" i="4"/>
  <c r="X182" i="4"/>
  <c r="Z182" i="4"/>
  <c r="AB182" i="4"/>
  <c r="AC182" i="4"/>
  <c r="W184" i="4"/>
  <c r="X184" i="4"/>
  <c r="AB184" i="4"/>
  <c r="W185" i="4"/>
  <c r="X185" i="4"/>
  <c r="AB185" i="4"/>
  <c r="W186" i="4"/>
  <c r="X186" i="4"/>
  <c r="AB186" i="4"/>
  <c r="W187" i="4"/>
  <c r="X187" i="4"/>
  <c r="AB187" i="4"/>
  <c r="W188" i="4"/>
  <c r="X188" i="4"/>
  <c r="AB188" i="4"/>
  <c r="W189" i="4"/>
  <c r="X189" i="4"/>
  <c r="AB189" i="4"/>
  <c r="W190" i="4"/>
  <c r="X190" i="4"/>
  <c r="AB190" i="4"/>
  <c r="W191" i="4"/>
  <c r="X191" i="4"/>
  <c r="AB191" i="4"/>
  <c r="W192" i="4"/>
  <c r="X192" i="4"/>
  <c r="W193" i="4"/>
  <c r="X193" i="4"/>
  <c r="AB193" i="4"/>
  <c r="W194" i="4"/>
  <c r="X194" i="4"/>
  <c r="AB194" i="4"/>
  <c r="W195" i="4"/>
  <c r="X195" i="4"/>
  <c r="AB195" i="4"/>
  <c r="W196" i="4"/>
  <c r="X196" i="4"/>
  <c r="AB196" i="4"/>
  <c r="C198" i="4"/>
  <c r="D198" i="4"/>
  <c r="F198" i="4"/>
  <c r="G198" i="4"/>
  <c r="I198" i="4"/>
  <c r="J198" i="4"/>
  <c r="L198" i="4"/>
  <c r="M198" i="4"/>
  <c r="O198" i="4"/>
  <c r="P198" i="4"/>
  <c r="R198" i="4"/>
  <c r="S198" i="4"/>
  <c r="U198" i="4"/>
  <c r="V198" i="4"/>
  <c r="W198" i="4"/>
  <c r="X198" i="4"/>
  <c r="Z198" i="4"/>
  <c r="AB198" i="4"/>
  <c r="AC198" i="4"/>
  <c r="W200" i="4"/>
  <c r="X200" i="4"/>
  <c r="AB200" i="4"/>
  <c r="W201" i="4"/>
  <c r="X201" i="4"/>
  <c r="AB201" i="4"/>
  <c r="W202" i="4"/>
  <c r="X202" i="4"/>
  <c r="AB202" i="4"/>
  <c r="W203" i="4"/>
  <c r="X203" i="4"/>
  <c r="AB203" i="4"/>
  <c r="W204" i="4"/>
  <c r="X204" i="4"/>
  <c r="AB204" i="4"/>
  <c r="W205" i="4"/>
  <c r="X205" i="4"/>
  <c r="AB205" i="4"/>
  <c r="W206" i="4"/>
  <c r="X206" i="4"/>
  <c r="AB206" i="4"/>
  <c r="C208" i="4"/>
  <c r="D208" i="4"/>
  <c r="F208" i="4"/>
  <c r="G208" i="4"/>
  <c r="I208" i="4"/>
  <c r="J208" i="4"/>
  <c r="L208" i="4"/>
  <c r="M208" i="4"/>
  <c r="O208" i="4"/>
  <c r="P208" i="4"/>
  <c r="R208" i="4"/>
  <c r="S208" i="4"/>
  <c r="U208" i="4"/>
  <c r="V208" i="4"/>
  <c r="W208" i="4"/>
  <c r="X208" i="4"/>
  <c r="Z208" i="4"/>
  <c r="AB208" i="4"/>
  <c r="AC208" i="4"/>
  <c r="C210" i="4"/>
  <c r="D210" i="4"/>
  <c r="F210" i="4"/>
  <c r="G210" i="4"/>
  <c r="I210" i="4"/>
  <c r="J210" i="4"/>
  <c r="L210" i="4"/>
  <c r="M210" i="4"/>
  <c r="O210" i="4"/>
  <c r="P210" i="4"/>
  <c r="R210" i="4"/>
  <c r="S210" i="4"/>
  <c r="U210" i="4"/>
  <c r="V210" i="4"/>
  <c r="W210" i="4"/>
  <c r="X210" i="4"/>
  <c r="Z210" i="4"/>
  <c r="AC210" i="4"/>
  <c r="W213" i="4"/>
  <c r="X213" i="4"/>
  <c r="AB213" i="4"/>
  <c r="W214" i="4"/>
  <c r="X214" i="4"/>
  <c r="AB214" i="4"/>
  <c r="W215" i="4"/>
  <c r="X215" i="4"/>
  <c r="Z215" i="4"/>
  <c r="AB215" i="4"/>
  <c r="W216" i="4"/>
  <c r="X216" i="4"/>
  <c r="Z216" i="4"/>
  <c r="AB216" i="4"/>
  <c r="W217" i="4"/>
  <c r="X217" i="4"/>
  <c r="Z217" i="4"/>
  <c r="AB217" i="4"/>
  <c r="W218" i="4"/>
  <c r="X218" i="4"/>
  <c r="AB218" i="4"/>
  <c r="W219" i="4"/>
  <c r="X219" i="4"/>
  <c r="Z219" i="4"/>
  <c r="AB219" i="4"/>
  <c r="W220" i="4"/>
  <c r="X220" i="4"/>
  <c r="Z220" i="4"/>
  <c r="AB220" i="4"/>
  <c r="W221" i="4"/>
  <c r="X221" i="4"/>
  <c r="Z221" i="4"/>
  <c r="AB221" i="4"/>
  <c r="W222" i="4"/>
  <c r="X222" i="4"/>
  <c r="Z222" i="4"/>
  <c r="AB222" i="4"/>
  <c r="W223" i="4"/>
  <c r="X223" i="4"/>
  <c r="Z223" i="4"/>
  <c r="AB223" i="4"/>
  <c r="W224" i="4"/>
  <c r="X224" i="4"/>
  <c r="W225" i="4"/>
  <c r="X225" i="4"/>
  <c r="Z225" i="4"/>
  <c r="AB225" i="4"/>
  <c r="W226" i="4"/>
  <c r="X226" i="4"/>
  <c r="AB226" i="4"/>
  <c r="W227" i="4"/>
  <c r="X227" i="4"/>
  <c r="AB227" i="4"/>
  <c r="W228" i="4"/>
  <c r="X228" i="4"/>
  <c r="AB228" i="4"/>
  <c r="W229" i="4"/>
  <c r="X229" i="4"/>
  <c r="AB229" i="4"/>
  <c r="W230" i="4"/>
  <c r="X230" i="4"/>
  <c r="AB230" i="4"/>
  <c r="W231" i="4"/>
  <c r="X231" i="4"/>
  <c r="AB231" i="4"/>
  <c r="W232" i="4"/>
  <c r="X232" i="4"/>
  <c r="AB232" i="4"/>
  <c r="W233" i="4"/>
  <c r="X233" i="4"/>
  <c r="AB233" i="4"/>
  <c r="W234" i="4"/>
  <c r="X234" i="4"/>
  <c r="AB234" i="4"/>
  <c r="W235" i="4"/>
  <c r="X235" i="4"/>
  <c r="W236" i="4"/>
  <c r="X236" i="4"/>
  <c r="AB236" i="4"/>
  <c r="W237" i="4"/>
  <c r="X237" i="4"/>
  <c r="AB237" i="4"/>
  <c r="W238" i="4"/>
  <c r="X238" i="4"/>
  <c r="AB238" i="4"/>
  <c r="W239" i="4"/>
  <c r="X239" i="4"/>
  <c r="AB239" i="4"/>
  <c r="W240" i="4"/>
  <c r="X240" i="4"/>
  <c r="AB240" i="4"/>
  <c r="W241" i="4"/>
  <c r="X241" i="4"/>
  <c r="W242" i="4"/>
  <c r="X242" i="4"/>
  <c r="W243" i="4"/>
  <c r="X243" i="4"/>
  <c r="AB243" i="4"/>
  <c r="W244" i="4"/>
  <c r="X244" i="4"/>
  <c r="AB244" i="4"/>
  <c r="W245" i="4"/>
  <c r="X245" i="4"/>
  <c r="AB245" i="4"/>
  <c r="W246" i="4"/>
  <c r="X246" i="4"/>
  <c r="W247" i="4"/>
  <c r="X247" i="4"/>
  <c r="AB247" i="4"/>
  <c r="W248" i="4"/>
  <c r="X248" i="4"/>
  <c r="AB248" i="4"/>
  <c r="W249" i="4"/>
  <c r="X249" i="4"/>
  <c r="AB249" i="4"/>
  <c r="W250" i="4"/>
  <c r="X250" i="4"/>
  <c r="AC250" i="4"/>
  <c r="W251" i="4"/>
  <c r="X251" i="4"/>
  <c r="AB251" i="4"/>
  <c r="C253" i="4"/>
  <c r="D253" i="4"/>
  <c r="F253" i="4"/>
  <c r="G253" i="4"/>
  <c r="I253" i="4"/>
  <c r="J253" i="4"/>
  <c r="L253" i="4"/>
  <c r="M253" i="4"/>
  <c r="O253" i="4"/>
  <c r="P253" i="4"/>
  <c r="R253" i="4"/>
  <c r="S253" i="4"/>
  <c r="U253" i="4"/>
  <c r="V253" i="4"/>
  <c r="W253" i="4"/>
  <c r="X253" i="4"/>
  <c r="Z253" i="4"/>
  <c r="AB253" i="4"/>
  <c r="AC253" i="4"/>
  <c r="W256" i="4"/>
  <c r="X256" i="4"/>
  <c r="AB256" i="4"/>
  <c r="W257" i="4"/>
  <c r="X257" i="4"/>
  <c r="AB257" i="4"/>
  <c r="W258" i="4"/>
  <c r="X258" i="4"/>
  <c r="AB258" i="4"/>
  <c r="W259" i="4"/>
  <c r="X259" i="4"/>
  <c r="AB259" i="4"/>
  <c r="W260" i="4"/>
  <c r="X260" i="4"/>
  <c r="AB260" i="4"/>
  <c r="W261" i="4"/>
  <c r="X261" i="4"/>
  <c r="AC261" i="4"/>
  <c r="W262" i="4"/>
  <c r="X262" i="4"/>
  <c r="W263" i="4"/>
  <c r="X263" i="4"/>
  <c r="C265" i="4"/>
  <c r="D265" i="4"/>
  <c r="F265" i="4"/>
  <c r="G265" i="4"/>
  <c r="I265" i="4"/>
  <c r="J265" i="4"/>
  <c r="L265" i="4"/>
  <c r="M265" i="4"/>
  <c r="O265" i="4"/>
  <c r="P265" i="4"/>
  <c r="R265" i="4"/>
  <c r="S265" i="4"/>
  <c r="U265" i="4"/>
  <c r="V265" i="4"/>
  <c r="W265" i="4"/>
  <c r="X265" i="4"/>
  <c r="Z265" i="4"/>
  <c r="AB265" i="4"/>
  <c r="AC265" i="4"/>
  <c r="W267" i="4"/>
  <c r="X267" i="4"/>
  <c r="AB267" i="4"/>
  <c r="W268" i="4"/>
  <c r="X268" i="4"/>
  <c r="AB268" i="4"/>
  <c r="W269" i="4"/>
  <c r="X269" i="4"/>
  <c r="Z269" i="4"/>
  <c r="AB269" i="4"/>
  <c r="W270" i="4"/>
  <c r="X270" i="4"/>
  <c r="AB270" i="4"/>
  <c r="W271" i="4"/>
  <c r="X271" i="4"/>
  <c r="AB271" i="4"/>
  <c r="W272" i="4"/>
  <c r="X272" i="4"/>
  <c r="AB272" i="4"/>
  <c r="W273" i="4"/>
  <c r="X273" i="4"/>
  <c r="AB273" i="4"/>
  <c r="W274" i="4"/>
  <c r="X274" i="4"/>
  <c r="AB274" i="4"/>
  <c r="W275" i="4"/>
  <c r="X275" i="4"/>
  <c r="W276" i="4"/>
  <c r="X276" i="4"/>
  <c r="AB276" i="4"/>
  <c r="W277" i="4"/>
  <c r="X277" i="4"/>
  <c r="AB277" i="4"/>
  <c r="W278" i="4"/>
  <c r="X278" i="4"/>
  <c r="AB278" i="4"/>
  <c r="W279" i="4"/>
  <c r="X279" i="4"/>
  <c r="AB279" i="4"/>
  <c r="W280" i="4"/>
  <c r="X280" i="4"/>
  <c r="AB280" i="4"/>
  <c r="W281" i="4"/>
  <c r="X281" i="4"/>
  <c r="AB281" i="4"/>
  <c r="W282" i="4"/>
  <c r="X282" i="4"/>
  <c r="AB282" i="4"/>
  <c r="W283" i="4"/>
  <c r="X283" i="4"/>
  <c r="AC283" i="4"/>
  <c r="C286" i="4"/>
  <c r="D286" i="4"/>
  <c r="F286" i="4"/>
  <c r="G286" i="4"/>
  <c r="I286" i="4"/>
  <c r="J286" i="4"/>
  <c r="L286" i="4"/>
  <c r="M286" i="4"/>
  <c r="O286" i="4"/>
  <c r="P286" i="4"/>
  <c r="R286" i="4"/>
  <c r="S286" i="4"/>
  <c r="U286" i="4"/>
  <c r="V286" i="4"/>
  <c r="W286" i="4"/>
  <c r="X286" i="4"/>
  <c r="Z286" i="4"/>
  <c r="AB286" i="4"/>
  <c r="AC286" i="4"/>
  <c r="C288" i="4"/>
  <c r="D288" i="4"/>
  <c r="F288" i="4"/>
  <c r="G288" i="4"/>
  <c r="I288" i="4"/>
  <c r="J288" i="4"/>
  <c r="L288" i="4"/>
  <c r="M288" i="4"/>
  <c r="O288" i="4"/>
  <c r="P288" i="4"/>
  <c r="R288" i="4"/>
  <c r="S288" i="4"/>
  <c r="U288" i="4"/>
  <c r="V288" i="4"/>
  <c r="W288" i="4"/>
  <c r="W319" i="4" s="1"/>
  <c r="X288" i="4"/>
  <c r="X319" i="4" s="1"/>
  <c r="X322" i="4" s="1"/>
  <c r="Z288" i="4"/>
  <c r="AB288" i="4"/>
  <c r="AC288" i="4"/>
  <c r="W291" i="4"/>
  <c r="X291" i="4"/>
  <c r="AB291" i="4"/>
  <c r="W292" i="4"/>
  <c r="X292" i="4"/>
  <c r="AB292" i="4"/>
  <c r="W293" i="4"/>
  <c r="X293" i="4"/>
  <c r="AB293" i="4"/>
  <c r="W294" i="4"/>
  <c r="X294" i="4"/>
  <c r="AB294" i="4"/>
  <c r="W295" i="4"/>
  <c r="X295" i="4"/>
  <c r="AB295" i="4"/>
  <c r="W296" i="4"/>
  <c r="X296" i="4"/>
  <c r="AB296" i="4"/>
  <c r="W297" i="4"/>
  <c r="X297" i="4"/>
  <c r="AB297" i="4"/>
  <c r="W298" i="4"/>
  <c r="X298" i="4"/>
  <c r="AB298" i="4"/>
  <c r="W299" i="4"/>
  <c r="X299" i="4"/>
  <c r="AB299" i="4"/>
  <c r="W300" i="4"/>
  <c r="X300" i="4"/>
  <c r="AB300" i="4"/>
  <c r="W301" i="4"/>
  <c r="X301" i="4"/>
  <c r="AB301" i="4"/>
  <c r="W302" i="4"/>
  <c r="X302" i="4"/>
  <c r="AB302" i="4"/>
  <c r="W303" i="4"/>
  <c r="X303" i="4"/>
  <c r="AB303" i="4"/>
  <c r="W304" i="4"/>
  <c r="X304" i="4"/>
  <c r="AB304" i="4"/>
  <c r="W305" i="4"/>
  <c r="X305" i="4"/>
  <c r="AB305" i="4"/>
  <c r="W306" i="4"/>
  <c r="X306" i="4"/>
  <c r="AB306" i="4"/>
  <c r="W307" i="4"/>
  <c r="X307" i="4"/>
  <c r="AB307" i="4"/>
  <c r="W308" i="4"/>
  <c r="X308" i="4"/>
  <c r="AB308" i="4"/>
  <c r="W309" i="4"/>
  <c r="X309" i="4"/>
  <c r="AB309" i="4"/>
  <c r="W310" i="4"/>
  <c r="X310" i="4"/>
  <c r="AB310" i="4"/>
  <c r="W311" i="4"/>
  <c r="X311" i="4"/>
  <c r="AB311" i="4"/>
  <c r="W312" i="4"/>
  <c r="X312" i="4"/>
  <c r="AC312" i="4"/>
  <c r="W313" i="4"/>
  <c r="X313" i="4"/>
  <c r="AB313" i="4"/>
  <c r="W314" i="4"/>
  <c r="X314" i="4"/>
  <c r="AB314" i="4"/>
  <c r="W315" i="4"/>
  <c r="X315" i="4"/>
  <c r="C317" i="4"/>
  <c r="D317" i="4"/>
  <c r="F317" i="4"/>
  <c r="G317" i="4"/>
  <c r="I317" i="4"/>
  <c r="J317" i="4"/>
  <c r="L317" i="4"/>
  <c r="M317" i="4"/>
  <c r="O317" i="4"/>
  <c r="P317" i="4"/>
  <c r="R317" i="4"/>
  <c r="S317" i="4"/>
  <c r="U317" i="4"/>
  <c r="V317" i="4"/>
  <c r="W317" i="4"/>
  <c r="X317" i="4"/>
  <c r="Z317" i="4"/>
  <c r="AB317" i="4"/>
  <c r="AC317" i="4"/>
  <c r="C319" i="4"/>
  <c r="D319" i="4"/>
  <c r="F319" i="4"/>
  <c r="G319" i="4"/>
  <c r="I319" i="4"/>
  <c r="I322" i="4" s="1"/>
  <c r="J319" i="4"/>
  <c r="L319" i="4"/>
  <c r="M319" i="4"/>
  <c r="O319" i="4"/>
  <c r="P319" i="4"/>
  <c r="R319" i="4"/>
  <c r="S319" i="4"/>
  <c r="U319" i="4"/>
  <c r="V319" i="4"/>
  <c r="Z319" i="4"/>
  <c r="Z322" i="4" s="1"/>
  <c r="AC319" i="4"/>
  <c r="C322" i="4"/>
  <c r="D322" i="4"/>
  <c r="F322" i="4"/>
  <c r="G322" i="4"/>
  <c r="J322" i="4"/>
  <c r="L322" i="4"/>
  <c r="M322" i="4"/>
  <c r="O322" i="4"/>
  <c r="P322" i="4"/>
  <c r="R322" i="4"/>
  <c r="S322" i="4"/>
  <c r="U322" i="4"/>
  <c r="V322" i="4"/>
  <c r="N79" i="3"/>
  <c r="J79" i="3"/>
  <c r="I79" i="3"/>
  <c r="C79" i="3"/>
  <c r="B79" i="3"/>
  <c r="N78" i="3"/>
  <c r="J78" i="3"/>
  <c r="J81" i="3" s="1"/>
  <c r="J56" i="3" s="1"/>
  <c r="I78" i="3"/>
  <c r="C78" i="3"/>
  <c r="B78" i="3"/>
  <c r="N77" i="3"/>
  <c r="J77" i="3"/>
  <c r="I77" i="3"/>
  <c r="C77" i="3"/>
  <c r="B77" i="3"/>
  <c r="N76" i="3"/>
  <c r="J76" i="3"/>
  <c r="I76" i="3"/>
  <c r="C76" i="3"/>
  <c r="C81" i="3" s="1"/>
  <c r="C56" i="3" s="1"/>
  <c r="B76" i="3"/>
  <c r="N75" i="3"/>
  <c r="N81" i="3" s="1"/>
  <c r="N56" i="3" s="1"/>
  <c r="J75" i="3"/>
  <c r="I75" i="3"/>
  <c r="I81" i="3" s="1"/>
  <c r="I56" i="3" s="1"/>
  <c r="K56" i="3" s="1"/>
  <c r="C75" i="3"/>
  <c r="B75" i="3"/>
  <c r="B81" i="3" s="1"/>
  <c r="B56" i="3" s="1"/>
  <c r="J67" i="3"/>
  <c r="J68" i="3" s="1"/>
  <c r="I67" i="3"/>
  <c r="I68" i="3" s="1"/>
  <c r="J64" i="3"/>
  <c r="I64" i="3"/>
  <c r="J63" i="3"/>
  <c r="I63" i="3"/>
  <c r="J62" i="3"/>
  <c r="I62" i="3"/>
  <c r="J61" i="3"/>
  <c r="I61" i="3"/>
  <c r="I50" i="3"/>
  <c r="N49" i="3"/>
  <c r="N50" i="3" s="1"/>
  <c r="J49" i="3"/>
  <c r="J50" i="3" s="1"/>
  <c r="I49" i="3"/>
  <c r="P49" i="3" s="1"/>
  <c r="E49" i="3"/>
  <c r="C49" i="3"/>
  <c r="C50" i="3" s="1"/>
  <c r="B49" i="3"/>
  <c r="D49" i="3" s="1"/>
  <c r="P48" i="3"/>
  <c r="O48" i="3"/>
  <c r="L48" i="3"/>
  <c r="K48" i="3"/>
  <c r="E48" i="3"/>
  <c r="D48" i="3"/>
  <c r="P47" i="3"/>
  <c r="O47" i="3"/>
  <c r="L47" i="3"/>
  <c r="K47" i="3"/>
  <c r="E47" i="3"/>
  <c r="D47" i="3"/>
  <c r="P45" i="3"/>
  <c r="O45" i="3"/>
  <c r="L45" i="3"/>
  <c r="K45" i="3"/>
  <c r="E45" i="3"/>
  <c r="D45" i="3"/>
  <c r="P43" i="3"/>
  <c r="O43" i="3"/>
  <c r="L43" i="3"/>
  <c r="K43" i="3"/>
  <c r="E43" i="3"/>
  <c r="D43" i="3"/>
  <c r="N41" i="3"/>
  <c r="J41" i="3"/>
  <c r="I41" i="3"/>
  <c r="P41" i="3" s="1"/>
  <c r="B41" i="3"/>
  <c r="N40" i="3"/>
  <c r="J40" i="3"/>
  <c r="I40" i="3"/>
  <c r="P40" i="3" s="1"/>
  <c r="E40" i="3"/>
  <c r="C40" i="3"/>
  <c r="D40" i="3" s="1"/>
  <c r="B40" i="3"/>
  <c r="P39" i="3"/>
  <c r="O39" i="3"/>
  <c r="L39" i="3"/>
  <c r="K39" i="3"/>
  <c r="E39" i="3"/>
  <c r="D39" i="3"/>
  <c r="P38" i="3"/>
  <c r="O38" i="3"/>
  <c r="L38" i="3"/>
  <c r="K38" i="3"/>
  <c r="E38" i="3"/>
  <c r="D38" i="3"/>
  <c r="B36" i="3"/>
  <c r="E36" i="3" s="1"/>
  <c r="O35" i="3"/>
  <c r="N35" i="3"/>
  <c r="N36" i="3" s="1"/>
  <c r="J35" i="3"/>
  <c r="L35" i="3" s="1"/>
  <c r="I35" i="3"/>
  <c r="P35" i="3" s="1"/>
  <c r="C35" i="3"/>
  <c r="C36" i="3" s="1"/>
  <c r="D36" i="3" s="1"/>
  <c r="B35" i="3"/>
  <c r="E35" i="3" s="1"/>
  <c r="P34" i="3"/>
  <c r="O34" i="3"/>
  <c r="L34" i="3"/>
  <c r="K34" i="3"/>
  <c r="D34" i="3"/>
  <c r="P33" i="3"/>
  <c r="O33" i="3"/>
  <c r="O36" i="3" s="1"/>
  <c r="L33" i="3"/>
  <c r="K33" i="3"/>
  <c r="E33" i="3"/>
  <c r="D33" i="3"/>
  <c r="J31" i="3"/>
  <c r="B31" i="3"/>
  <c r="E31" i="3" s="1"/>
  <c r="P30" i="3"/>
  <c r="N30" i="3"/>
  <c r="O30" i="3" s="1"/>
  <c r="K30" i="3"/>
  <c r="J30" i="3"/>
  <c r="I30" i="3"/>
  <c r="L30" i="3" s="1"/>
  <c r="E30" i="3"/>
  <c r="D30" i="3"/>
  <c r="C30" i="3"/>
  <c r="C31" i="3" s="1"/>
  <c r="B30" i="3"/>
  <c r="P29" i="3"/>
  <c r="O29" i="3"/>
  <c r="L29" i="3"/>
  <c r="K29" i="3"/>
  <c r="E29" i="3"/>
  <c r="D29" i="3"/>
  <c r="P28" i="3"/>
  <c r="O28" i="3"/>
  <c r="L28" i="3"/>
  <c r="K28" i="3"/>
  <c r="E28" i="3"/>
  <c r="D28" i="3"/>
  <c r="P27" i="3"/>
  <c r="O27" i="3"/>
  <c r="L27" i="3"/>
  <c r="K27" i="3"/>
  <c r="K31" i="3" s="1"/>
  <c r="E27" i="3"/>
  <c r="D27" i="3"/>
  <c r="N25" i="3"/>
  <c r="I25" i="3"/>
  <c r="P25" i="3" s="1"/>
  <c r="C25" i="3"/>
  <c r="P24" i="3"/>
  <c r="N24" i="3"/>
  <c r="L24" i="3"/>
  <c r="K24" i="3"/>
  <c r="J24" i="3"/>
  <c r="J25" i="3" s="1"/>
  <c r="I24" i="3"/>
  <c r="O24" i="3" s="1"/>
  <c r="D24" i="3"/>
  <c r="C24" i="3"/>
  <c r="B24" i="3"/>
  <c r="B25" i="3" s="1"/>
  <c r="P23" i="3"/>
  <c r="O23" i="3"/>
  <c r="L23" i="3"/>
  <c r="K23" i="3"/>
  <c r="E23" i="3"/>
  <c r="D23" i="3"/>
  <c r="P22" i="3"/>
  <c r="O22" i="3"/>
  <c r="L22" i="3"/>
  <c r="K22" i="3"/>
  <c r="K25" i="3" s="1"/>
  <c r="E22" i="3"/>
  <c r="D22" i="3"/>
  <c r="N20" i="3"/>
  <c r="C20" i="3"/>
  <c r="P19" i="3"/>
  <c r="L19" i="3"/>
  <c r="J19" i="3"/>
  <c r="I19" i="3"/>
  <c r="O19" i="3" s="1"/>
  <c r="O20" i="3" s="1"/>
  <c r="C19" i="3"/>
  <c r="B19" i="3"/>
  <c r="B20" i="3" s="1"/>
  <c r="P18" i="3"/>
  <c r="O18" i="3"/>
  <c r="L18" i="3"/>
  <c r="J18" i="3"/>
  <c r="J20" i="3" s="1"/>
  <c r="I18" i="3"/>
  <c r="K18" i="3" s="1"/>
  <c r="C18" i="3"/>
  <c r="E18" i="3" s="1"/>
  <c r="B18" i="3"/>
  <c r="J16" i="3"/>
  <c r="I16" i="3"/>
  <c r="B16" i="3"/>
  <c r="L14" i="3"/>
  <c r="J14" i="3"/>
  <c r="I14" i="3"/>
  <c r="C14" i="3"/>
  <c r="B14" i="3"/>
  <c r="P13" i="3"/>
  <c r="N13" i="3"/>
  <c r="O13" i="3" s="1"/>
  <c r="K13" i="3"/>
  <c r="J13" i="3"/>
  <c r="I13" i="3"/>
  <c r="L13" i="3" s="1"/>
  <c r="D13" i="3"/>
  <c r="C13" i="3"/>
  <c r="B13" i="3"/>
  <c r="E13" i="3" s="1"/>
  <c r="P12" i="3"/>
  <c r="O12" i="3"/>
  <c r="L12" i="3"/>
  <c r="K12" i="3"/>
  <c r="E12" i="3"/>
  <c r="D12" i="3"/>
  <c r="P11" i="3"/>
  <c r="O11" i="3"/>
  <c r="L11" i="3"/>
  <c r="K11" i="3"/>
  <c r="E11" i="3"/>
  <c r="D11" i="3"/>
  <c r="P10" i="3"/>
  <c r="O10" i="3"/>
  <c r="L10" i="3"/>
  <c r="K10" i="3"/>
  <c r="E10" i="3"/>
  <c r="D10" i="3"/>
  <c r="P9" i="3"/>
  <c r="O9" i="3"/>
  <c r="L9" i="3"/>
  <c r="K9" i="3"/>
  <c r="E9" i="3"/>
  <c r="D9" i="3"/>
  <c r="P8" i="3"/>
  <c r="O8" i="3"/>
  <c r="O14" i="3" s="1"/>
  <c r="L8" i="3"/>
  <c r="K8" i="3"/>
  <c r="E8" i="3"/>
  <c r="D8" i="3"/>
  <c r="P7" i="3"/>
  <c r="O7" i="3"/>
  <c r="L7" i="3"/>
  <c r="K7" i="3"/>
  <c r="D7" i="3"/>
  <c r="P6" i="3"/>
  <c r="O6" i="3"/>
  <c r="L6" i="3"/>
  <c r="K6" i="3"/>
  <c r="K14" i="3" s="1"/>
  <c r="E6" i="3"/>
  <c r="D6" i="3"/>
  <c r="D14" i="3" s="1"/>
  <c r="N79" i="2"/>
  <c r="J79" i="2"/>
  <c r="J81" i="2" s="1"/>
  <c r="J56" i="2" s="1"/>
  <c r="I79" i="2"/>
  <c r="C79" i="2"/>
  <c r="B79" i="2"/>
  <c r="N78" i="2"/>
  <c r="J78" i="2"/>
  <c r="I78" i="2"/>
  <c r="C78" i="2"/>
  <c r="B78" i="2"/>
  <c r="N77" i="2"/>
  <c r="J77" i="2"/>
  <c r="I77" i="2"/>
  <c r="C77" i="2"/>
  <c r="B77" i="2"/>
  <c r="N76" i="2"/>
  <c r="J76" i="2"/>
  <c r="I76" i="2"/>
  <c r="C76" i="2"/>
  <c r="B76" i="2"/>
  <c r="N75" i="2"/>
  <c r="N81" i="2" s="1"/>
  <c r="N56" i="2" s="1"/>
  <c r="J75" i="2"/>
  <c r="I75" i="2"/>
  <c r="I81" i="2" s="1"/>
  <c r="I56" i="2" s="1"/>
  <c r="K56" i="2" s="1"/>
  <c r="C75" i="2"/>
  <c r="C81" i="2" s="1"/>
  <c r="C56" i="2" s="1"/>
  <c r="B75" i="2"/>
  <c r="B81" i="2" s="1"/>
  <c r="B56" i="2" s="1"/>
  <c r="J68" i="2"/>
  <c r="J67" i="2"/>
  <c r="I67" i="2"/>
  <c r="I68" i="2" s="1"/>
  <c r="I64" i="2"/>
  <c r="J63" i="2"/>
  <c r="I63" i="2"/>
  <c r="J62" i="2"/>
  <c r="I62" i="2"/>
  <c r="J61" i="2"/>
  <c r="J64" i="2" s="1"/>
  <c r="I61" i="2"/>
  <c r="I50" i="2"/>
  <c r="N49" i="2"/>
  <c r="P49" i="2" s="1"/>
  <c r="J49" i="2"/>
  <c r="J50" i="2" s="1"/>
  <c r="I49" i="2"/>
  <c r="O49" i="2" s="1"/>
  <c r="O50" i="2" s="1"/>
  <c r="E49" i="2"/>
  <c r="C49" i="2"/>
  <c r="C50" i="2" s="1"/>
  <c r="B49" i="2"/>
  <c r="D49" i="2" s="1"/>
  <c r="P48" i="2"/>
  <c r="O48" i="2"/>
  <c r="L48" i="2"/>
  <c r="K48" i="2"/>
  <c r="E48" i="2"/>
  <c r="D48" i="2"/>
  <c r="P47" i="2"/>
  <c r="O47" i="2"/>
  <c r="L47" i="2"/>
  <c r="K47" i="2"/>
  <c r="E47" i="2"/>
  <c r="D47" i="2"/>
  <c r="P45" i="2"/>
  <c r="O45" i="2"/>
  <c r="L45" i="2"/>
  <c r="K45" i="2"/>
  <c r="E45" i="2"/>
  <c r="D45" i="2"/>
  <c r="P43" i="2"/>
  <c r="O43" i="2"/>
  <c r="L43" i="2"/>
  <c r="K43" i="2"/>
  <c r="E43" i="2"/>
  <c r="D43" i="2"/>
  <c r="N40" i="2"/>
  <c r="N41" i="2" s="1"/>
  <c r="K40" i="2"/>
  <c r="J40" i="2"/>
  <c r="J41" i="2" s="1"/>
  <c r="I40" i="2"/>
  <c r="P40" i="2" s="1"/>
  <c r="C40" i="2"/>
  <c r="C41" i="2" s="1"/>
  <c r="B40" i="2"/>
  <c r="D40" i="2" s="1"/>
  <c r="P39" i="2"/>
  <c r="O39" i="2"/>
  <c r="L39" i="2"/>
  <c r="K39" i="2"/>
  <c r="E39" i="2"/>
  <c r="D39" i="2"/>
  <c r="P38" i="2"/>
  <c r="O38" i="2"/>
  <c r="L38" i="2"/>
  <c r="K38" i="2"/>
  <c r="K41" i="2" s="1"/>
  <c r="E38" i="2"/>
  <c r="D38" i="2"/>
  <c r="J36" i="2"/>
  <c r="B36" i="2"/>
  <c r="E36" i="2" s="1"/>
  <c r="N35" i="2"/>
  <c r="N36" i="2" s="1"/>
  <c r="J35" i="2"/>
  <c r="I35" i="2"/>
  <c r="P35" i="2" s="1"/>
  <c r="C35" i="2"/>
  <c r="C36" i="2" s="1"/>
  <c r="B35" i="2"/>
  <c r="E35" i="2" s="1"/>
  <c r="P34" i="2"/>
  <c r="O34" i="2"/>
  <c r="L34" i="2"/>
  <c r="K34" i="2"/>
  <c r="D34" i="2"/>
  <c r="P33" i="2"/>
  <c r="O33" i="2"/>
  <c r="L33" i="2"/>
  <c r="K33" i="2"/>
  <c r="E33" i="2"/>
  <c r="D33" i="2"/>
  <c r="J31" i="2"/>
  <c r="N30" i="2"/>
  <c r="N31" i="2" s="1"/>
  <c r="J30" i="2"/>
  <c r="I30" i="2"/>
  <c r="O30" i="2" s="1"/>
  <c r="C30" i="2"/>
  <c r="E30" i="2" s="1"/>
  <c r="B30" i="2"/>
  <c r="D30" i="2" s="1"/>
  <c r="P29" i="2"/>
  <c r="O29" i="2"/>
  <c r="L29" i="2"/>
  <c r="K29" i="2"/>
  <c r="E29" i="2"/>
  <c r="D29" i="2"/>
  <c r="P28" i="2"/>
  <c r="O28" i="2"/>
  <c r="L28" i="2"/>
  <c r="K28" i="2"/>
  <c r="E28" i="2"/>
  <c r="D28" i="2"/>
  <c r="P27" i="2"/>
  <c r="O27" i="2"/>
  <c r="L27" i="2"/>
  <c r="K27" i="2"/>
  <c r="E27" i="2"/>
  <c r="D27" i="2"/>
  <c r="C25" i="2"/>
  <c r="N24" i="2"/>
  <c r="N25" i="2" s="1"/>
  <c r="J24" i="2"/>
  <c r="L24" i="2" s="1"/>
  <c r="I24" i="2"/>
  <c r="P24" i="2" s="1"/>
  <c r="C24" i="2"/>
  <c r="B24" i="2"/>
  <c r="B25" i="2" s="1"/>
  <c r="P23" i="2"/>
  <c r="O23" i="2"/>
  <c r="L23" i="2"/>
  <c r="K23" i="2"/>
  <c r="E23" i="2"/>
  <c r="D23" i="2"/>
  <c r="P22" i="2"/>
  <c r="O22" i="2"/>
  <c r="L22" i="2"/>
  <c r="K22" i="2"/>
  <c r="E22" i="2"/>
  <c r="D22" i="2"/>
  <c r="N20" i="2"/>
  <c r="K20" i="2"/>
  <c r="J20" i="2"/>
  <c r="I20" i="2"/>
  <c r="P20" i="2" s="1"/>
  <c r="C20" i="2"/>
  <c r="P19" i="2"/>
  <c r="O19" i="2"/>
  <c r="L19" i="2"/>
  <c r="K19" i="2"/>
  <c r="E19" i="2"/>
  <c r="D19" i="2"/>
  <c r="P18" i="2"/>
  <c r="O18" i="2"/>
  <c r="O20" i="2" s="1"/>
  <c r="L18" i="2"/>
  <c r="K18" i="2"/>
  <c r="B18" i="2"/>
  <c r="B20" i="2" s="1"/>
  <c r="J16" i="2"/>
  <c r="I16" i="2"/>
  <c r="B16" i="2"/>
  <c r="O13" i="2"/>
  <c r="N13" i="2"/>
  <c r="N14" i="2" s="1"/>
  <c r="K13" i="2"/>
  <c r="J13" i="2"/>
  <c r="I13" i="2"/>
  <c r="P13" i="2" s="1"/>
  <c r="C13" i="2"/>
  <c r="B13" i="2"/>
  <c r="D13" i="2" s="1"/>
  <c r="P12" i="2"/>
  <c r="O12" i="2"/>
  <c r="L12" i="2"/>
  <c r="K12" i="2"/>
  <c r="E12" i="2"/>
  <c r="D12" i="2"/>
  <c r="P11" i="2"/>
  <c r="O11" i="2"/>
  <c r="L11" i="2"/>
  <c r="K11" i="2"/>
  <c r="E11" i="2"/>
  <c r="D11" i="2"/>
  <c r="P10" i="2"/>
  <c r="L10" i="2"/>
  <c r="K10" i="2"/>
  <c r="I10" i="2"/>
  <c r="O10" i="2" s="1"/>
  <c r="E10" i="2"/>
  <c r="D10" i="2"/>
  <c r="C10" i="2"/>
  <c r="B10" i="2"/>
  <c r="J9" i="2"/>
  <c r="J14" i="2" s="1"/>
  <c r="I9" i="2"/>
  <c r="P9" i="2" s="1"/>
  <c r="C9" i="2"/>
  <c r="C14" i="2" s="1"/>
  <c r="B9" i="2"/>
  <c r="D9" i="2" s="1"/>
  <c r="D14" i="2" s="1"/>
  <c r="P8" i="2"/>
  <c r="O8" i="2"/>
  <c r="L8" i="2"/>
  <c r="K8" i="2"/>
  <c r="E8" i="2"/>
  <c r="D8" i="2"/>
  <c r="P7" i="2"/>
  <c r="O7" i="2"/>
  <c r="L7" i="2"/>
  <c r="K7" i="2"/>
  <c r="E7" i="2"/>
  <c r="D7" i="2"/>
  <c r="P6" i="2"/>
  <c r="O6" i="2"/>
  <c r="L6" i="2"/>
  <c r="K6" i="2"/>
  <c r="E6" i="2"/>
  <c r="D6" i="2"/>
  <c r="Q319" i="5" l="1"/>
  <c r="Q322" i="5" s="1"/>
  <c r="AB210" i="5"/>
  <c r="AB319" i="5" s="1"/>
  <c r="AB322" i="5" s="1"/>
  <c r="Y317" i="5"/>
  <c r="O210" i="5"/>
  <c r="O319" i="5" s="1"/>
  <c r="O322" i="5" s="1"/>
  <c r="E322" i="5"/>
  <c r="U319" i="5"/>
  <c r="U322" i="5" s="1"/>
  <c r="Y198" i="5"/>
  <c r="Z286" i="5"/>
  <c r="Z288" i="5" s="1"/>
  <c r="E319" i="5"/>
  <c r="I322" i="5"/>
  <c r="K322" i="5"/>
  <c r="C100" i="5"/>
  <c r="C322" i="5" s="1"/>
  <c r="M322" i="5"/>
  <c r="I319" i="5"/>
  <c r="K319" i="5"/>
  <c r="U210" i="5"/>
  <c r="W130" i="5"/>
  <c r="W210" i="5" s="1"/>
  <c r="W319" i="5" s="1"/>
  <c r="W322" i="5" s="1"/>
  <c r="Z184" i="5"/>
  <c r="Z291" i="5"/>
  <c r="Z5" i="5"/>
  <c r="Z9" i="5" s="1"/>
  <c r="Y201" i="5"/>
  <c r="Z201" i="5" s="1"/>
  <c r="Z208" i="5" s="1"/>
  <c r="Q217" i="5"/>
  <c r="Q253" i="5"/>
  <c r="Z268" i="5"/>
  <c r="Z213" i="5"/>
  <c r="Y185" i="5"/>
  <c r="Z185" i="5" s="1"/>
  <c r="Y292" i="5"/>
  <c r="Z292" i="5" s="1"/>
  <c r="S155" i="5"/>
  <c r="S210" i="5" s="1"/>
  <c r="S319" i="5" s="1"/>
  <c r="S322" i="5" s="1"/>
  <c r="Y217" i="5"/>
  <c r="Y253" i="5" s="1"/>
  <c r="Y286" i="5"/>
  <c r="Y288" i="5" s="1"/>
  <c r="Z23" i="5"/>
  <c r="Z34" i="5" s="1"/>
  <c r="Z100" i="5" s="1"/>
  <c r="W322" i="4"/>
  <c r="O41" i="3"/>
  <c r="D20" i="3"/>
  <c r="E20" i="3"/>
  <c r="E41" i="3"/>
  <c r="O31" i="3"/>
  <c r="O25" i="3"/>
  <c r="D56" i="3"/>
  <c r="N52" i="3"/>
  <c r="C52" i="3"/>
  <c r="C54" i="3" s="1"/>
  <c r="C58" i="3" s="1"/>
  <c r="D25" i="3"/>
  <c r="E25" i="3"/>
  <c r="D35" i="3"/>
  <c r="I36" i="3"/>
  <c r="L49" i="3"/>
  <c r="E24" i="3"/>
  <c r="D19" i="3"/>
  <c r="I20" i="3"/>
  <c r="D31" i="3"/>
  <c r="J36" i="3"/>
  <c r="J52" i="3" s="1"/>
  <c r="J54" i="3" s="1"/>
  <c r="J58" i="3" s="1"/>
  <c r="J71" i="3" s="1"/>
  <c r="K40" i="3"/>
  <c r="K41" i="3" s="1"/>
  <c r="L41" i="3"/>
  <c r="K49" i="3"/>
  <c r="K50" i="3" s="1"/>
  <c r="E14" i="3"/>
  <c r="E19" i="3"/>
  <c r="L25" i="3"/>
  <c r="L40" i="3"/>
  <c r="O49" i="3"/>
  <c r="O50" i="3" s="1"/>
  <c r="P50" i="3"/>
  <c r="L50" i="3"/>
  <c r="D18" i="3"/>
  <c r="I31" i="3"/>
  <c r="K35" i="3"/>
  <c r="K36" i="3" s="1"/>
  <c r="O40" i="3"/>
  <c r="B50" i="3"/>
  <c r="K19" i="3"/>
  <c r="K20" i="3" s="1"/>
  <c r="N14" i="3"/>
  <c r="N31" i="3"/>
  <c r="C41" i="3"/>
  <c r="D41" i="3" s="1"/>
  <c r="D25" i="2"/>
  <c r="E25" i="2"/>
  <c r="O31" i="2"/>
  <c r="O14" i="2"/>
  <c r="C52" i="2"/>
  <c r="C54" i="2" s="1"/>
  <c r="C58" i="2" s="1"/>
  <c r="D56" i="2"/>
  <c r="E20" i="2"/>
  <c r="D20" i="2"/>
  <c r="J52" i="2"/>
  <c r="J54" i="2" s="1"/>
  <c r="J58" i="2" s="1"/>
  <c r="J71" i="2" s="1"/>
  <c r="L20" i="2"/>
  <c r="E13" i="2"/>
  <c r="I14" i="2"/>
  <c r="E18" i="2"/>
  <c r="D24" i="2"/>
  <c r="P30" i="2"/>
  <c r="D36" i="2"/>
  <c r="E40" i="2"/>
  <c r="I41" i="2"/>
  <c r="E24" i="2"/>
  <c r="I25" i="2"/>
  <c r="B31" i="2"/>
  <c r="D35" i="2"/>
  <c r="K49" i="2"/>
  <c r="K50" i="2" s="1"/>
  <c r="L50" i="2"/>
  <c r="J25" i="2"/>
  <c r="C31" i="2"/>
  <c r="I36" i="2"/>
  <c r="L49" i="2"/>
  <c r="N50" i="2"/>
  <c r="N52" i="2" s="1"/>
  <c r="N54" i="2" s="1"/>
  <c r="N58" i="2" s="1"/>
  <c r="L13" i="2"/>
  <c r="K24" i="2"/>
  <c r="K25" i="2" s="1"/>
  <c r="L40" i="2"/>
  <c r="P50" i="2"/>
  <c r="E9" i="2"/>
  <c r="I31" i="2"/>
  <c r="K35" i="2"/>
  <c r="K36" i="2" s="1"/>
  <c r="L35" i="2"/>
  <c r="O40" i="2"/>
  <c r="O41" i="2" s="1"/>
  <c r="B50" i="2"/>
  <c r="O24" i="2"/>
  <c r="O25" i="2" s="1"/>
  <c r="K9" i="2"/>
  <c r="K14" i="2" s="1"/>
  <c r="B14" i="2"/>
  <c r="K30" i="2"/>
  <c r="K31" i="2" s="1"/>
  <c r="O35" i="2"/>
  <c r="O36" i="2" s="1"/>
  <c r="B41" i="2"/>
  <c r="L9" i="2"/>
  <c r="L30" i="2"/>
  <c r="O9" i="2"/>
  <c r="D18" i="2"/>
  <c r="Z198" i="5" l="1"/>
  <c r="Z210" i="5" s="1"/>
  <c r="Y208" i="5"/>
  <c r="Y210" i="5" s="1"/>
  <c r="Y319" i="5" s="1"/>
  <c r="Y322" i="5" s="1"/>
  <c r="Z317" i="5"/>
  <c r="Z217" i="5"/>
  <c r="Z253" i="5" s="1"/>
  <c r="P20" i="3"/>
  <c r="L20" i="3"/>
  <c r="P36" i="3"/>
  <c r="L36" i="3"/>
  <c r="P14" i="3"/>
  <c r="N54" i="3"/>
  <c r="N58" i="3" s="1"/>
  <c r="P31" i="3"/>
  <c r="L31" i="3"/>
  <c r="I52" i="3"/>
  <c r="E50" i="3"/>
  <c r="D50" i="3"/>
  <c r="B52" i="3"/>
  <c r="E14" i="2"/>
  <c r="P41" i="2"/>
  <c r="L41" i="2"/>
  <c r="I52" i="2"/>
  <c r="P14" i="2"/>
  <c r="L14" i="2"/>
  <c r="P36" i="2"/>
  <c r="L36" i="2"/>
  <c r="P31" i="2"/>
  <c r="L31" i="2"/>
  <c r="E50" i="2"/>
  <c r="D50" i="2"/>
  <c r="B52" i="2"/>
  <c r="E41" i="2"/>
  <c r="D41" i="2"/>
  <c r="E31" i="2"/>
  <c r="D31" i="2"/>
  <c r="P25" i="2"/>
  <c r="L25" i="2"/>
  <c r="Z319" i="5" l="1"/>
  <c r="Z322" i="5" s="1"/>
  <c r="K52" i="3"/>
  <c r="I54" i="3"/>
  <c r="P52" i="3"/>
  <c r="O52" i="3"/>
  <c r="L52" i="3"/>
  <c r="E52" i="3"/>
  <c r="D52" i="3"/>
  <c r="B54" i="3"/>
  <c r="K52" i="2"/>
  <c r="P52" i="2"/>
  <c r="O52" i="2"/>
  <c r="L52" i="2"/>
  <c r="I54" i="2"/>
  <c r="E52" i="2"/>
  <c r="D52" i="2"/>
  <c r="B54" i="2"/>
  <c r="B58" i="3" l="1"/>
  <c r="E54" i="3"/>
  <c r="D54" i="3"/>
  <c r="L54" i="3"/>
  <c r="K54" i="3"/>
  <c r="K58" i="3" s="1"/>
  <c r="O54" i="3"/>
  <c r="I58" i="3"/>
  <c r="I71" i="3" s="1"/>
  <c r="P54" i="3"/>
  <c r="B58" i="2"/>
  <c r="E54" i="2"/>
  <c r="D54" i="2"/>
  <c r="L54" i="2"/>
  <c r="K54" i="2"/>
  <c r="K58" i="2" s="1"/>
  <c r="P54" i="2"/>
  <c r="O54" i="2"/>
  <c r="I58" i="2"/>
  <c r="I71" i="2" s="1"/>
  <c r="C25" i="1" l="1"/>
  <c r="J41" i="1" l="1"/>
  <c r="C41" i="1"/>
  <c r="J9" i="1" s="1"/>
  <c r="I4" i="1"/>
  <c r="I5" i="1"/>
  <c r="I6" i="1"/>
  <c r="I7" i="1"/>
  <c r="I8" i="1"/>
  <c r="I9" i="1"/>
  <c r="I10" i="1"/>
  <c r="I11" i="1"/>
  <c r="I12" i="1"/>
  <c r="I13" i="1"/>
  <c r="I14" i="1"/>
  <c r="I3" i="1"/>
  <c r="J4" i="1"/>
  <c r="J5" i="1"/>
  <c r="J6" i="1"/>
  <c r="J7" i="1"/>
  <c r="J8" i="1"/>
  <c r="J10" i="1"/>
  <c r="J11" i="1"/>
  <c r="J12" i="1"/>
  <c r="J13" i="1"/>
  <c r="J14" i="1"/>
  <c r="J3" i="1"/>
  <c r="D35" i="1" l="1"/>
  <c r="O3" i="1" l="1"/>
  <c r="O2" i="1"/>
  <c r="E3" i="1" l="1"/>
  <c r="B4" i="1" s="1"/>
  <c r="E4" i="1" s="1"/>
  <c r="B5" i="1" s="1"/>
  <c r="E5" i="1" s="1"/>
  <c r="B6" i="1" s="1"/>
  <c r="E6" i="1" s="1"/>
  <c r="B7" i="1" s="1"/>
  <c r="E7" i="1" s="1"/>
  <c r="B8" i="1" s="1"/>
  <c r="E8" i="1" s="1"/>
  <c r="B9" i="1" s="1"/>
  <c r="E9" i="1" s="1"/>
  <c r="B10" i="1" s="1"/>
  <c r="E10" i="1" s="1"/>
  <c r="B11" i="1" s="1"/>
  <c r="E11" i="1" s="1"/>
  <c r="B12" i="1" s="1"/>
  <c r="E12" i="1" s="1"/>
  <c r="B13" i="1" s="1"/>
  <c r="E13" i="1" s="1"/>
  <c r="B14" i="1" s="1"/>
  <c r="E14" i="1" s="1"/>
  <c r="E19" i="1"/>
  <c r="B20" i="1" s="1"/>
  <c r="E20" i="1" s="1"/>
  <c r="B21" i="1" s="1"/>
  <c r="E21" i="1" s="1"/>
  <c r="B22" i="1" s="1"/>
  <c r="E22" i="1" s="1"/>
  <c r="B23" i="1" s="1"/>
  <c r="E23" i="1" s="1"/>
  <c r="B24" i="1" s="1"/>
  <c r="E24" i="1" s="1"/>
  <c r="B25" i="1" s="1"/>
  <c r="E25" i="1" s="1"/>
  <c r="B26" i="1" s="1"/>
  <c r="E26" i="1" s="1"/>
  <c r="B27" i="1" s="1"/>
  <c r="E27" i="1" s="1"/>
  <c r="B28" i="1" s="1"/>
  <c r="E28" i="1" s="1"/>
  <c r="B29" i="1" s="1"/>
  <c r="E29" i="1" s="1"/>
  <c r="B30" i="1" s="1"/>
  <c r="E30" i="1" s="1"/>
  <c r="K19" i="1"/>
  <c r="H20" i="1" s="1"/>
  <c r="K20" i="1" s="1"/>
  <c r="H21" i="1" s="1"/>
  <c r="K21" i="1" s="1"/>
  <c r="H22" i="1" s="1"/>
  <c r="K22" i="1" s="1"/>
  <c r="H23" i="1" s="1"/>
  <c r="K23" i="1" s="1"/>
  <c r="H24" i="1" s="1"/>
  <c r="K24" i="1" s="1"/>
  <c r="H25" i="1" s="1"/>
  <c r="K25" i="1" s="1"/>
  <c r="H26" i="1" s="1"/>
  <c r="K26" i="1" s="1"/>
  <c r="H27" i="1" s="1"/>
  <c r="K27" i="1" s="1"/>
  <c r="H28" i="1" s="1"/>
  <c r="K28" i="1" s="1"/>
  <c r="H29" i="1" s="1"/>
  <c r="K29" i="1" s="1"/>
  <c r="H30" i="1" s="1"/>
  <c r="K30" i="1" s="1"/>
  <c r="R19" i="1"/>
  <c r="O20" i="1" s="1"/>
  <c r="R20" i="1" s="1"/>
  <c r="O21" i="1" s="1"/>
  <c r="R21" i="1" s="1"/>
  <c r="O22" i="1" s="1"/>
  <c r="R22" i="1" s="1"/>
  <c r="O23" i="1" s="1"/>
  <c r="R23" i="1" s="1"/>
  <c r="O24" i="1" s="1"/>
  <c r="R24" i="1" s="1"/>
  <c r="O25" i="1" s="1"/>
  <c r="R25" i="1" s="1"/>
  <c r="O26" i="1" s="1"/>
  <c r="R26" i="1" s="1"/>
  <c r="O27" i="1" s="1"/>
  <c r="R27" i="1" s="1"/>
  <c r="O28" i="1" s="1"/>
  <c r="R28" i="1" s="1"/>
  <c r="O29" i="1" s="1"/>
  <c r="R29" i="1" s="1"/>
  <c r="O30" i="1" s="1"/>
  <c r="R30" i="1" s="1"/>
  <c r="E35" i="1"/>
  <c r="B36" i="1" s="1"/>
  <c r="E36" i="1" s="1"/>
  <c r="B37" i="1" s="1"/>
  <c r="E37" i="1" s="1"/>
  <c r="B38" i="1" s="1"/>
  <c r="E38" i="1" s="1"/>
  <c r="B39" i="1" s="1"/>
  <c r="E39" i="1" s="1"/>
  <c r="B40" i="1" s="1"/>
  <c r="E40" i="1" s="1"/>
  <c r="B41" i="1" s="1"/>
  <c r="E41" i="1" s="1"/>
  <c r="B42" i="1" s="1"/>
  <c r="E42" i="1" s="1"/>
  <c r="B43" i="1" s="1"/>
  <c r="E43" i="1" s="1"/>
  <c r="B44" i="1" s="1"/>
  <c r="E44" i="1" s="1"/>
  <c r="B45" i="1" s="1"/>
  <c r="E45" i="1" s="1"/>
  <c r="B46" i="1" s="1"/>
  <c r="E46" i="1" s="1"/>
  <c r="K35" i="1"/>
  <c r="H36" i="1" s="1"/>
  <c r="K36" i="1" s="1"/>
  <c r="H37" i="1" s="1"/>
  <c r="K37" i="1" s="1"/>
  <c r="H38" i="1" s="1"/>
  <c r="K38" i="1" s="1"/>
  <c r="H39" i="1" s="1"/>
  <c r="K39" i="1" s="1"/>
  <c r="H40" i="1" s="1"/>
  <c r="K40" i="1" s="1"/>
  <c r="H41" i="1" s="1"/>
  <c r="K41" i="1" s="1"/>
  <c r="H42" i="1" s="1"/>
  <c r="K42" i="1" s="1"/>
  <c r="H43" i="1" s="1"/>
  <c r="K43" i="1" s="1"/>
  <c r="H44" i="1" s="1"/>
  <c r="K44" i="1" s="1"/>
  <c r="H45" i="1" s="1"/>
  <c r="K45" i="1" s="1"/>
  <c r="H46" i="1" s="1"/>
  <c r="K46" i="1" s="1"/>
  <c r="R35" i="1"/>
  <c r="O36" i="1" s="1"/>
  <c r="R36" i="1" s="1"/>
  <c r="O37" i="1" s="1"/>
  <c r="R37" i="1" s="1"/>
  <c r="O38" i="1" s="1"/>
  <c r="R38" i="1" s="1"/>
  <c r="O39" i="1" l="1"/>
  <c r="R39" i="1" s="1"/>
  <c r="O40" i="1" s="1"/>
  <c r="R40" i="1" s="1"/>
  <c r="O41" i="1" s="1"/>
  <c r="R41" i="1" s="1"/>
  <c r="O42" i="1" s="1"/>
  <c r="R42" i="1" s="1"/>
  <c r="O43" i="1" s="1"/>
  <c r="R43" i="1" s="1"/>
  <c r="O44" i="1" s="1"/>
  <c r="R44" i="1" s="1"/>
  <c r="O45" i="1" s="1"/>
  <c r="R45" i="1" s="1"/>
  <c r="O46" i="1" s="1"/>
  <c r="R46" i="1" s="1"/>
  <c r="K3" i="1"/>
  <c r="H4" i="1" s="1"/>
  <c r="K4" i="1" s="1"/>
  <c r="H5" i="1" s="1"/>
  <c r="K5" i="1" s="1"/>
  <c r="H6" i="1" s="1"/>
  <c r="K6" i="1" s="1"/>
  <c r="H7" i="1" s="1"/>
  <c r="K7" i="1" s="1"/>
  <c r="H8" i="1" s="1"/>
  <c r="K8" i="1" s="1"/>
  <c r="H9" i="1" s="1"/>
  <c r="K9" i="1" s="1"/>
  <c r="H10" i="1" s="1"/>
  <c r="K10" i="1" s="1"/>
  <c r="H11" i="1" s="1"/>
  <c r="K11" i="1" s="1"/>
  <c r="H12" i="1" s="1"/>
  <c r="K12" i="1" s="1"/>
  <c r="H13" i="1" s="1"/>
  <c r="K13" i="1" s="1"/>
  <c r="H14" i="1" s="1"/>
  <c r="K14" i="1" s="1"/>
  <c r="P2" i="1"/>
  <c r="Q2" i="1" s="1"/>
  <c r="P3" i="1" l="1"/>
  <c r="Q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Z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Z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C146" authorId="0" shapeId="0" xr:uid="{4B08EC91-81B2-4D7D-AB2D-BFD59520F04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5G</t>
        </r>
      </text>
    </comment>
    <comment ref="Z213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Z230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Z231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Z232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Z233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B15" authorId="0" shapeId="0" xr:uid="{4CB14B29-7F7B-4DB6-848F-7506C6B9894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B78" authorId="0" shapeId="0" xr:uid="{733A510C-C712-4472-8CAF-FFEF5B80D062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B213" authorId="0" shapeId="0" xr:uid="{340CCAC6-4101-4C26-8C4A-CAA290F96760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B230" authorId="0" shapeId="0" xr:uid="{C2757908-78A1-4EB0-8709-48CBF70A2FB4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B231" authorId="0" shapeId="0" xr:uid="{D4AD9BE9-2404-49F4-89A3-D5A8E493808F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B232" authorId="0" shapeId="0" xr:uid="{B91008E6-ACA6-4AA3-8E3A-B782D005AE2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B233" authorId="0" shapeId="0" xr:uid="{20B1C4A4-B54D-4C14-BECA-C699CA61B25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<sst xmlns="http://schemas.openxmlformats.org/spreadsheetml/2006/main" count="1374" uniqueCount="516">
  <si>
    <t>Ending Balance</t>
  </si>
  <si>
    <t>Subtractions</t>
  </si>
  <si>
    <t>Additions</t>
  </si>
  <si>
    <t>Beginning Balance</t>
  </si>
  <si>
    <t>Date</t>
  </si>
  <si>
    <t>Beach Safety Fund</t>
  </si>
  <si>
    <t>State 5G Funds</t>
  </si>
  <si>
    <t>Capital Improvements - Town Hall</t>
  </si>
  <si>
    <t>Public Safety Fund</t>
  </si>
  <si>
    <t>Capital Improvements</t>
  </si>
  <si>
    <t>Streets &amp; Infrastructure</t>
  </si>
  <si>
    <t>Unassigned</t>
  </si>
  <si>
    <t>Rainy Day</t>
  </si>
  <si>
    <t>Difference</t>
  </si>
  <si>
    <t>Current</t>
  </si>
  <si>
    <t>Required</t>
  </si>
  <si>
    <t>Unassigned Fund</t>
  </si>
  <si>
    <t>Rainy Day Fund</t>
  </si>
  <si>
    <t>01.2025</t>
  </si>
  <si>
    <t>02.2025</t>
  </si>
  <si>
    <t>03.2025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</si>
  <si>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</si>
  <si>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</si>
  <si>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</si>
  <si>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</si>
  <si>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</si>
  <si>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</si>
  <si>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</si>
  <si>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</si>
  <si>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</si>
  <si>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Unassigned Fund balance will fluctuate throughout the year as this is just</t>
  </si>
  <si>
    <t>a total of those funds that are not allocated elsewhere.</t>
  </si>
  <si>
    <t>General Fund Financial Overview: October 2024 - ALL DATA</t>
  </si>
  <si>
    <t>UNAUDITED</t>
  </si>
  <si>
    <t>Monthly</t>
  </si>
  <si>
    <t>Annual FY25</t>
  </si>
  <si>
    <t>Budget</t>
  </si>
  <si>
    <t>$OverBud</t>
  </si>
  <si>
    <t>% of Budget</t>
  </si>
  <si>
    <t>Revenue</t>
  </si>
  <si>
    <t>Actual April - October 2024</t>
  </si>
  <si>
    <t>Budgeted April - October 2024</t>
  </si>
  <si>
    <t>% of  YTD Budget</t>
  </si>
  <si>
    <t>Annual Budget</t>
  </si>
  <si>
    <t>% of Annual Budget</t>
  </si>
  <si>
    <t>Transfer Tax</t>
  </si>
  <si>
    <t xml:space="preserve"> </t>
  </si>
  <si>
    <t>Accommodation Tax</t>
  </si>
  <si>
    <t>Hotel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</si>
  <si>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</si>
  <si>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</si>
  <si>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</si>
  <si>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</si>
  <si>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</si>
  <si>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</si>
  <si>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Expenses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</si>
  <si>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</si>
  <si>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</si>
  <si>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</si>
  <si>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</si>
  <si>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</si>
  <si>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</si>
  <si>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Total Administration Expenses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</si>
  <si>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</si>
  <si>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</si>
  <si>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</si>
  <si>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</si>
  <si>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</si>
  <si>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</si>
  <si>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</si>
  <si>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</si>
  <si>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</si>
  <si>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</si>
  <si>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</si>
  <si>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</si>
  <si>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</si>
  <si>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</si>
  <si>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Total Alderman Court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</si>
  <si>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</si>
  <si>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</si>
  <si>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</si>
  <si>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</si>
  <si>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</si>
  <si>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Income Before Set Asides</t>
  </si>
  <si>
    <t>Allocations to Set Asides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</si>
  <si>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</si>
  <si>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</si>
  <si>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</si>
  <si>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</si>
  <si>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</si>
  <si>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</si>
  <si>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</si>
  <si>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Hotel Tax (50%)</t>
  </si>
  <si>
    <t>Total for Captial Improvements</t>
  </si>
  <si>
    <t>Net Operations</t>
  </si>
  <si>
    <t>Tranfer Tax - to Streets &amp; Infrastructure</t>
  </si>
  <si>
    <t>Tranfer Tax - to Rainy Day</t>
  </si>
  <si>
    <t>Daily &amp; Seasonal Parking - to Streets &amp; Infrastructure</t>
  </si>
  <si>
    <t>Building Permints - to Streets &amp; Infrastructure</t>
  </si>
  <si>
    <t>Hotel Tax - to Capital Improvements - Town Hall</t>
  </si>
  <si>
    <t>General Fund Financial Overview: October 2024 - OPERATING</t>
  </si>
  <si>
    <t>NET INCOME (LOSS)</t>
  </si>
  <si>
    <t>Group Total [7200] Expenditures</t>
  </si>
  <si>
    <t>All Funds Presented</t>
  </si>
  <si>
    <t>Subtotal - Beach Safety</t>
  </si>
  <si>
    <t/>
  </si>
  <si>
    <t>Equipment / Asset - Depreciable</t>
  </si>
  <si>
    <t>Equip / Asset Purchase</t>
  </si>
  <si>
    <t>Equipment Maintenance</t>
  </si>
  <si>
    <t>6081900</t>
  </si>
  <si>
    <t>Donation Purchases</t>
  </si>
  <si>
    <t>6081800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</si>
  <si>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</si>
  <si>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</si>
  <si>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</si>
  <si>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</si>
  <si>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</si>
  <si>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</si>
  <si>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</si>
  <si>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</si>
  <si>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</si>
  <si>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</si>
  <si>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</si>
  <si>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</si>
  <si>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</si>
  <si>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</si>
  <si>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</si>
  <si>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</si>
  <si>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Landhold Lease - LSS</t>
  </si>
  <si>
    <t>6080550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</si>
  <si>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</si>
  <si>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</si>
  <si>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</si>
  <si>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</si>
  <si>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</si>
  <si>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</si>
  <si>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</si>
  <si>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</si>
  <si>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Local Taxes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</si>
  <si>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</si>
  <si>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</si>
  <si>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</si>
  <si>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</si>
  <si>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</si>
  <si>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</si>
  <si>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</si>
  <si>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</si>
  <si>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</si>
  <si>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</si>
  <si>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</si>
  <si>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</si>
  <si>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</si>
  <si>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</si>
  <si>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</si>
  <si>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</si>
  <si>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</si>
  <si>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</si>
  <si>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</si>
  <si>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</si>
  <si>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</si>
  <si>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</si>
  <si>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</si>
  <si>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</si>
  <si>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</si>
  <si>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</si>
  <si>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</si>
  <si>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</si>
  <si>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</si>
  <si>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</si>
  <si>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</si>
  <si>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</si>
  <si>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</si>
  <si>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</si>
  <si>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Street Projects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</si>
  <si>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</si>
  <si>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</si>
  <si>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</si>
  <si>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</si>
  <si>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</si>
  <si>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</si>
  <si>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</si>
  <si>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</si>
  <si>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</si>
  <si>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</si>
  <si>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</si>
  <si>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</si>
  <si>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</si>
  <si>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</si>
  <si>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</si>
  <si>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6032000</t>
  </si>
  <si>
    <t>Drug Testing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</si>
  <si>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</si>
  <si>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</si>
  <si>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</si>
  <si>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</si>
  <si>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</si>
  <si>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</si>
  <si>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</si>
  <si>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</si>
  <si>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</si>
  <si>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</si>
  <si>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</si>
  <si>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</si>
  <si>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</si>
  <si>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</si>
  <si>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</si>
  <si>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Mileage Reimbursement</t>
  </si>
  <si>
    <t>6030600</t>
  </si>
  <si>
    <t>6030530</t>
  </si>
  <si>
    <t>Pest Control</t>
  </si>
  <si>
    <t>6030520</t>
  </si>
  <si>
    <t>6030510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</si>
  <si>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</si>
  <si>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</si>
  <si>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</si>
  <si>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</si>
  <si>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</si>
  <si>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</si>
  <si>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</si>
  <si>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</si>
  <si>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</si>
  <si>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</si>
  <si>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</si>
  <si>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</si>
  <si>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</si>
  <si>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</si>
  <si>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</si>
  <si>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</si>
  <si>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</si>
  <si>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</si>
  <si>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</si>
  <si>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</si>
  <si>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</si>
  <si>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</si>
  <si>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</si>
  <si>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</si>
  <si>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</si>
  <si>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</si>
  <si>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</si>
  <si>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</si>
  <si>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</si>
  <si>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</si>
  <si>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Public Safety</t>
  </si>
  <si>
    <t>Subgroup : [7200.02]</t>
  </si>
  <si>
    <t>Subtotal - General &amp; Administrative</t>
  </si>
  <si>
    <t>6071700</t>
  </si>
  <si>
    <t>6071500</t>
  </si>
  <si>
    <t>6070160</t>
  </si>
  <si>
    <t>6070150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</si>
  <si>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</si>
  <si>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</si>
  <si>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</si>
  <si>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</si>
  <si>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</si>
  <si>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</si>
  <si>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</si>
  <si>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</si>
  <si>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</si>
  <si>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</si>
  <si>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</si>
  <si>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</si>
  <si>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</si>
  <si>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</si>
  <si>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</si>
  <si>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</si>
  <si>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</si>
  <si>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</si>
  <si>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</si>
  <si>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</si>
  <si>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</si>
  <si>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6051300</t>
  </si>
  <si>
    <t>6051100</t>
  </si>
  <si>
    <t>6050610</t>
  </si>
  <si>
    <t>6050600</t>
  </si>
  <si>
    <t>6050530</t>
  </si>
  <si>
    <t>6050520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</si>
  <si>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</si>
  <si>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</si>
  <si>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</si>
  <si>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</si>
  <si>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</si>
  <si>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</si>
  <si>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</si>
  <si>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</si>
  <si>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6050140</t>
  </si>
  <si>
    <t>6050130</t>
  </si>
  <si>
    <t>6050110</t>
  </si>
  <si>
    <t>6050100</t>
  </si>
  <si>
    <t>6021700</t>
  </si>
  <si>
    <t>6021600</t>
  </si>
  <si>
    <t>6021500</t>
  </si>
  <si>
    <t>6021400</t>
  </si>
  <si>
    <t>6021300</t>
  </si>
  <si>
    <t>6021200</t>
  </si>
  <si>
    <t>6021100</t>
  </si>
  <si>
    <t>Postage</t>
  </si>
  <si>
    <t>6021000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</si>
  <si>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</si>
  <si>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</si>
  <si>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</si>
  <si>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</si>
  <si>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</si>
  <si>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</si>
  <si>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</si>
  <si>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</si>
  <si>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</si>
  <si>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</si>
  <si>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</si>
  <si>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</si>
  <si>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</si>
  <si>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</si>
  <si>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COVID-19 Expenses</t>
  </si>
  <si>
    <t>6012150</t>
  </si>
  <si>
    <t>Beautification</t>
  </si>
  <si>
    <t>6012100</t>
  </si>
  <si>
    <t>Compensated Absence Exp.</t>
  </si>
  <si>
    <t>6011500</t>
  </si>
  <si>
    <t>Extraordinary DBE Expense</t>
  </si>
  <si>
    <t>6011400</t>
  </si>
  <si>
    <t>Legal Ads</t>
  </si>
  <si>
    <t>6011300</t>
  </si>
  <si>
    <t>Dues / Publications</t>
  </si>
  <si>
    <t>6011200</t>
  </si>
  <si>
    <t>Payroll Expenses</t>
  </si>
  <si>
    <t>6011150</t>
  </si>
  <si>
    <t>Employee Bonuses</t>
  </si>
  <si>
    <t>6011100</t>
  </si>
  <si>
    <t>6011000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</si>
  <si>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</si>
  <si>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</si>
  <si>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</si>
  <si>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</si>
  <si>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</si>
  <si>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</si>
  <si>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</si>
  <si>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</si>
  <si>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</si>
  <si>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</si>
  <si>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 - Lawsuit</t>
  </si>
  <si>
    <t>6010550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</si>
  <si>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</si>
  <si>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</si>
  <si>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</si>
  <si>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</si>
  <si>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</si>
  <si>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</si>
  <si>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</si>
  <si>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</si>
  <si>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</si>
  <si>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</si>
  <si>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</si>
  <si>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</si>
  <si>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</si>
  <si>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</si>
  <si>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</si>
  <si>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</si>
  <si>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</si>
  <si>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</si>
  <si>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</si>
  <si>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</si>
  <si>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</si>
  <si>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</si>
  <si>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</si>
  <si>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</si>
  <si>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</si>
  <si>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</si>
  <si>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Monthly Toward 300k</t>
  </si>
  <si>
    <t>4080100</t>
  </si>
  <si>
    <t>Town Hall Other</t>
  </si>
  <si>
    <t>4041000</t>
  </si>
  <si>
    <t>COVID-19 Revenue</t>
  </si>
  <si>
    <t>4040950</t>
  </si>
  <si>
    <t>4040900</t>
  </si>
  <si>
    <t>Gain / Loss Sale of Equipment</t>
  </si>
  <si>
    <t>4040200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</si>
  <si>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</si>
  <si>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</si>
  <si>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</si>
  <si>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</si>
  <si>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</si>
  <si>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</si>
  <si>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</si>
  <si>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</si>
  <si>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</si>
  <si>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</si>
  <si>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</si>
  <si>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</si>
  <si>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</si>
  <si>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</si>
  <si>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</si>
  <si>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</si>
  <si>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</si>
  <si>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</si>
  <si>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</si>
  <si>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</si>
  <si>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</si>
  <si>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</si>
  <si>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</si>
  <si>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</si>
  <si>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</si>
  <si>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</si>
  <si>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</si>
  <si>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</si>
  <si>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Police Extra Duty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</si>
  <si>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</si>
  <si>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</si>
  <si>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</si>
  <si>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</si>
  <si>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</si>
  <si>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</si>
  <si>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</si>
  <si>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</si>
  <si>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</si>
  <si>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</si>
  <si>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</si>
  <si>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</si>
  <si>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</si>
  <si>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ARPA revenue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</si>
  <si>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</si>
  <si>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</si>
  <si>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</si>
  <si>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</si>
  <si>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</si>
  <si>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</si>
  <si>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</si>
  <si>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</si>
  <si>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</si>
  <si>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</si>
  <si>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</si>
  <si>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</si>
  <si>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</si>
  <si>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</si>
  <si>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</si>
  <si>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</si>
  <si>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Capias / Contempt Charges</t>
  </si>
  <si>
    <t>4020500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</si>
  <si>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</si>
  <si>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</si>
  <si>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</si>
  <si>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</si>
  <si>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</si>
  <si>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</si>
  <si>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</si>
  <si>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</si>
  <si>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</si>
  <si>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</si>
  <si>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</si>
  <si>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</si>
  <si>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</si>
  <si>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</si>
  <si>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</si>
  <si>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</si>
  <si>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</si>
  <si>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</si>
  <si>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</si>
  <si>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</si>
  <si>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</si>
  <si>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</si>
  <si>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</si>
  <si>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</si>
  <si>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</si>
  <si>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</si>
  <si>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</si>
  <si>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</si>
  <si>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</si>
  <si>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</si>
  <si>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</si>
  <si>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</si>
  <si>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</si>
  <si>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</si>
  <si>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</si>
  <si>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</si>
  <si>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</si>
  <si>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</si>
  <si>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</si>
  <si>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</si>
  <si>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4000250</t>
  </si>
  <si>
    <t>Accommodations Tax</t>
  </si>
  <si>
    <t>4000200</t>
  </si>
  <si>
    <t>4000100</t>
  </si>
  <si>
    <t>Taxes and Assessments</t>
  </si>
  <si>
    <t>Subgroup : [7100.01]</t>
  </si>
  <si>
    <t>Group : [7100]</t>
  </si>
  <si>
    <t>Subtotal - Equity</t>
  </si>
  <si>
    <t>3200800</t>
  </si>
  <si>
    <t>Street &amp; Infrastructure</t>
  </si>
  <si>
    <t>3200100</t>
  </si>
  <si>
    <t>Net Position</t>
  </si>
  <si>
    <t>Group : [6100]</t>
  </si>
  <si>
    <t>Set Asides &amp; Grants Budget</t>
  </si>
  <si>
    <t>Operating Budget</t>
  </si>
  <si>
    <t>FY2025 Budget</t>
  </si>
  <si>
    <t>Year To Date Budget</t>
  </si>
  <si>
    <t>Year To Date Actual</t>
  </si>
  <si>
    <t>October Budget</t>
  </si>
  <si>
    <t>October 2024</t>
  </si>
  <si>
    <t>September Budget</t>
  </si>
  <si>
    <t>September 2024</t>
  </si>
  <si>
    <t>August Budget</t>
  </si>
  <si>
    <t>August 2024</t>
  </si>
  <si>
    <t>July Budget</t>
  </si>
  <si>
    <t>July 2024</t>
  </si>
  <si>
    <t>June Budget</t>
  </si>
  <si>
    <t>June 2024</t>
  </si>
  <si>
    <t>May Budget</t>
  </si>
  <si>
    <t>May 2024</t>
  </si>
  <si>
    <t>April Budget</t>
  </si>
  <si>
    <t>April 2024</t>
  </si>
  <si>
    <t>Description</t>
  </si>
  <si>
    <t>Account</t>
  </si>
  <si>
    <t>November 2024</t>
  </si>
  <si>
    <t>December 2024</t>
  </si>
  <si>
    <t>January 2025</t>
  </si>
  <si>
    <t>February 2025</t>
  </si>
  <si>
    <t>March 2025</t>
  </si>
  <si>
    <t>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</si>
</sst>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9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/>
    </xf>
    <xf numFmtId="0" fontId="13" fillId="0" borderId="0">
      <alignment horizontal="left"/>
    </xf>
    <xf numFmtId="40" fontId="14" fillId="0" borderId="0">
      <alignment horizontal="left"/>
    </xf>
    <xf numFmtId="40" fontId="14" fillId="0" borderId="0">
      <alignment horizontal="left"/>
    </xf>
    <xf numFmtId="40" fontId="14" fillId="0" borderId="0">
      <alignment horizontal="left"/>
    </xf>
    <xf numFmtId="40" fontId="14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40" fontId="18" fillId="5" borderId="0">
      <alignment horizontal="left"/>
    </xf>
    <xf numFmtId="40" fontId="18" fillId="5" borderId="0">
      <alignment horizontal="left"/>
    </xf>
    <xf numFmtId="40" fontId="21" fillId="6" borderId="0"/>
    <xf numFmtId="40" fontId="21" fillId="6" borderId="0"/>
    <xf numFmtId="40" fontId="14" fillId="0" borderId="5">
      <alignment horizontal="right"/>
    </xf>
    <xf numFmtId="40" fontId="16" fillId="0" borderId="0">
      <alignment horizontal="right"/>
    </xf>
    <xf numFmtId="0" fontId="14" fillId="7" borderId="0">
      <alignment horizontal="left"/>
    </xf>
    <xf numFmtId="0" fontId="14" fillId="7" borderId="0">
      <alignment horizontal="left"/>
    </xf>
    <xf numFmtId="0" fontId="21" fillId="6" borderId="0">
      <alignment horizontal="center" vertical="center"/>
    </xf>
    <xf numFmtId="40" fontId="21" fillId="6" borderId="0">
      <alignment horizontal="center" vertical="center"/>
    </xf>
    <xf numFmtId="40" fontId="21" fillId="6" borderId="0">
      <alignment horizontal="center" vertical="center"/>
    </xf>
  </cellStyleXfs>
  <cellXfs count="145">
    <xf numFmtId="0" fontId="0" fillId="0" borderId="0" xfId="0"/>
    <xf numFmtId="43" fontId="0" fillId="0" borderId="0" xfId="1" applyFont="1" applyFill="1"/>
    <xf numFmtId="0" fontId="0" fillId="0" borderId="0" xfId="0" quotePrefix="1"/>
    <xf numFmtId="43" fontId="0" fillId="0" borderId="0" xfId="0" applyNumberFormat="1"/>
    <xf numFmtId="43" fontId="0" fillId="0" borderId="0" xfId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164" fontId="5" fillId="0" borderId="0" xfId="2" applyNumberFormat="1" applyFont="1"/>
    <xf numFmtId="165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5" fillId="0" borderId="2" xfId="2" applyNumberFormat="1" applyFont="1" applyBorder="1"/>
    <xf numFmtId="9" fontId="5" fillId="0" borderId="0" xfId="3" applyFont="1" applyAlignment="1">
      <alignment horizontal="center"/>
    </xf>
    <xf numFmtId="164" fontId="2" fillId="2" borderId="2" xfId="2" applyNumberFormat="1" applyFont="1" applyFill="1" applyBorder="1"/>
    <xf numFmtId="0" fontId="2" fillId="2" borderId="0" xfId="0" applyFont="1" applyFill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0" fontId="6" fillId="0" borderId="0" xfId="0" applyFont="1"/>
    <xf numFmtId="164" fontId="2" fillId="0" borderId="1" xfId="2" applyNumberFormat="1" applyFont="1" applyBorder="1"/>
    <xf numFmtId="9" fontId="2" fillId="0" borderId="0" xfId="3" applyFont="1" applyAlignment="1">
      <alignment horizontal="center"/>
    </xf>
    <xf numFmtId="16" fontId="2" fillId="0" borderId="1" xfId="0" quotePrefix="1" applyNumberFormat="1" applyFont="1" applyBorder="1" applyAlignment="1">
      <alignment horizontal="center" wrapText="1"/>
    </xf>
    <xf numFmtId="164" fontId="2" fillId="3" borderId="2" xfId="2" applyNumberFormat="1" applyFont="1" applyFill="1" applyBorder="1"/>
    <xf numFmtId="0" fontId="7" fillId="0" borderId="0" xfId="0" applyFont="1"/>
    <xf numFmtId="9" fontId="5" fillId="0" borderId="0" xfId="3" applyFont="1" applyBorder="1" applyAlignment="1">
      <alignment horizontal="center"/>
    </xf>
    <xf numFmtId="0" fontId="2" fillId="2" borderId="0" xfId="0" applyFont="1" applyFill="1" applyAlignment="1">
      <alignment wrapText="1"/>
    </xf>
    <xf numFmtId="164" fontId="2" fillId="0" borderId="0" xfId="2" applyNumberFormat="1" applyFont="1"/>
    <xf numFmtId="9" fontId="5" fillId="0" borderId="0" xfId="3" applyFont="1"/>
    <xf numFmtId="3" fontId="2" fillId="0" borderId="0" xfId="0" applyNumberFormat="1" applyFont="1"/>
    <xf numFmtId="164" fontId="2" fillId="0" borderId="0" xfId="2" applyNumberFormat="1" applyFont="1" applyFill="1" applyBorder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8" fillId="0" borderId="0" xfId="2" applyNumberFormat="1" applyFont="1"/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0" borderId="0" xfId="2" applyNumberFormat="1" applyFont="1" applyFill="1" applyAlignment="1">
      <alignment vertical="top"/>
    </xf>
    <xf numFmtId="49" fontId="8" fillId="0" borderId="0" xfId="2" applyNumberFormat="1" applyFont="1" applyAlignment="1">
      <alignment wrapText="1"/>
    </xf>
    <xf numFmtId="49" fontId="8" fillId="0" borderId="0" xfId="2" applyNumberFormat="1" applyFont="1" applyAlignment="1"/>
    <xf numFmtId="164" fontId="8" fillId="4" borderId="0" xfId="0" applyNumberFormat="1" applyFont="1" applyFill="1"/>
    <xf numFmtId="9" fontId="8" fillId="0" borderId="0" xfId="3" applyFont="1"/>
    <xf numFmtId="164" fontId="7" fillId="0" borderId="0" xfId="2" applyNumberFormat="1" applyFont="1" applyFill="1"/>
    <xf numFmtId="164" fontId="7" fillId="0" borderId="0" xfId="0" applyNumberFormat="1" applyFont="1"/>
    <xf numFmtId="43" fontId="5" fillId="0" borderId="0" xfId="0" applyNumberFormat="1" applyFont="1"/>
    <xf numFmtId="43" fontId="5" fillId="0" borderId="0" xfId="2" applyFont="1"/>
    <xf numFmtId="9" fontId="5" fillId="0" borderId="0" xfId="0" applyNumberFormat="1" applyFont="1"/>
    <xf numFmtId="0" fontId="9" fillId="0" borderId="0" xfId="0" applyFont="1"/>
    <xf numFmtId="0" fontId="10" fillId="0" borderId="0" xfId="0" applyFont="1"/>
    <xf numFmtId="43" fontId="9" fillId="0" borderId="0" xfId="2" applyFont="1"/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43" fontId="9" fillId="0" borderId="0" xfId="2" applyFont="1" applyProtection="1">
      <protection locked="0"/>
    </xf>
    <xf numFmtId="43" fontId="10" fillId="0" borderId="0" xfId="2" applyFont="1" applyAlignment="1" applyProtection="1">
      <alignment horizontal="right"/>
      <protection locked="0"/>
    </xf>
    <xf numFmtId="43" fontId="9" fillId="0" borderId="0" xfId="2" applyFont="1" applyAlignment="1" applyProtection="1">
      <alignment horizontal="right"/>
      <protection locked="0"/>
    </xf>
    <xf numFmtId="43" fontId="9" fillId="0" borderId="0" xfId="2" applyFont="1" applyAlignment="1">
      <alignment horizontal="right"/>
    </xf>
    <xf numFmtId="40" fontId="9" fillId="0" borderId="0" xfId="0" applyNumberFormat="1" applyFont="1"/>
    <xf numFmtId="43" fontId="11" fillId="0" borderId="3" xfId="2" applyFont="1" applyBorder="1" applyAlignment="1">
      <alignment horizontal="right"/>
    </xf>
    <xf numFmtId="43" fontId="9" fillId="4" borderId="0" xfId="2" applyFont="1" applyFill="1" applyAlignment="1">
      <alignment horizontal="right"/>
    </xf>
    <xf numFmtId="43" fontId="12" fillId="0" borderId="0" xfId="2" quotePrefix="1" applyFont="1" applyAlignment="1">
      <alignment horizontal="right"/>
    </xf>
    <xf numFmtId="0" fontId="12" fillId="0" borderId="0" xfId="4" quotePrefix="1" applyFont="1">
      <alignment horizontal="left"/>
    </xf>
    <xf numFmtId="0" fontId="12" fillId="0" borderId="0" xfId="5" applyFont="1">
      <alignment horizontal="left"/>
    </xf>
    <xf numFmtId="43" fontId="10" fillId="0" borderId="0" xfId="2" applyFont="1" applyAlignment="1">
      <alignment horizontal="right"/>
    </xf>
    <xf numFmtId="43" fontId="11" fillId="0" borderId="4" xfId="2" applyFont="1" applyBorder="1" applyAlignment="1">
      <alignment horizontal="right"/>
    </xf>
    <xf numFmtId="43" fontId="11" fillId="0" borderId="0" xfId="2" quotePrefix="1" applyFont="1" applyAlignment="1">
      <alignment horizontal="right"/>
    </xf>
    <xf numFmtId="40" fontId="11" fillId="0" borderId="0" xfId="6" quotePrefix="1" applyFont="1">
      <alignment horizontal="left"/>
    </xf>
    <xf numFmtId="40" fontId="11" fillId="0" borderId="0" xfId="7" quotePrefix="1" applyFont="1">
      <alignment horizontal="left"/>
    </xf>
    <xf numFmtId="43" fontId="11" fillId="0" borderId="5" xfId="2" applyFont="1" applyBorder="1" applyAlignment="1">
      <alignment horizontal="right"/>
    </xf>
    <xf numFmtId="40" fontId="11" fillId="0" borderId="0" xfId="8" quotePrefix="1" applyFont="1">
      <alignment horizontal="left"/>
    </xf>
    <xf numFmtId="40" fontId="11" fillId="0" borderId="0" xfId="9" quotePrefix="1" applyFont="1">
      <alignment horizontal="left"/>
    </xf>
    <xf numFmtId="43" fontId="15" fillId="0" borderId="0" xfId="2" applyFont="1" applyAlignment="1">
      <alignment horizontal="right"/>
    </xf>
    <xf numFmtId="0" fontId="15" fillId="0" borderId="0" xfId="10" applyFont="1">
      <alignment horizontal="left"/>
    </xf>
    <xf numFmtId="0" fontId="15" fillId="0" borderId="0" xfId="11" applyFont="1">
      <alignment horizontal="left"/>
    </xf>
    <xf numFmtId="43" fontId="15" fillId="0" borderId="0" xfId="2" quotePrefix="1" applyFont="1" applyAlignment="1">
      <alignment horizontal="right"/>
    </xf>
    <xf numFmtId="40" fontId="15" fillId="0" borderId="0" xfId="10" quotePrefix="1" applyNumberFormat="1" applyFont="1" applyAlignment="1">
      <alignment horizontal="right"/>
    </xf>
    <xf numFmtId="0" fontId="15" fillId="0" borderId="0" xfId="10" quotePrefix="1" applyFont="1">
      <alignment horizontal="left"/>
    </xf>
    <xf numFmtId="0" fontId="15" fillId="0" borderId="0" xfId="11" quotePrefix="1" applyFont="1">
      <alignment horizontal="left"/>
    </xf>
    <xf numFmtId="43" fontId="17" fillId="5" borderId="0" xfId="2" quotePrefix="1" applyFont="1" applyFill="1" applyAlignment="1">
      <alignment horizontal="right"/>
    </xf>
    <xf numFmtId="40" fontId="17" fillId="5" borderId="0" xfId="12" quotePrefix="1" applyFont="1">
      <alignment horizontal="left"/>
    </xf>
    <xf numFmtId="40" fontId="17" fillId="5" borderId="0" xfId="13" quotePrefix="1" applyFont="1">
      <alignment horizontal="left"/>
    </xf>
    <xf numFmtId="43" fontId="11" fillId="0" borderId="6" xfId="2" applyFont="1" applyBorder="1" applyAlignment="1">
      <alignment horizontal="right"/>
    </xf>
    <xf numFmtId="43" fontId="19" fillId="4" borderId="6" xfId="2" applyFont="1" applyFill="1" applyBorder="1" applyAlignment="1">
      <alignment horizontal="right"/>
    </xf>
    <xf numFmtId="0" fontId="11" fillId="0" borderId="0" xfId="10" quotePrefix="1" applyFont="1">
      <alignment horizontal="left"/>
    </xf>
    <xf numFmtId="0" fontId="11" fillId="0" borderId="0" xfId="11" quotePrefix="1" applyFont="1">
      <alignment horizontal="left"/>
    </xf>
    <xf numFmtId="43" fontId="11" fillId="0" borderId="0" xfId="2" applyFont="1" applyAlignment="1">
      <alignment horizontal="right"/>
    </xf>
    <xf numFmtId="43" fontId="19" fillId="4" borderId="0" xfId="2" applyFont="1" applyFill="1" applyAlignment="1">
      <alignment horizontal="right"/>
    </xf>
    <xf numFmtId="0" fontId="19" fillId="0" borderId="0" xfId="0" applyFont="1"/>
    <xf numFmtId="40" fontId="19" fillId="0" borderId="0" xfId="0" applyNumberFormat="1" applyFont="1"/>
    <xf numFmtId="43" fontId="20" fillId="6" borderId="0" xfId="2" quotePrefix="1" applyFont="1" applyFill="1" applyAlignment="1">
      <alignment horizontal="right"/>
    </xf>
    <xf numFmtId="40" fontId="20" fillId="6" borderId="0" xfId="14" quotePrefix="1" applyFont="1"/>
    <xf numFmtId="40" fontId="20" fillId="6" borderId="0" xfId="15" quotePrefix="1" applyFont="1"/>
    <xf numFmtId="0" fontId="9" fillId="4" borderId="0" xfId="0" applyFont="1" applyFill="1"/>
    <xf numFmtId="43" fontId="17" fillId="5" borderId="0" xfId="2" quotePrefix="1" applyFont="1" applyFill="1" applyAlignment="1">
      <alignment horizontal="left"/>
    </xf>
    <xf numFmtId="43" fontId="20" fillId="6" borderId="0" xfId="2" quotePrefix="1" applyFont="1" applyFill="1"/>
    <xf numFmtId="40" fontId="11" fillId="0" borderId="5" xfId="16" applyFont="1">
      <alignment horizontal="right"/>
    </xf>
    <xf numFmtId="40" fontId="10" fillId="0" borderId="0" xfId="0" applyNumberFormat="1" applyFont="1"/>
    <xf numFmtId="40" fontId="15" fillId="0" borderId="0" xfId="17" applyFont="1">
      <alignment horizontal="right"/>
    </xf>
    <xf numFmtId="9" fontId="9" fillId="4" borderId="0" xfId="3" applyFont="1" applyFill="1"/>
    <xf numFmtId="43" fontId="15" fillId="0" borderId="0" xfId="2" quotePrefix="1" applyFont="1" applyAlignment="1">
      <alignment horizontal="left"/>
    </xf>
    <xf numFmtId="0" fontId="9" fillId="0" borderId="0" xfId="0" applyFont="1" applyAlignment="1">
      <alignment horizontal="center"/>
    </xf>
    <xf numFmtId="40" fontId="9" fillId="0" borderId="0" xfId="0" applyNumberFormat="1" applyFont="1" applyAlignment="1">
      <alignment horizontal="center"/>
    </xf>
    <xf numFmtId="0" fontId="11" fillId="0" borderId="0" xfId="18" quotePrefix="1" applyFont="1" applyFill="1" applyAlignment="1">
      <alignment horizontal="center"/>
    </xf>
    <xf numFmtId="43" fontId="11" fillId="0" borderId="0" xfId="2" quotePrefix="1" applyFont="1" applyFill="1" applyAlignment="1">
      <alignment horizontal="center"/>
    </xf>
    <xf numFmtId="0" fontId="11" fillId="0" borderId="0" xfId="19" quotePrefix="1" applyFont="1" applyFill="1" applyAlignment="1">
      <alignment horizontal="center"/>
    </xf>
    <xf numFmtId="0" fontId="22" fillId="6" borderId="0" xfId="20" quotePrefix="1" applyFont="1" applyAlignment="1">
      <alignment horizontal="center" vertical="center" wrapText="1"/>
    </xf>
    <xf numFmtId="0" fontId="20" fillId="6" borderId="0" xfId="20" quotePrefix="1" applyFont="1" applyAlignment="1">
      <alignment horizontal="center" vertical="center" wrapText="1"/>
    </xf>
    <xf numFmtId="40" fontId="20" fillId="6" borderId="0" xfId="21" quotePrefix="1" applyFont="1">
      <alignment horizontal="center" vertical="center"/>
    </xf>
    <xf numFmtId="40" fontId="20" fillId="6" borderId="0" xfId="21" quotePrefix="1" applyFont="1">
      <alignment horizontal="center" vertical="center"/>
    </xf>
    <xf numFmtId="49" fontId="20" fillId="6" borderId="0" xfId="21" quotePrefix="1" applyNumberFormat="1" applyFont="1">
      <alignment horizontal="center" vertical="center"/>
    </xf>
    <xf numFmtId="43" fontId="20" fillId="6" borderId="0" xfId="2" quotePrefix="1" applyFont="1" applyFill="1" applyAlignment="1">
      <alignment horizontal="center" vertical="center"/>
    </xf>
    <xf numFmtId="40" fontId="20" fillId="6" borderId="0" xfId="22" quotePrefix="1" applyFont="1">
      <alignment horizontal="center" vertical="center"/>
    </xf>
    <xf numFmtId="49" fontId="20" fillId="6" borderId="0" xfId="21" quotePrefix="1" applyNumberFormat="1" applyFont="1">
      <alignment horizontal="center" vertical="center"/>
    </xf>
    <xf numFmtId="49" fontId="25" fillId="6" borderId="0" xfId="21" quotePrefix="1" applyNumberFormat="1" applyFont="1">
      <alignment horizontal="center" vertical="center"/>
    </xf>
    <xf numFmtId="49" fontId="25" fillId="6" borderId="0" xfId="21" quotePrefix="1" applyNumberFormat="1" applyFont="1">
      <alignment horizontal="center" vertical="center"/>
    </xf>
    <xf numFmtId="0" fontId="25" fillId="0" borderId="0" xfId="18" quotePrefix="1" applyFont="1" applyFill="1" applyAlignment="1">
      <alignment horizontal="center"/>
    </xf>
    <xf numFmtId="40" fontId="25" fillId="6" borderId="0" xfId="14" quotePrefix="1" applyFont="1"/>
    <xf numFmtId="40" fontId="26" fillId="0" borderId="0" xfId="17" applyFont="1">
      <alignment horizontal="right"/>
    </xf>
    <xf numFmtId="0" fontId="26" fillId="0" borderId="0" xfId="10" quotePrefix="1" applyFont="1">
      <alignment horizontal="left"/>
    </xf>
    <xf numFmtId="40" fontId="25" fillId="0" borderId="5" xfId="16" applyFont="1">
      <alignment horizontal="right"/>
    </xf>
    <xf numFmtId="0" fontId="27" fillId="0" borderId="0" xfId="0" applyFont="1"/>
    <xf numFmtId="40" fontId="25" fillId="5" borderId="0" xfId="12" quotePrefix="1" applyFont="1">
      <alignment horizontal="left"/>
    </xf>
    <xf numFmtId="43" fontId="26" fillId="0" borderId="0" xfId="2" quotePrefix="1" applyFont="1" applyAlignment="1">
      <alignment horizontal="right"/>
    </xf>
    <xf numFmtId="43" fontId="25" fillId="0" borderId="5" xfId="2" applyFont="1" applyBorder="1" applyAlignment="1">
      <alignment horizontal="right"/>
    </xf>
    <xf numFmtId="43" fontId="27" fillId="0" borderId="0" xfId="2" applyFont="1" applyAlignment="1">
      <alignment horizontal="right"/>
    </xf>
    <xf numFmtId="43" fontId="25" fillId="5" borderId="0" xfId="2" quotePrefix="1" applyFont="1" applyFill="1" applyAlignment="1">
      <alignment horizontal="right"/>
    </xf>
    <xf numFmtId="43" fontId="26" fillId="0" borderId="0" xfId="2" applyFont="1" applyAlignment="1">
      <alignment horizontal="right"/>
    </xf>
    <xf numFmtId="43" fontId="25" fillId="0" borderId="4" xfId="2" applyFont="1" applyBorder="1" applyAlignment="1">
      <alignment horizontal="right"/>
    </xf>
    <xf numFmtId="43" fontId="25" fillId="6" borderId="0" xfId="2" quotePrefix="1" applyFont="1" applyFill="1" applyAlignment="1">
      <alignment horizontal="right"/>
    </xf>
    <xf numFmtId="43" fontId="25" fillId="0" borderId="6" xfId="2" applyFont="1" applyBorder="1" applyAlignment="1">
      <alignment horizontal="right"/>
    </xf>
    <xf numFmtId="43" fontId="25" fillId="0" borderId="0" xfId="2" quotePrefix="1" applyFont="1" applyAlignment="1">
      <alignment horizontal="right"/>
    </xf>
    <xf numFmtId="43" fontId="25" fillId="0" borderId="3" xfId="2" applyFont="1" applyBorder="1" applyAlignment="1">
      <alignment horizontal="right"/>
    </xf>
    <xf numFmtId="43" fontId="27" fillId="0" borderId="0" xfId="2" applyFont="1" applyAlignment="1" applyProtection="1">
      <alignment horizontal="right"/>
      <protection locked="0"/>
    </xf>
    <xf numFmtId="0" fontId="27" fillId="0" borderId="0" xfId="0" applyFont="1" applyProtection="1">
      <protection locked="0"/>
    </xf>
  </cellXfs>
  <cellStyles count="23">
    <cellStyle name="AccountDetailRowBalanceCol" xfId="17" xr:uid="{A32B3A77-9C2E-4818-AD3F-E7A8C7E54DF1}"/>
    <cellStyle name="AccountDetailRowDescCol" xfId="10" xr:uid="{0383548C-5D53-4FC2-A133-FAA5858A1874}"/>
    <cellStyle name="AccountDetailRowNameCol" xfId="11" xr:uid="{309DFCBA-1ECE-4F3C-92B6-7F85A9F1549E}"/>
    <cellStyle name="ColumnHeaderRowBalanceCol" xfId="20" xr:uid="{288EF455-D181-42AF-8A34-A50F82D8DC42}"/>
    <cellStyle name="ColumnHeaderRowDescCol" xfId="21" xr:uid="{3C4FD299-3E83-4CD2-9750-6626BDF5C340}"/>
    <cellStyle name="ColumnHeaderRowNameCol" xfId="22" xr:uid="{834F5086-86E2-4EDC-AE08-3D48F1DD5628}"/>
    <cellStyle name="Comma" xfId="2" builtinId="3"/>
    <cellStyle name="Comma 2" xfId="1" xr:uid="{CEDECA0B-424C-4FC4-930B-90FADE14AB72}"/>
    <cellStyle name="FundSectionHeaderRowDescCol" xfId="18" xr:uid="{3DE40CE1-22E9-4111-8046-BCC7C4E3F707}"/>
    <cellStyle name="FundSectionHeaderRowNameCol" xfId="19" xr:uid="{950C6EC5-61E1-446D-9B5D-4E96F350012E}"/>
    <cellStyle name="GroupSectionHeaderRowDescCol" xfId="14" xr:uid="{35E04B5A-D100-43C7-9EB4-886834FA5BE9}"/>
    <cellStyle name="GroupSectionHeaderRowNameCol" xfId="15" xr:uid="{EA13476C-C549-458D-94FF-E9ECAE91CBA9}"/>
    <cellStyle name="NetIncomeLossRowDescCol" xfId="4" xr:uid="{CC34EEA1-0D81-4026-94A4-353DE4052945}"/>
    <cellStyle name="NetIncomeLossRowNameCol" xfId="5" xr:uid="{675373C1-D7C0-480C-A7E4-1B04639120C9}"/>
    <cellStyle name="Normal" xfId="0" builtinId="0"/>
    <cellStyle name="Percent" xfId="3" builtinId="5"/>
    <cellStyle name="SubgroupSectionHeaderRowDescCol" xfId="12" xr:uid="{80788E8E-FCD3-4A1C-8882-92A6FFA80591}"/>
    <cellStyle name="SubgroupSectionHeaderRowNameCol" xfId="13" xr:uid="{B3F5C850-EAC1-40E4-9DEF-B1C7612DA1B2}"/>
    <cellStyle name="SubgroupSubtotalRowBalanceCol" xfId="16" xr:uid="{0A42C851-7317-4DA3-9B8E-C26D7C3A0824}"/>
    <cellStyle name="SubgroupSubtotalRowDescCol" xfId="8" xr:uid="{517D8CB5-AC95-4B25-A97B-E3E362B43579}"/>
    <cellStyle name="SubgroupSubtotalRowNameCol" xfId="9" xr:uid="{2D20C4ED-F4DA-437B-ADC4-8A294C9E2F9E}"/>
    <cellStyle name="UnclassifiedTotalRowDescCol" xfId="6" xr:uid="{CDED1E55-04C1-4DF3-8377-0C7384DC569E}"/>
    <cellStyle name="UnclassifiedTotalRowNameCol" xfId="7" xr:uid="{52EE3E81-4F1D-4F03-B93C-4018EA99E074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7DB4-A1F9-472E-9711-62DACA468DCB}">
  <sheetPr>
    <pageSetUpPr fitToPage="1"/>
  </sheetPr>
  <dimension ref="A1:R81"/>
  <sheetViews>
    <sheetView topLeftCell="A43" zoomScale="130" zoomScaleNormal="130" workbookViewId="0">
      <selection activeCell="I77" sqref="I77:J77"/>
    </sheetView>
  </sheetViews>
  <sheetFormatPr defaultColWidth="15.7109375" defaultRowHeight="12" x14ac:dyDescent="0.2"/>
  <cols>
    <col min="1" max="1" width="4.5703125" style="12" bestFit="1" customWidth="1"/>
    <col min="2" max="2" width="13" style="12" customWidth="1"/>
    <col min="3" max="3" width="11" style="12" bestFit="1" customWidth="1"/>
    <col min="4" max="4" width="12.85546875" style="13" bestFit="1" customWidth="1"/>
    <col min="5" max="5" width="8.42578125" style="12" bestFit="1" customWidth="1"/>
    <col min="6" max="6" width="4.42578125" style="12" customWidth="1"/>
    <col min="7" max="7" width="38" style="12" bestFit="1" customWidth="1"/>
    <col min="8" max="8" width="1.7109375" style="12" customWidth="1"/>
    <col min="9" max="9" width="14.140625" style="12" customWidth="1"/>
    <col min="10" max="10" width="14.7109375" style="12" bestFit="1" customWidth="1"/>
    <col min="11" max="11" width="14.28515625" style="13" bestFit="1" customWidth="1"/>
    <col min="12" max="12" width="10.7109375" style="12" bestFit="1" customWidth="1"/>
    <col min="13" max="13" width="2.7109375" style="12" customWidth="1"/>
    <col min="14" max="14" width="14.7109375" style="12" bestFit="1" customWidth="1"/>
    <col min="15" max="15" width="14.28515625" style="13" bestFit="1" customWidth="1"/>
    <col min="16" max="16" width="13.5703125" style="12" bestFit="1" customWidth="1"/>
    <col min="17" max="16384" width="15.7109375" style="12"/>
  </cols>
  <sheetData>
    <row r="1" spans="2:18" s="10" customFormat="1" x14ac:dyDescent="0.2">
      <c r="B1" s="7" t="s">
        <v>32</v>
      </c>
      <c r="C1" s="7"/>
      <c r="D1" s="7"/>
      <c r="E1" s="7"/>
      <c r="F1" s="7"/>
      <c r="G1" s="7"/>
      <c r="H1" s="8"/>
      <c r="I1" s="9" t="s">
        <v>33</v>
      </c>
      <c r="J1" s="9"/>
      <c r="K1" s="9"/>
      <c r="L1" s="9"/>
      <c r="M1" s="9"/>
      <c r="N1" s="9"/>
      <c r="O1" s="9"/>
      <c r="P1" s="9"/>
    </row>
    <row r="2" spans="2:18" x14ac:dyDescent="0.2">
      <c r="B2" s="11"/>
    </row>
    <row r="3" spans="2:18" x14ac:dyDescent="0.2">
      <c r="B3" s="7" t="s">
        <v>34</v>
      </c>
      <c r="C3" s="7"/>
      <c r="D3" s="7"/>
      <c r="E3" s="7"/>
      <c r="I3" s="7" t="s">
        <v>35</v>
      </c>
      <c r="J3" s="7"/>
      <c r="K3" s="7"/>
      <c r="L3" s="7"/>
      <c r="M3" s="7"/>
      <c r="N3" s="7"/>
      <c r="O3" s="7"/>
      <c r="P3" s="7"/>
    </row>
    <row r="4" spans="2:18" s="10" customFormat="1" ht="24" x14ac:dyDescent="0.2">
      <c r="B4" s="14">
        <v>45596</v>
      </c>
      <c r="C4" s="15" t="s">
        <v>36</v>
      </c>
      <c r="D4" s="16" t="s">
        <v>37</v>
      </c>
      <c r="E4" s="17" t="s">
        <v>38</v>
      </c>
      <c r="F4" s="18"/>
      <c r="G4" s="19" t="s">
        <v>39</v>
      </c>
      <c r="H4" s="18"/>
      <c r="I4" s="20" t="s">
        <v>40</v>
      </c>
      <c r="J4" s="17" t="s">
        <v>41</v>
      </c>
      <c r="K4" s="16" t="s">
        <v>37</v>
      </c>
      <c r="L4" s="17" t="s">
        <v>42</v>
      </c>
      <c r="M4" s="21"/>
      <c r="N4" s="17" t="s">
        <v>43</v>
      </c>
      <c r="O4" s="16" t="s">
        <v>37</v>
      </c>
      <c r="P4" s="17" t="s">
        <v>44</v>
      </c>
    </row>
    <row r="6" spans="2:18" x14ac:dyDescent="0.2">
      <c r="B6" s="22">
        <v>77646</v>
      </c>
      <c r="C6" s="22">
        <v>55000</v>
      </c>
      <c r="D6" s="22">
        <f>B6-C6</f>
        <v>22646</v>
      </c>
      <c r="E6" s="23">
        <f t="shared" ref="E6:E14" si="0">+B6/C6</f>
        <v>1.4117454545454546</v>
      </c>
      <c r="G6" s="12" t="s">
        <v>45</v>
      </c>
      <c r="H6" s="12" t="s">
        <v>46</v>
      </c>
      <c r="I6" s="22">
        <v>585861</v>
      </c>
      <c r="J6" s="22">
        <v>255000</v>
      </c>
      <c r="K6" s="22">
        <f t="shared" ref="K6:K13" si="1">I6-J6</f>
        <v>330861</v>
      </c>
      <c r="L6" s="23">
        <f t="shared" ref="L6:L14" si="2">+I6/J6</f>
        <v>2.2974941176470587</v>
      </c>
      <c r="M6" s="23"/>
      <c r="N6" s="22">
        <v>500000</v>
      </c>
      <c r="O6" s="22">
        <f>I6-N6</f>
        <v>85861</v>
      </c>
      <c r="P6" s="23">
        <f t="shared" ref="P6:P14" si="3">+I6/N6</f>
        <v>1.1717219999999999</v>
      </c>
    </row>
    <row r="7" spans="2:18" x14ac:dyDescent="0.2">
      <c r="B7" s="22">
        <v>663599.88</v>
      </c>
      <c r="C7" s="22">
        <v>532500</v>
      </c>
      <c r="D7" s="22">
        <f t="shared" ref="D7:D13" si="4">B7-C7</f>
        <v>131099.88</v>
      </c>
      <c r="E7" s="23">
        <f t="shared" si="0"/>
        <v>1.2461969577464789</v>
      </c>
      <c r="G7" s="12" t="s">
        <v>47</v>
      </c>
      <c r="I7" s="22">
        <v>761647.98</v>
      </c>
      <c r="J7" s="22">
        <v>615000</v>
      </c>
      <c r="K7" s="22">
        <f t="shared" si="1"/>
        <v>146647.97999999998</v>
      </c>
      <c r="L7" s="23">
        <f t="shared" si="2"/>
        <v>1.2384519999999999</v>
      </c>
      <c r="M7" s="23"/>
      <c r="N7" s="22">
        <v>750000</v>
      </c>
      <c r="O7" s="22">
        <f t="shared" ref="O7:O13" si="5">I7-N7</f>
        <v>11647.979999999981</v>
      </c>
      <c r="P7" s="23">
        <f t="shared" si="3"/>
        <v>1.0155306399999999</v>
      </c>
    </row>
    <row r="8" spans="2:18" x14ac:dyDescent="0.2">
      <c r="B8" s="22">
        <v>48728.67</v>
      </c>
      <c r="C8" s="22">
        <v>110000</v>
      </c>
      <c r="D8" s="22">
        <f>B8-C8</f>
        <v>-61271.33</v>
      </c>
      <c r="E8" s="23">
        <f t="shared" si="0"/>
        <v>0.44298790909090907</v>
      </c>
      <c r="G8" s="12" t="s">
        <v>48</v>
      </c>
      <c r="I8" s="22">
        <v>415293.07</v>
      </c>
      <c r="J8" s="22">
        <v>450000</v>
      </c>
      <c r="K8" s="22">
        <f t="shared" si="1"/>
        <v>-34706.929999999993</v>
      </c>
      <c r="L8" s="23">
        <f t="shared" si="2"/>
        <v>0.92287348888888887</v>
      </c>
      <c r="M8" s="23"/>
      <c r="N8" s="22">
        <v>500000</v>
      </c>
      <c r="O8" s="22">
        <f t="shared" si="5"/>
        <v>-84706.93</v>
      </c>
      <c r="P8" s="23">
        <f t="shared" si="3"/>
        <v>0.83058613999999997</v>
      </c>
    </row>
    <row r="9" spans="2:18" x14ac:dyDescent="0.2">
      <c r="B9" s="22">
        <f>1594+6318</f>
        <v>7912</v>
      </c>
      <c r="C9" s="22">
        <f>1261.77+7932.98</f>
        <v>9194.75</v>
      </c>
      <c r="D9" s="22">
        <f t="shared" si="4"/>
        <v>-1282.75</v>
      </c>
      <c r="E9" s="23">
        <f t="shared" si="0"/>
        <v>0.86049104108322683</v>
      </c>
      <c r="G9" s="12" t="s">
        <v>49</v>
      </c>
      <c r="I9" s="22">
        <f>129608+295984</f>
        <v>425592</v>
      </c>
      <c r="J9" s="22">
        <f>119868.15+309386.22</f>
        <v>429254.37</v>
      </c>
      <c r="K9" s="22">
        <f t="shared" si="1"/>
        <v>-3662.3699999999953</v>
      </c>
      <c r="L9" s="23">
        <f t="shared" si="2"/>
        <v>0.99146806589295755</v>
      </c>
      <c r="M9" s="23"/>
      <c r="N9" s="22">
        <v>522826</v>
      </c>
      <c r="O9" s="22">
        <f t="shared" si="5"/>
        <v>-97234</v>
      </c>
      <c r="P9" s="23">
        <f t="shared" si="3"/>
        <v>0.81402225597043754</v>
      </c>
    </row>
    <row r="10" spans="2:18" x14ac:dyDescent="0.2">
      <c r="B10" s="22">
        <f>12121+96764.5</f>
        <v>108885.5</v>
      </c>
      <c r="C10" s="22">
        <f>139619+24257</f>
        <v>163876</v>
      </c>
      <c r="D10" s="22">
        <f t="shared" si="4"/>
        <v>-54990.5</v>
      </c>
      <c r="E10" s="23">
        <f t="shared" si="0"/>
        <v>0.66443835583001787</v>
      </c>
      <c r="G10" s="12" t="s">
        <v>50</v>
      </c>
      <c r="I10" s="22">
        <f>477418+361053.5+1173685.88</f>
        <v>2012157.38</v>
      </c>
      <c r="J10" s="22">
        <v>1916679</v>
      </c>
      <c r="K10" s="22">
        <f t="shared" si="1"/>
        <v>95478.379999999888</v>
      </c>
      <c r="L10" s="23">
        <f t="shared" si="2"/>
        <v>1.049814486411131</v>
      </c>
      <c r="M10" s="23"/>
      <c r="N10" s="22">
        <v>1916679</v>
      </c>
      <c r="O10" s="22">
        <f t="shared" si="5"/>
        <v>95478.379999999888</v>
      </c>
      <c r="P10" s="23">
        <f t="shared" si="3"/>
        <v>1.049814486411131</v>
      </c>
    </row>
    <row r="11" spans="2:18" x14ac:dyDescent="0.2">
      <c r="B11" s="22">
        <v>107543.67</v>
      </c>
      <c r="C11" s="22">
        <v>65484.23</v>
      </c>
      <c r="D11" s="22">
        <f t="shared" si="4"/>
        <v>42059.439999999995</v>
      </c>
      <c r="E11" s="23">
        <f t="shared" si="0"/>
        <v>1.6422834932929653</v>
      </c>
      <c r="G11" s="12" t="s">
        <v>51</v>
      </c>
      <c r="I11" s="22">
        <v>357728.19</v>
      </c>
      <c r="J11" s="22">
        <v>295952.03999999998</v>
      </c>
      <c r="K11" s="22">
        <f t="shared" si="1"/>
        <v>61776.150000000023</v>
      </c>
      <c r="L11" s="23">
        <f t="shared" si="2"/>
        <v>1.2087370304999419</v>
      </c>
      <c r="M11" s="23"/>
      <c r="N11" s="22">
        <v>600000</v>
      </c>
      <c r="O11" s="22">
        <f t="shared" si="5"/>
        <v>-242271.81</v>
      </c>
      <c r="P11" s="23">
        <f t="shared" si="3"/>
        <v>0.59621365000000004</v>
      </c>
    </row>
    <row r="12" spans="2:18" x14ac:dyDescent="0.2">
      <c r="B12" s="22">
        <v>29256.38</v>
      </c>
      <c r="C12" s="22">
        <v>35890.39</v>
      </c>
      <c r="D12" s="22">
        <f t="shared" si="4"/>
        <v>-6634.0099999999984</v>
      </c>
      <c r="E12" s="23">
        <f t="shared" si="0"/>
        <v>0.81515915541736939</v>
      </c>
      <c r="G12" s="12" t="s">
        <v>52</v>
      </c>
      <c r="I12" s="22">
        <v>343619.49</v>
      </c>
      <c r="J12" s="22">
        <v>310617.33</v>
      </c>
      <c r="K12" s="22">
        <f t="shared" si="1"/>
        <v>33002.159999999974</v>
      </c>
      <c r="L12" s="23">
        <f t="shared" si="2"/>
        <v>1.1062470017368315</v>
      </c>
      <c r="M12" s="23"/>
      <c r="N12" s="22">
        <v>378500</v>
      </c>
      <c r="O12" s="22">
        <f t="shared" si="5"/>
        <v>-34880.510000000009</v>
      </c>
      <c r="P12" s="23">
        <f t="shared" si="3"/>
        <v>0.90784541611624836</v>
      </c>
    </row>
    <row r="13" spans="2:18" x14ac:dyDescent="0.2">
      <c r="B13" s="22">
        <f>1166026.41-1043572</f>
        <v>122454.40999999992</v>
      </c>
      <c r="C13" s="22">
        <f>1521687.2-971945</f>
        <v>549742.19999999995</v>
      </c>
      <c r="D13" s="22">
        <f t="shared" si="4"/>
        <v>-427287.79000000004</v>
      </c>
      <c r="E13" s="23">
        <f t="shared" si="0"/>
        <v>0.22274879025113939</v>
      </c>
      <c r="G13" s="12" t="s">
        <v>53</v>
      </c>
      <c r="I13" s="22">
        <f>+5673348.84-4901899</f>
        <v>771449.83999999985</v>
      </c>
      <c r="J13" s="22">
        <f>5344163.69-4272503</f>
        <v>1071660.6900000004</v>
      </c>
      <c r="K13" s="22">
        <f t="shared" si="1"/>
        <v>-300210.85000000056</v>
      </c>
      <c r="L13" s="23">
        <f t="shared" si="2"/>
        <v>0.71986389647267879</v>
      </c>
      <c r="M13" s="23"/>
      <c r="N13" s="22">
        <f>8092005-5168005</f>
        <v>2924000</v>
      </c>
      <c r="O13" s="22">
        <f t="shared" si="5"/>
        <v>-2152550.16</v>
      </c>
      <c r="P13" s="23">
        <f t="shared" si="3"/>
        <v>0.26383373461012305</v>
      </c>
    </row>
    <row r="14" spans="2:18" x14ac:dyDescent="0.2">
      <c r="B14" s="24">
        <f>SUM(B6:B13)</f>
        <v>1166026.51</v>
      </c>
      <c r="C14" s="24">
        <f>SUM(C6:C13)</f>
        <v>1521687.5699999998</v>
      </c>
      <c r="D14" s="24">
        <f>SUM(D6:D13)</f>
        <v>-355661.06000000006</v>
      </c>
      <c r="E14" s="23">
        <f t="shared" si="0"/>
        <v>0.76627195554998206</v>
      </c>
      <c r="F14" s="10"/>
      <c r="G14" s="25" t="s">
        <v>54</v>
      </c>
      <c r="H14" s="10"/>
      <c r="I14" s="24">
        <f>SUM(I6:I13)</f>
        <v>5673348.9500000002</v>
      </c>
      <c r="J14" s="24">
        <f>SUM(J6:J13)</f>
        <v>5344163.4300000006</v>
      </c>
      <c r="K14" s="24">
        <f>SUM(K6:K13)</f>
        <v>329185.51999999932</v>
      </c>
      <c r="L14" s="23">
        <f t="shared" si="2"/>
        <v>1.0615972030630807</v>
      </c>
      <c r="M14" s="23"/>
      <c r="N14" s="24">
        <f>SUM(N6:N13)</f>
        <v>8092005</v>
      </c>
      <c r="O14" s="24">
        <f>SUM(O6:O13)</f>
        <v>-2418656.0500000003</v>
      </c>
      <c r="P14" s="23">
        <f t="shared" si="3"/>
        <v>0.7011054676807541</v>
      </c>
      <c r="R14" s="26"/>
    </row>
    <row r="15" spans="2:18" x14ac:dyDescent="0.2">
      <c r="E15" s="23"/>
      <c r="L15" s="27"/>
      <c r="M15" s="27"/>
      <c r="P15" s="27"/>
      <c r="R15" s="26"/>
    </row>
    <row r="16" spans="2:18" s="10" customFormat="1" ht="24" x14ac:dyDescent="0.2">
      <c r="B16" s="28">
        <f>+B4</f>
        <v>45596</v>
      </c>
      <c r="C16" s="29" t="s">
        <v>36</v>
      </c>
      <c r="D16" s="30" t="s">
        <v>37</v>
      </c>
      <c r="E16" s="31"/>
      <c r="G16" s="19" t="s">
        <v>55</v>
      </c>
      <c r="I16" s="32" t="str">
        <f>I4</f>
        <v>Actual April - October 2024</v>
      </c>
      <c r="J16" s="17" t="str">
        <f>J4</f>
        <v>Budgeted April - October 2024</v>
      </c>
      <c r="K16" s="16" t="s">
        <v>37</v>
      </c>
      <c r="L16" s="17" t="s">
        <v>38</v>
      </c>
      <c r="M16" s="21"/>
      <c r="N16" s="17" t="s">
        <v>43</v>
      </c>
      <c r="O16" s="16" t="s">
        <v>37</v>
      </c>
      <c r="P16" s="17" t="s">
        <v>44</v>
      </c>
      <c r="R16" s="26"/>
    </row>
    <row r="17" spans="1:18" x14ac:dyDescent="0.2">
      <c r="E17" s="23"/>
      <c r="L17" s="27"/>
      <c r="M17" s="27"/>
      <c r="P17" s="27"/>
      <c r="R17" s="26"/>
    </row>
    <row r="18" spans="1:18" x14ac:dyDescent="0.2">
      <c r="B18" s="22">
        <f>38780.8-2.48</f>
        <v>38778.32</v>
      </c>
      <c r="C18" s="22">
        <v>32716.68</v>
      </c>
      <c r="D18" s="22">
        <f>B18-C18</f>
        <v>6061.6399999999994</v>
      </c>
      <c r="E18" s="23">
        <f>+B18/C18</f>
        <v>1.1852767456844644</v>
      </c>
      <c r="G18" s="12" t="s">
        <v>56</v>
      </c>
      <c r="I18" s="22">
        <v>483817.73</v>
      </c>
      <c r="J18" s="22">
        <v>291966.59999999998</v>
      </c>
      <c r="K18" s="22">
        <f>I18-J18</f>
        <v>191851.13</v>
      </c>
      <c r="L18" s="23">
        <f>+I18/J18</f>
        <v>1.6570995791984426</v>
      </c>
      <c r="M18" s="23"/>
      <c r="N18" s="22">
        <v>461000</v>
      </c>
      <c r="O18" s="22">
        <f>I18-N18</f>
        <v>22817.729999999981</v>
      </c>
      <c r="P18" s="23">
        <f>+I18/N18</f>
        <v>1.0494961605206072</v>
      </c>
      <c r="R18" s="26"/>
    </row>
    <row r="19" spans="1:18" x14ac:dyDescent="0.2">
      <c r="B19" s="22">
        <v>9132.4</v>
      </c>
      <c r="C19" s="22">
        <v>534000</v>
      </c>
      <c r="D19" s="22">
        <f>B19-C19</f>
        <v>-524867.6</v>
      </c>
      <c r="E19" s="23">
        <f>+B19/C19</f>
        <v>1.710187265917603E-2</v>
      </c>
      <c r="G19" s="12" t="s">
        <v>57</v>
      </c>
      <c r="I19" s="22">
        <v>194326.01</v>
      </c>
      <c r="J19" s="22">
        <v>738000.04</v>
      </c>
      <c r="K19" s="22">
        <f>I19-J19</f>
        <v>-543674.03</v>
      </c>
      <c r="L19" s="23">
        <f>+I19/J19</f>
        <v>0.2633143624219858</v>
      </c>
      <c r="M19" s="23"/>
      <c r="N19" s="22">
        <v>2408000</v>
      </c>
      <c r="O19" s="22">
        <f>I19-N19</f>
        <v>-2213673.9900000002</v>
      </c>
      <c r="P19" s="23">
        <f>+I19/N19</f>
        <v>8.0700170265780732E-2</v>
      </c>
      <c r="R19" s="26"/>
    </row>
    <row r="20" spans="1:18" s="10" customFormat="1" x14ac:dyDescent="0.2">
      <c r="B20" s="33">
        <f>SUM(B18:B19)</f>
        <v>47910.720000000001</v>
      </c>
      <c r="C20" s="33">
        <f>SUM(C18:C19)</f>
        <v>566716.68000000005</v>
      </c>
      <c r="D20" s="33">
        <f>+B20-C20</f>
        <v>-518805.96000000008</v>
      </c>
      <c r="E20" s="23">
        <f>+B20/C20</f>
        <v>8.4540867934220665E-2</v>
      </c>
      <c r="G20" s="10" t="s">
        <v>58</v>
      </c>
      <c r="I20" s="33">
        <f>SUM(I18:I19)</f>
        <v>678143.74</v>
      </c>
      <c r="J20" s="33">
        <f>SUM(J18:J19)</f>
        <v>1029966.64</v>
      </c>
      <c r="K20" s="33">
        <f>SUM(K18:K19)</f>
        <v>-351822.9</v>
      </c>
      <c r="L20" s="23">
        <f>+I20/J20</f>
        <v>0.65841330550278787</v>
      </c>
      <c r="M20" s="23"/>
      <c r="N20" s="33">
        <f>SUM(N18:N19)</f>
        <v>2869000</v>
      </c>
      <c r="O20" s="33">
        <f>SUM(O18:O19)</f>
        <v>-2190856.2600000002</v>
      </c>
      <c r="P20" s="23">
        <f>+I20/N20</f>
        <v>0.2363693760892297</v>
      </c>
      <c r="R20" s="26"/>
    </row>
    <row r="21" spans="1:18" x14ac:dyDescent="0.2">
      <c r="B21" s="13"/>
      <c r="C21" s="13"/>
      <c r="E21" s="23"/>
      <c r="I21" s="13"/>
      <c r="J21" s="13"/>
      <c r="L21" s="27"/>
      <c r="M21" s="27"/>
      <c r="N21" s="13"/>
      <c r="P21" s="27"/>
      <c r="R21" s="26"/>
    </row>
    <row r="22" spans="1:18" x14ac:dyDescent="0.2">
      <c r="B22" s="22">
        <v>38876.339999999997</v>
      </c>
      <c r="C22" s="22">
        <v>38124.1</v>
      </c>
      <c r="D22" s="22">
        <f>B22-C22</f>
        <v>752.23999999999796</v>
      </c>
      <c r="E22" s="23">
        <f>+B22/C22</f>
        <v>1.019731351035172</v>
      </c>
      <c r="G22" s="12" t="s">
        <v>59</v>
      </c>
      <c r="I22" s="22">
        <v>251222.73</v>
      </c>
      <c r="J22" s="22">
        <v>282890.12</v>
      </c>
      <c r="K22" s="22">
        <f>I22-J22</f>
        <v>-31667.389999999985</v>
      </c>
      <c r="L22" s="23">
        <f>+I22/J22</f>
        <v>0.88805763170520069</v>
      </c>
      <c r="M22" s="23"/>
      <c r="N22" s="22">
        <v>489536</v>
      </c>
      <c r="O22" s="22">
        <f>I22-N22</f>
        <v>-238313.27</v>
      </c>
      <c r="P22" s="23">
        <f>+I22/N22</f>
        <v>0.51318540413779579</v>
      </c>
      <c r="R22" s="26"/>
    </row>
    <row r="23" spans="1:18" x14ac:dyDescent="0.2">
      <c r="B23" s="22">
        <v>3.05</v>
      </c>
      <c r="C23" s="22">
        <v>1.25</v>
      </c>
      <c r="D23" s="22">
        <f>B23-C23</f>
        <v>1.7999999999999998</v>
      </c>
      <c r="E23" s="23">
        <f>+B23/C23</f>
        <v>2.44</v>
      </c>
      <c r="G23" s="12" t="s">
        <v>60</v>
      </c>
      <c r="I23" s="22">
        <v>3429.71</v>
      </c>
      <c r="J23" s="22">
        <v>5458.75</v>
      </c>
      <c r="K23" s="22">
        <f>I23-J23</f>
        <v>-2029.04</v>
      </c>
      <c r="L23" s="23">
        <f>+I23/J23</f>
        <v>0.62829585527822307</v>
      </c>
      <c r="M23" s="23"/>
      <c r="N23" s="22">
        <v>5465</v>
      </c>
      <c r="O23" s="22">
        <f>I23-N23</f>
        <v>-2035.29</v>
      </c>
      <c r="P23" s="23">
        <f>+I23/N23</f>
        <v>0.6275773101555352</v>
      </c>
      <c r="R23" s="26"/>
    </row>
    <row r="24" spans="1:18" x14ac:dyDescent="0.2">
      <c r="B24" s="22">
        <f>63745.74-38879</f>
        <v>24866.739999999998</v>
      </c>
      <c r="C24" s="22">
        <f>63242.35-38125</f>
        <v>25117.35</v>
      </c>
      <c r="D24" s="22">
        <f>B24-C24</f>
        <v>-250.61000000000058</v>
      </c>
      <c r="E24" s="23">
        <f>+B24/C24</f>
        <v>0.99002243469155782</v>
      </c>
      <c r="G24" s="12" t="s">
        <v>61</v>
      </c>
      <c r="I24" s="22">
        <f>561208.12-254652</f>
        <v>306556.12</v>
      </c>
      <c r="J24" s="22">
        <f>464389.87-288349</f>
        <v>176040.87</v>
      </c>
      <c r="K24" s="22">
        <f>I24-J24</f>
        <v>130515.25</v>
      </c>
      <c r="L24" s="23">
        <f>+I24/J24</f>
        <v>1.7413917574935867</v>
      </c>
      <c r="M24" s="23"/>
      <c r="N24" s="22">
        <f>796901-495001</f>
        <v>301900</v>
      </c>
      <c r="O24" s="22">
        <f>I24-N24</f>
        <v>4656.1199999999953</v>
      </c>
      <c r="P24" s="23">
        <f>+I24/N24</f>
        <v>1.0154227227558794</v>
      </c>
      <c r="R24" s="26"/>
    </row>
    <row r="25" spans="1:18" s="10" customFormat="1" x14ac:dyDescent="0.2">
      <c r="B25" s="33">
        <f>SUM(B22:B24)</f>
        <v>63746.13</v>
      </c>
      <c r="C25" s="33">
        <f>SUM(C22:C24)</f>
        <v>63242.7</v>
      </c>
      <c r="D25" s="33">
        <f>+B25-C25</f>
        <v>503.43000000000029</v>
      </c>
      <c r="E25" s="23">
        <f>+B25/C25</f>
        <v>1.0079602863255364</v>
      </c>
      <c r="G25" s="10" t="s">
        <v>62</v>
      </c>
      <c r="I25" s="33">
        <f>SUM(I22:I24)</f>
        <v>561208.56000000006</v>
      </c>
      <c r="J25" s="33">
        <f>SUM(J22:J24)</f>
        <v>464389.74</v>
      </c>
      <c r="K25" s="33">
        <f>SUM(K22:K24)</f>
        <v>96818.82</v>
      </c>
      <c r="L25" s="23">
        <f>+I25/J25</f>
        <v>1.2084861306367365</v>
      </c>
      <c r="M25" s="23"/>
      <c r="N25" s="33">
        <f>SUM(N22:N24)</f>
        <v>796901</v>
      </c>
      <c r="O25" s="33">
        <f>SUM(O22:O24)</f>
        <v>-235692.44</v>
      </c>
      <c r="P25" s="23">
        <f>+I25/N25</f>
        <v>0.70423874483781557</v>
      </c>
      <c r="R25" s="26"/>
    </row>
    <row r="26" spans="1:18" x14ac:dyDescent="0.2">
      <c r="B26" s="13"/>
      <c r="C26" s="13"/>
      <c r="E26" s="23"/>
      <c r="I26" s="13"/>
      <c r="J26" s="13"/>
      <c r="L26" s="27"/>
      <c r="M26" s="27"/>
      <c r="N26" s="13"/>
      <c r="P26" s="27"/>
      <c r="R26" s="26"/>
    </row>
    <row r="27" spans="1:18" x14ac:dyDescent="0.2">
      <c r="A27" s="12" t="s">
        <v>46</v>
      </c>
      <c r="B27" s="22">
        <v>143725.20000000001</v>
      </c>
      <c r="C27" s="22">
        <v>136715.92000000001</v>
      </c>
      <c r="D27" s="22">
        <f>B27-C27</f>
        <v>7009.2799999999988</v>
      </c>
      <c r="E27" s="23">
        <f>+B27/C27</f>
        <v>1.0512689378091447</v>
      </c>
      <c r="G27" s="12" t="s">
        <v>63</v>
      </c>
      <c r="I27" s="22">
        <v>1116982.72</v>
      </c>
      <c r="J27" s="22">
        <v>1054960.92</v>
      </c>
      <c r="K27" s="22">
        <f>I27-J27</f>
        <v>62021.800000000047</v>
      </c>
      <c r="L27" s="23">
        <f>+I27/J27</f>
        <v>1.0587906137793237</v>
      </c>
      <c r="M27" s="23"/>
      <c r="N27" s="22">
        <v>1803468</v>
      </c>
      <c r="O27" s="22">
        <f>I27-N27</f>
        <v>-686485.28</v>
      </c>
      <c r="P27" s="23">
        <f>+I27/N27</f>
        <v>0.61935266941248746</v>
      </c>
      <c r="R27" s="26"/>
    </row>
    <row r="28" spans="1:18" x14ac:dyDescent="0.2">
      <c r="B28" s="22">
        <v>36794.26</v>
      </c>
      <c r="C28" s="22">
        <v>38091.410000000003</v>
      </c>
      <c r="D28" s="22">
        <f>B28-C28</f>
        <v>-1297.1500000000015</v>
      </c>
      <c r="E28" s="23">
        <f>+B28/C28</f>
        <v>0.9659463905379192</v>
      </c>
      <c r="G28" s="12" t="s">
        <v>64</v>
      </c>
      <c r="I28" s="22">
        <v>278199.58</v>
      </c>
      <c r="J28" s="22">
        <v>280239.90999999997</v>
      </c>
      <c r="K28" s="22">
        <f>I28-J28</f>
        <v>-2040.3299999999581</v>
      </c>
      <c r="L28" s="23">
        <f>+I28/J28</f>
        <v>0.99271934536376361</v>
      </c>
      <c r="M28" s="23"/>
      <c r="N28" s="22">
        <v>484297</v>
      </c>
      <c r="O28" s="22">
        <f>I28-N28</f>
        <v>-206097.41999999998</v>
      </c>
      <c r="P28" s="23">
        <f>+I28/N28</f>
        <v>0.57444002337408662</v>
      </c>
      <c r="R28" s="26"/>
    </row>
    <row r="29" spans="1:18" x14ac:dyDescent="0.2">
      <c r="B29" s="22">
        <v>15382.11</v>
      </c>
      <c r="C29" s="22">
        <v>30050.83</v>
      </c>
      <c r="D29" s="22">
        <f>B29-C29</f>
        <v>-14668.720000000001</v>
      </c>
      <c r="E29" s="23">
        <f>+B29/C29</f>
        <v>0.51186972206757686</v>
      </c>
      <c r="G29" s="12" t="s">
        <v>65</v>
      </c>
      <c r="I29" s="22">
        <v>201770.23999999999</v>
      </c>
      <c r="J29" s="22">
        <v>218355.76</v>
      </c>
      <c r="K29" s="22">
        <f>I29-J29</f>
        <v>-16585.520000000019</v>
      </c>
      <c r="L29" s="23">
        <f>+I29/J29</f>
        <v>0.9240435883166076</v>
      </c>
      <c r="M29" s="23"/>
      <c r="N29" s="22">
        <v>221059.91</v>
      </c>
      <c r="O29" s="22">
        <f>I29-N29</f>
        <v>-19289.670000000013</v>
      </c>
      <c r="P29" s="23">
        <f>+I29/N29</f>
        <v>0.91274008027959475</v>
      </c>
      <c r="R29" s="26"/>
    </row>
    <row r="30" spans="1:18" x14ac:dyDescent="0.2">
      <c r="B30" s="22">
        <f>222960.57-195902</f>
        <v>27058.570000000007</v>
      </c>
      <c r="C30" s="22">
        <f>258733.16-204858</f>
        <v>53875.16</v>
      </c>
      <c r="D30" s="22">
        <f>B30-C30</f>
        <v>-26816.589999999997</v>
      </c>
      <c r="E30" s="23">
        <f>+B30/C30</f>
        <v>0.50224574739081995</v>
      </c>
      <c r="G30" s="12" t="s">
        <v>66</v>
      </c>
      <c r="I30" s="22">
        <f>2131407.79-1596953</f>
        <v>534454.79</v>
      </c>
      <c r="J30" s="22">
        <f>1930681.59-1553557</f>
        <v>377124.59000000008</v>
      </c>
      <c r="K30" s="22">
        <f>I30-J30</f>
        <v>157330.19999999995</v>
      </c>
      <c r="L30" s="23">
        <f>+I30/J30</f>
        <v>1.4171836156321707</v>
      </c>
      <c r="M30" s="23"/>
      <c r="N30" s="22">
        <f>3155324.91-2508825</f>
        <v>646499.91000000015</v>
      </c>
      <c r="O30" s="22">
        <f>I30-N30</f>
        <v>-112045.12000000011</v>
      </c>
      <c r="P30" s="23">
        <f>+I30/N30</f>
        <v>0.82668965878123624</v>
      </c>
      <c r="R30" s="26"/>
    </row>
    <row r="31" spans="1:18" s="10" customFormat="1" x14ac:dyDescent="0.2">
      <c r="B31" s="33">
        <f>SUM(B27:B30)</f>
        <v>222960.14</v>
      </c>
      <c r="C31" s="33">
        <f>SUM(C27:C30)</f>
        <v>258733.32000000004</v>
      </c>
      <c r="D31" s="33">
        <f>+B31-C31</f>
        <v>-35773.180000000022</v>
      </c>
      <c r="E31" s="23">
        <f>+B31/C31</f>
        <v>0.86173725131343726</v>
      </c>
      <c r="G31" s="10" t="s">
        <v>67</v>
      </c>
      <c r="I31" s="33">
        <f>SUM(I27:I30)</f>
        <v>2131407.33</v>
      </c>
      <c r="J31" s="33">
        <f>SUM(J27:J30)</f>
        <v>1930681.18</v>
      </c>
      <c r="K31" s="33">
        <f>SUM(K27:K30)</f>
        <v>200726.15000000002</v>
      </c>
      <c r="L31" s="23">
        <f>+I31/J31</f>
        <v>1.1039664922822732</v>
      </c>
      <c r="M31" s="23"/>
      <c r="N31" s="33">
        <f>SUM(N27:N30)</f>
        <v>3155324.8200000003</v>
      </c>
      <c r="O31" s="33">
        <f>SUM(O27:O30)</f>
        <v>-1023917.4900000001</v>
      </c>
      <c r="P31" s="23">
        <f>+I31/N31</f>
        <v>0.67549537736656851</v>
      </c>
      <c r="R31" s="26"/>
    </row>
    <row r="32" spans="1:18" x14ac:dyDescent="0.2">
      <c r="B32" s="13"/>
      <c r="C32" s="13"/>
      <c r="E32" s="23"/>
      <c r="I32" s="13"/>
      <c r="J32" s="13"/>
      <c r="L32" s="27"/>
      <c r="M32" s="27"/>
      <c r="N32" s="13"/>
      <c r="P32" s="27"/>
      <c r="R32" s="26"/>
    </row>
    <row r="33" spans="2:18" x14ac:dyDescent="0.2">
      <c r="B33" s="22">
        <v>15477.09</v>
      </c>
      <c r="C33" s="22">
        <v>13340.02</v>
      </c>
      <c r="D33" s="22">
        <f>B33-C33</f>
        <v>2137.0699999999997</v>
      </c>
      <c r="E33" s="23">
        <f>+B33/C33</f>
        <v>1.1601999097452627</v>
      </c>
      <c r="G33" s="12" t="s">
        <v>68</v>
      </c>
      <c r="I33" s="22">
        <v>105442.09</v>
      </c>
      <c r="J33" s="22">
        <v>98803.02</v>
      </c>
      <c r="K33" s="22">
        <f>I33-J33</f>
        <v>6639.0699999999924</v>
      </c>
      <c r="L33" s="23">
        <f>+I33/J33</f>
        <v>1.0671950108407617</v>
      </c>
      <c r="M33" s="23"/>
      <c r="N33" s="22">
        <v>169926</v>
      </c>
      <c r="O33" s="22">
        <f>I33-N33</f>
        <v>-64483.91</v>
      </c>
      <c r="P33" s="23">
        <f>+I33/N33</f>
        <v>0.62051769593823192</v>
      </c>
      <c r="R33" s="26"/>
    </row>
    <row r="34" spans="2:18" x14ac:dyDescent="0.2">
      <c r="B34" s="22">
        <v>1176.29</v>
      </c>
      <c r="C34" s="22">
        <v>0</v>
      </c>
      <c r="D34" s="22">
        <f>B34-C34</f>
        <v>1176.29</v>
      </c>
      <c r="E34" s="23"/>
      <c r="G34" s="12" t="s">
        <v>69</v>
      </c>
      <c r="I34" s="22">
        <v>12418.85</v>
      </c>
      <c r="J34" s="22">
        <v>10900</v>
      </c>
      <c r="K34" s="22">
        <f>I34-J34</f>
        <v>1518.8500000000004</v>
      </c>
      <c r="L34" s="23">
        <f>+I34/J34</f>
        <v>1.1393440366972478</v>
      </c>
      <c r="M34" s="23"/>
      <c r="N34" s="22">
        <v>10900</v>
      </c>
      <c r="O34" s="22">
        <f>I34-N34</f>
        <v>1518.8500000000004</v>
      </c>
      <c r="P34" s="23">
        <f>+I34/N34</f>
        <v>1.1393440366972478</v>
      </c>
      <c r="R34" s="26"/>
    </row>
    <row r="35" spans="2:18" x14ac:dyDescent="0.2">
      <c r="B35" s="22">
        <f>17428.5-15477</f>
        <v>1951.5</v>
      </c>
      <c r="C35" s="22">
        <f>15144.18-13340</f>
        <v>1804.1800000000003</v>
      </c>
      <c r="D35" s="22">
        <f>B35-C35</f>
        <v>147.31999999999971</v>
      </c>
      <c r="E35" s="23">
        <f>+B35/C35</f>
        <v>1.0816548237980688</v>
      </c>
      <c r="G35" s="12" t="s">
        <v>70</v>
      </c>
      <c r="I35" s="22">
        <f>136568.28-105442</f>
        <v>31126.28</v>
      </c>
      <c r="J35" s="22">
        <f>128332.22-98803</f>
        <v>29529.22</v>
      </c>
      <c r="K35" s="22">
        <f>I35-J35</f>
        <v>1597.0599999999977</v>
      </c>
      <c r="L35" s="23">
        <f>+I35/J35</f>
        <v>1.0540840564024379</v>
      </c>
      <c r="M35" s="23"/>
      <c r="N35" s="22">
        <f>208476-180826</f>
        <v>27650</v>
      </c>
      <c r="O35" s="22">
        <f>I35-N35</f>
        <v>3476.2799999999988</v>
      </c>
      <c r="P35" s="23">
        <f>+I35/N35</f>
        <v>1.1257244122965642</v>
      </c>
      <c r="R35" s="26"/>
    </row>
    <row r="36" spans="2:18" s="10" customFormat="1" x14ac:dyDescent="0.2">
      <c r="B36" s="33">
        <f>B35+B33</f>
        <v>17428.59</v>
      </c>
      <c r="C36" s="33">
        <f>C35+C33</f>
        <v>15144.2</v>
      </c>
      <c r="D36" s="33">
        <f>+B36-C36</f>
        <v>2284.3899999999994</v>
      </c>
      <c r="E36" s="23">
        <f>+B36/C36</f>
        <v>1.1508425667912467</v>
      </c>
      <c r="G36" s="10" t="s">
        <v>71</v>
      </c>
      <c r="I36" s="33">
        <f>I35+I33</f>
        <v>136568.37</v>
      </c>
      <c r="J36" s="33">
        <f>J35+J33</f>
        <v>128332.24</v>
      </c>
      <c r="K36" s="33">
        <f>K35+K33</f>
        <v>8236.1299999999901</v>
      </c>
      <c r="L36" s="23">
        <f>+I36/J36</f>
        <v>1.0641781831284172</v>
      </c>
      <c r="M36" s="23"/>
      <c r="N36" s="33">
        <f>SUM(N33:N35)</f>
        <v>208476</v>
      </c>
      <c r="O36" s="33">
        <f>O35+O33</f>
        <v>-61007.630000000005</v>
      </c>
      <c r="P36" s="23">
        <f>+I36/N36</f>
        <v>0.65507957750532431</v>
      </c>
      <c r="R36" s="26"/>
    </row>
    <row r="37" spans="2:18" x14ac:dyDescent="0.2">
      <c r="B37" s="13"/>
      <c r="C37" s="13"/>
      <c r="E37" s="23"/>
      <c r="I37" s="13"/>
      <c r="J37" s="13"/>
      <c r="L37" s="27"/>
      <c r="M37" s="27"/>
      <c r="N37" s="13"/>
      <c r="P37" s="27"/>
      <c r="R37" s="26"/>
    </row>
    <row r="38" spans="2:18" x14ac:dyDescent="0.2">
      <c r="B38" s="22">
        <v>10030.14</v>
      </c>
      <c r="C38" s="22">
        <v>9230.93</v>
      </c>
      <c r="D38" s="22">
        <f>B38-C38</f>
        <v>799.20999999999913</v>
      </c>
      <c r="E38" s="23">
        <f>+B38/C38</f>
        <v>1.0865795754057284</v>
      </c>
      <c r="G38" s="12" t="s">
        <v>72</v>
      </c>
      <c r="I38" s="22">
        <v>74679.94</v>
      </c>
      <c r="J38" s="22">
        <v>68186.990000000005</v>
      </c>
      <c r="K38" s="22">
        <f>I38-J38</f>
        <v>6492.9499999999971</v>
      </c>
      <c r="L38" s="23">
        <f>+I38/J38</f>
        <v>1.0952227103733425</v>
      </c>
      <c r="M38" s="23"/>
      <c r="N38" s="22">
        <v>117412</v>
      </c>
      <c r="O38" s="22">
        <f>I38-N38</f>
        <v>-42732.06</v>
      </c>
      <c r="P38" s="23">
        <f>+I38/N38</f>
        <v>0.63605031853643579</v>
      </c>
      <c r="R38" s="26"/>
    </row>
    <row r="39" spans="2:18" x14ac:dyDescent="0.2">
      <c r="B39" s="22">
        <v>155.36000000000001</v>
      </c>
      <c r="C39" s="22">
        <v>30.53</v>
      </c>
      <c r="D39" s="22">
        <f>B39-C39</f>
        <v>124.83000000000001</v>
      </c>
      <c r="E39" s="23">
        <f>+B39/C39</f>
        <v>5.0887651490337378</v>
      </c>
      <c r="G39" s="12" t="s">
        <v>73</v>
      </c>
      <c r="I39" s="22">
        <v>98462.33</v>
      </c>
      <c r="J39" s="22">
        <v>94788.65</v>
      </c>
      <c r="K39" s="22">
        <f>I39-J39</f>
        <v>3673.6800000000076</v>
      </c>
      <c r="L39" s="23">
        <f>+I39/J39</f>
        <v>1.0387565388894135</v>
      </c>
      <c r="M39" s="23"/>
      <c r="N39" s="22">
        <v>94941.3</v>
      </c>
      <c r="O39" s="22">
        <f>I39-N39</f>
        <v>3521.0299999999988</v>
      </c>
      <c r="P39" s="23">
        <f>+I39/N39</f>
        <v>1.0370863891688864</v>
      </c>
      <c r="R39" s="26"/>
    </row>
    <row r="40" spans="2:18" x14ac:dyDescent="0.2">
      <c r="B40" s="22">
        <f>10623.05-10186</f>
        <v>437.04999999999927</v>
      </c>
      <c r="C40" s="22">
        <f>11612.3-9261</f>
        <v>2351.2999999999993</v>
      </c>
      <c r="D40" s="22">
        <f>B40-C40</f>
        <v>-1914.25</v>
      </c>
      <c r="E40" s="23">
        <f>+B40/C40</f>
        <v>0.18587589843916105</v>
      </c>
      <c r="G40" s="12" t="s">
        <v>74</v>
      </c>
      <c r="I40" s="22">
        <f>185292.82-173142</f>
        <v>12150.820000000007</v>
      </c>
      <c r="J40" s="22">
        <f>179431.52-162976</f>
        <v>16455.51999999999</v>
      </c>
      <c r="K40" s="22">
        <f>I40-J40</f>
        <v>-4304.6999999999825</v>
      </c>
      <c r="L40" s="23">
        <f>+I40/J40</f>
        <v>0.73840389121705141</v>
      </c>
      <c r="M40" s="23"/>
      <c r="N40" s="22">
        <f>240563.3-212353</f>
        <v>28210.299999999988</v>
      </c>
      <c r="O40" s="22">
        <f>I40-N40</f>
        <v>-16059.479999999981</v>
      </c>
      <c r="P40" s="23">
        <f>+I40/N40</f>
        <v>0.43072282109725923</v>
      </c>
      <c r="R40" s="26"/>
    </row>
    <row r="41" spans="2:18" s="10" customFormat="1" x14ac:dyDescent="0.2">
      <c r="B41" s="33">
        <f>SUM(B38:B40)</f>
        <v>10622.55</v>
      </c>
      <c r="C41" s="33">
        <f>SUM(C38:C40)</f>
        <v>11612.76</v>
      </c>
      <c r="D41" s="33">
        <f>+B41-C41</f>
        <v>-990.21000000000095</v>
      </c>
      <c r="E41" s="23">
        <f>+B41/C41</f>
        <v>0.9147308650140018</v>
      </c>
      <c r="G41" s="10" t="s">
        <v>75</v>
      </c>
      <c r="I41" s="33">
        <f>SUM(I38:I40)</f>
        <v>185293.09000000003</v>
      </c>
      <c r="J41" s="33">
        <f>SUM(J38:J40)</f>
        <v>179431.16</v>
      </c>
      <c r="K41" s="33">
        <f>SUM(K38:K40)</f>
        <v>5861.9300000000221</v>
      </c>
      <c r="L41" s="23">
        <f>+I41/J41</f>
        <v>1.0326695207231567</v>
      </c>
      <c r="M41" s="23"/>
      <c r="N41" s="33">
        <f>SUM(N38:N40)</f>
        <v>240563.59999999998</v>
      </c>
      <c r="O41" s="33">
        <f>SUM(O38:O40)</f>
        <v>-55270.50999999998</v>
      </c>
      <c r="P41" s="23">
        <f>+I41/N41</f>
        <v>0.77024574790201028</v>
      </c>
      <c r="R41" s="26"/>
    </row>
    <row r="42" spans="2:18" x14ac:dyDescent="0.2">
      <c r="B42" s="13"/>
      <c r="C42" s="13"/>
      <c r="E42" s="23"/>
      <c r="I42" s="13"/>
      <c r="J42" s="13"/>
      <c r="L42" s="27"/>
      <c r="M42" s="27"/>
      <c r="N42" s="13"/>
      <c r="P42" s="27"/>
      <c r="R42" s="26"/>
    </row>
    <row r="43" spans="2:18" s="10" customFormat="1" x14ac:dyDescent="0.2">
      <c r="B43" s="33">
        <v>9467.44</v>
      </c>
      <c r="C43" s="33">
        <v>11364.72</v>
      </c>
      <c r="D43" s="33">
        <f>+B43-C43</f>
        <v>-1897.2799999999988</v>
      </c>
      <c r="E43" s="23">
        <f>+B43/C43</f>
        <v>0.83305527984851369</v>
      </c>
      <c r="G43" s="10" t="s">
        <v>76</v>
      </c>
      <c r="I43" s="33">
        <v>81214.55</v>
      </c>
      <c r="J43" s="33">
        <v>84221.8</v>
      </c>
      <c r="K43" s="33">
        <f>I43-J43</f>
        <v>-3007.25</v>
      </c>
      <c r="L43" s="23">
        <f>+I43/J43</f>
        <v>0.96429368643272884</v>
      </c>
      <c r="M43" s="23"/>
      <c r="N43" s="33">
        <v>145714</v>
      </c>
      <c r="O43" s="33">
        <f>I43-N43</f>
        <v>-64499.45</v>
      </c>
      <c r="P43" s="23">
        <f>+I43/N43</f>
        <v>0.55735584775656422</v>
      </c>
      <c r="R43" s="26"/>
    </row>
    <row r="44" spans="2:18" x14ac:dyDescent="0.2">
      <c r="B44" s="13"/>
      <c r="C44" s="13"/>
      <c r="E44" s="23"/>
      <c r="I44" s="13"/>
      <c r="J44" s="13"/>
      <c r="L44" s="27"/>
      <c r="M44" s="27"/>
      <c r="N44" s="13"/>
      <c r="P44" s="27"/>
      <c r="R44" s="26"/>
    </row>
    <row r="45" spans="2:18" s="10" customFormat="1" x14ac:dyDescent="0.2">
      <c r="B45" s="33">
        <v>3663.24</v>
      </c>
      <c r="C45" s="33">
        <v>5391.49</v>
      </c>
      <c r="D45" s="33">
        <f>+B45-C45</f>
        <v>-1728.25</v>
      </c>
      <c r="E45" s="23">
        <f>+B45/C45</f>
        <v>0.67944853834468766</v>
      </c>
      <c r="G45" s="10" t="s">
        <v>77</v>
      </c>
      <c r="I45" s="33">
        <v>26210.54</v>
      </c>
      <c r="J45" s="33">
        <v>40351.51</v>
      </c>
      <c r="K45" s="33">
        <f>I45-J45</f>
        <v>-14140.970000000001</v>
      </c>
      <c r="L45" s="23">
        <f>+I45/J45</f>
        <v>0.64955536979904838</v>
      </c>
      <c r="M45" s="23"/>
      <c r="N45" s="33">
        <v>69920</v>
      </c>
      <c r="O45" s="33">
        <f>I45-N45</f>
        <v>-43709.46</v>
      </c>
      <c r="P45" s="23">
        <f>+I45/N45</f>
        <v>0.37486470251716247</v>
      </c>
      <c r="R45" s="26"/>
    </row>
    <row r="46" spans="2:18" x14ac:dyDescent="0.2">
      <c r="B46" s="13"/>
      <c r="C46" s="13"/>
      <c r="E46" s="23"/>
      <c r="I46" s="13"/>
      <c r="J46" s="13"/>
      <c r="L46" s="27"/>
      <c r="M46" s="27"/>
      <c r="N46" s="13"/>
      <c r="P46" s="27"/>
      <c r="R46" s="26"/>
    </row>
    <row r="47" spans="2:18" x14ac:dyDescent="0.2">
      <c r="B47" s="22">
        <v>2285.5700000000002</v>
      </c>
      <c r="C47" s="22">
        <v>2199.77</v>
      </c>
      <c r="D47" s="22">
        <f>B47-C47</f>
        <v>85.800000000000182</v>
      </c>
      <c r="E47" s="23">
        <f>+B47/C47</f>
        <v>1.0390040776990324</v>
      </c>
      <c r="G47" s="12" t="s">
        <v>78</v>
      </c>
      <c r="I47" s="22">
        <v>16342.21</v>
      </c>
      <c r="J47" s="22">
        <v>16436.73</v>
      </c>
      <c r="K47" s="22">
        <f>I47-J47</f>
        <v>-94.520000000000437</v>
      </c>
      <c r="L47" s="23">
        <f>+I47/J47</f>
        <v>0.99424946446160523</v>
      </c>
      <c r="M47" s="23"/>
      <c r="N47" s="22">
        <v>28474</v>
      </c>
      <c r="O47" s="22">
        <f>I47-N47</f>
        <v>-12131.79</v>
      </c>
      <c r="P47" s="23">
        <f>+I47/N47</f>
        <v>0.57393446653087021</v>
      </c>
      <c r="R47" s="26"/>
    </row>
    <row r="48" spans="2:18" x14ac:dyDescent="0.2">
      <c r="B48" s="22">
        <v>2662.99</v>
      </c>
      <c r="C48" s="22">
        <v>1031.78</v>
      </c>
      <c r="D48" s="22">
        <f>B48-C48</f>
        <v>1631.2099999999998</v>
      </c>
      <c r="E48" s="23">
        <f>+B48/C48</f>
        <v>2.5809668727829576</v>
      </c>
      <c r="G48" s="12" t="s">
        <v>79</v>
      </c>
      <c r="I48" s="22">
        <v>436182.21</v>
      </c>
      <c r="J48" s="22">
        <v>455414.22</v>
      </c>
      <c r="K48" s="22">
        <f>I48-J48</f>
        <v>-19232.009999999951</v>
      </c>
      <c r="L48" s="23">
        <f>+I48/J48</f>
        <v>0.95777029096719912</v>
      </c>
      <c r="M48" s="23"/>
      <c r="N48" s="22">
        <v>465573.12</v>
      </c>
      <c r="O48" s="22">
        <f>I48-N48</f>
        <v>-29390.909999999974</v>
      </c>
      <c r="P48" s="23">
        <f>+I48/N48</f>
        <v>0.93687154876982592</v>
      </c>
      <c r="R48" s="26"/>
    </row>
    <row r="49" spans="1:18" x14ac:dyDescent="0.2">
      <c r="B49" s="22">
        <f>5993.65-4949</f>
        <v>1044.6499999999996</v>
      </c>
      <c r="C49" s="22">
        <f>4989.06-3232</f>
        <v>1757.0600000000004</v>
      </c>
      <c r="D49" s="22">
        <f>B49-C49</f>
        <v>-712.41000000000076</v>
      </c>
      <c r="E49" s="23">
        <f>+B49/C49</f>
        <v>0.59454429558466948</v>
      </c>
      <c r="G49" s="12" t="s">
        <v>80</v>
      </c>
      <c r="I49" s="22">
        <f>487948.89-452524</f>
        <v>35424.890000000014</v>
      </c>
      <c r="J49" s="22">
        <f>503153.4-471851</f>
        <v>31302.400000000023</v>
      </c>
      <c r="K49" s="22">
        <f>I49-J49</f>
        <v>4122.4899999999907</v>
      </c>
      <c r="L49" s="23">
        <f>+I49/J49</f>
        <v>1.131698847372725</v>
      </c>
      <c r="M49" s="23"/>
      <c r="N49" s="22">
        <f>536137.12-494047</f>
        <v>42090.119999999995</v>
      </c>
      <c r="O49" s="22">
        <f>I49-N49</f>
        <v>-6665.2299999999814</v>
      </c>
      <c r="P49" s="23">
        <f>+I49/N49</f>
        <v>0.84164383470515214</v>
      </c>
      <c r="R49" s="26"/>
    </row>
    <row r="50" spans="1:18" s="10" customFormat="1" x14ac:dyDescent="0.2">
      <c r="B50" s="33">
        <f>B49+B48+B47</f>
        <v>5993.2099999999991</v>
      </c>
      <c r="C50" s="33">
        <f>C49+C48+C47</f>
        <v>4988.6100000000006</v>
      </c>
      <c r="D50" s="33">
        <f>+B50-C50</f>
        <v>1004.5999999999985</v>
      </c>
      <c r="E50" s="23">
        <f>+B50/C50</f>
        <v>1.2013787407714771</v>
      </c>
      <c r="G50" s="10" t="s">
        <v>81</v>
      </c>
      <c r="I50" s="33">
        <f>I49+I48+I47</f>
        <v>487949.31000000006</v>
      </c>
      <c r="J50" s="33">
        <f>J49+J48+J47</f>
        <v>503153.35</v>
      </c>
      <c r="K50" s="33">
        <f>K49+K48+K47</f>
        <v>-15204.039999999961</v>
      </c>
      <c r="L50" s="23">
        <f>+I50/J50</f>
        <v>0.96978249275295514</v>
      </c>
      <c r="M50" s="23"/>
      <c r="N50" s="33">
        <f>N49+N48+N47</f>
        <v>536137.24</v>
      </c>
      <c r="O50" s="33">
        <f>O49+O48+O47</f>
        <v>-48187.929999999957</v>
      </c>
      <c r="P50" s="23">
        <f>+I50/N50</f>
        <v>0.91012015878620944</v>
      </c>
      <c r="R50" s="26"/>
    </row>
    <row r="51" spans="1:18" s="34" customFormat="1" ht="14.25" x14ac:dyDescent="0.2">
      <c r="A51" s="12"/>
      <c r="B51" s="13"/>
      <c r="C51" s="13"/>
      <c r="D51" s="13"/>
      <c r="E51" s="23"/>
      <c r="F51" s="12"/>
      <c r="G51" s="12"/>
      <c r="H51" s="12"/>
      <c r="I51" s="13"/>
      <c r="J51" s="13"/>
      <c r="K51" s="13"/>
      <c r="L51" s="27"/>
      <c r="R51" s="26"/>
    </row>
    <row r="52" spans="1:18" x14ac:dyDescent="0.2">
      <c r="B52" s="24">
        <f>+B50+B45+B43+B41+B36+B31+B25+B20</f>
        <v>381792.02</v>
      </c>
      <c r="C52" s="24">
        <f>+C50+C45+C43+C41+C36+C31+C25+C20</f>
        <v>937194.4800000001</v>
      </c>
      <c r="D52" s="24">
        <f>B52-C52</f>
        <v>-555402.46000000008</v>
      </c>
      <c r="E52" s="23">
        <f>+B52/C52</f>
        <v>0.40737758079838454</v>
      </c>
      <c r="F52" s="10"/>
      <c r="G52" s="25" t="s">
        <v>82</v>
      </c>
      <c r="H52" s="10"/>
      <c r="I52" s="24">
        <f>+I50+I45+I43+I41+I36+I31+I25+I20</f>
        <v>4287995.49</v>
      </c>
      <c r="J52" s="24">
        <f>+J50+J45+J43+J41+J36+J31+J25+J20</f>
        <v>4360527.62</v>
      </c>
      <c r="K52" s="24">
        <f>I52-J52</f>
        <v>-72532.129999999888</v>
      </c>
      <c r="L52" s="23">
        <f>+I52/J52</f>
        <v>0.98336620328528046</v>
      </c>
      <c r="M52" s="35"/>
      <c r="N52" s="24">
        <f>+N50+N45+N43+N41+N36+N31+N25+N20</f>
        <v>8022036.6600000001</v>
      </c>
      <c r="O52" s="24">
        <f>I52-N52</f>
        <v>-3734041.17</v>
      </c>
      <c r="P52" s="23">
        <f>+I52/N52</f>
        <v>0.53452703742692698</v>
      </c>
      <c r="R52" s="26"/>
    </row>
    <row r="53" spans="1:18" s="34" customFormat="1" ht="14.25" x14ac:dyDescent="0.2">
      <c r="A53" s="12"/>
      <c r="B53" s="13"/>
      <c r="C53" s="13"/>
      <c r="D53" s="13"/>
      <c r="E53" s="23"/>
      <c r="F53" s="12"/>
      <c r="G53" s="12"/>
      <c r="H53" s="12"/>
      <c r="I53" s="13"/>
      <c r="J53" s="13"/>
      <c r="K53" s="13"/>
      <c r="L53" s="27"/>
      <c r="R53" s="26"/>
    </row>
    <row r="54" spans="1:18" x14ac:dyDescent="0.2">
      <c r="B54" s="24">
        <f>+B14-B52</f>
        <v>784234.49</v>
      </c>
      <c r="C54" s="24">
        <f>+C14-C52</f>
        <v>584493.08999999973</v>
      </c>
      <c r="D54" s="24">
        <f>B54-C54</f>
        <v>199741.40000000026</v>
      </c>
      <c r="E54" s="23">
        <f>+B54/C54</f>
        <v>1.3417344078438982</v>
      </c>
      <c r="F54" s="10"/>
      <c r="G54" s="36" t="s">
        <v>83</v>
      </c>
      <c r="H54" s="10"/>
      <c r="I54" s="24">
        <f>+I14-I52</f>
        <v>1385353.46</v>
      </c>
      <c r="J54" s="24">
        <f>+J14-J52</f>
        <v>983635.81000000052</v>
      </c>
      <c r="K54" s="24">
        <f>I54-J54</f>
        <v>401717.64999999944</v>
      </c>
      <c r="L54" s="23">
        <f>+I54/J54</f>
        <v>1.4084007982588589</v>
      </c>
      <c r="M54" s="35"/>
      <c r="N54" s="24">
        <f>+N14-N52</f>
        <v>69968.339999999851</v>
      </c>
      <c r="O54" s="24">
        <f>I54-N54</f>
        <v>1315385.1200000001</v>
      </c>
      <c r="P54" s="23">
        <f>+I54/N54</f>
        <v>19.79971884426589</v>
      </c>
      <c r="R54" s="26"/>
    </row>
    <row r="55" spans="1:18" s="34" customFormat="1" ht="14.25" x14ac:dyDescent="0.2">
      <c r="A55" s="12"/>
      <c r="B55" s="13"/>
      <c r="C55" s="13"/>
      <c r="D55" s="13"/>
      <c r="E55" s="23"/>
      <c r="F55" s="12"/>
      <c r="G55" s="12"/>
      <c r="H55" s="12"/>
      <c r="I55" s="13"/>
      <c r="J55" s="13"/>
      <c r="K55" s="13"/>
      <c r="L55" s="27"/>
    </row>
    <row r="56" spans="1:18" s="34" customFormat="1" ht="14.25" x14ac:dyDescent="0.2">
      <c r="A56" s="12"/>
      <c r="B56" s="13">
        <f>+B81</f>
        <v>52690.798999999999</v>
      </c>
      <c r="C56" s="13">
        <f>+C81</f>
        <v>79477.796000000002</v>
      </c>
      <c r="D56" s="13">
        <f>-C56+B56</f>
        <v>-26786.997000000003</v>
      </c>
      <c r="E56" s="23"/>
      <c r="F56" s="12"/>
      <c r="G56" s="25" t="s">
        <v>84</v>
      </c>
      <c r="H56" s="12"/>
      <c r="I56" s="13">
        <f>+I81</f>
        <v>367984.62800000003</v>
      </c>
      <c r="J56" s="13">
        <f>+J81</f>
        <v>373461.50800000003</v>
      </c>
      <c r="K56" s="13">
        <f>+I56-J56</f>
        <v>-5476.8800000000047</v>
      </c>
      <c r="L56" s="27"/>
      <c r="N56" s="13">
        <f>+N81</f>
        <v>478871.1</v>
      </c>
    </row>
    <row r="57" spans="1:18" s="34" customFormat="1" ht="14.25" x14ac:dyDescent="0.2">
      <c r="A57" s="12"/>
      <c r="B57" s="13"/>
      <c r="C57" s="13"/>
      <c r="D57" s="13"/>
      <c r="E57" s="23"/>
      <c r="F57" s="12"/>
      <c r="G57" s="12"/>
      <c r="H57" s="12"/>
      <c r="I57" s="13"/>
      <c r="J57" s="13"/>
      <c r="K57" s="13"/>
      <c r="L57" s="27"/>
    </row>
    <row r="58" spans="1:18" x14ac:dyDescent="0.2">
      <c r="B58" s="24">
        <f>+B54-B56</f>
        <v>731543.69099999999</v>
      </c>
      <c r="C58" s="24">
        <f>+C54-C56</f>
        <v>505015.29399999976</v>
      </c>
      <c r="D58" s="37"/>
      <c r="E58" s="38"/>
      <c r="F58" s="10"/>
      <c r="G58" s="25" t="s">
        <v>85</v>
      </c>
      <c r="H58" s="10"/>
      <c r="I58" s="24">
        <f>+I54-I56</f>
        <v>1017368.8319999999</v>
      </c>
      <c r="J58" s="24">
        <f>+J54-J56</f>
        <v>610174.30200000049</v>
      </c>
      <c r="K58" s="24">
        <f>+K54-K56</f>
        <v>407194.52999999945</v>
      </c>
      <c r="L58" s="39"/>
      <c r="M58" s="39"/>
      <c r="N58" s="24">
        <f>+N54-N56</f>
        <v>-408902.76000000013</v>
      </c>
      <c r="O58" s="40"/>
      <c r="P58" s="39"/>
    </row>
    <row r="60" spans="1:18" s="41" customFormat="1" ht="14.25" hidden="1" x14ac:dyDescent="0.2">
      <c r="A60" s="34"/>
      <c r="D60" s="42" t="s">
        <v>86</v>
      </c>
      <c r="F60" s="43" t="s">
        <v>87</v>
      </c>
      <c r="G60" s="43"/>
      <c r="H60" s="43"/>
      <c r="I60" s="43"/>
      <c r="J60" s="43"/>
      <c r="K60" s="43"/>
      <c r="L60" s="43"/>
      <c r="M60" s="43"/>
      <c r="N60" s="43"/>
    </row>
    <row r="61" spans="1:18" s="41" customFormat="1" ht="11.25" hidden="1" x14ac:dyDescent="0.2">
      <c r="C61" s="42"/>
      <c r="G61" s="44" t="s">
        <v>88</v>
      </c>
      <c r="I61" s="45">
        <f>-I6*0.03</f>
        <v>-17575.829999999998</v>
      </c>
      <c r="J61" s="45">
        <f>-J6*0.03</f>
        <v>-7650</v>
      </c>
      <c r="L61" s="41" t="s">
        <v>88</v>
      </c>
      <c r="N61" s="45">
        <v>-23100</v>
      </c>
    </row>
    <row r="62" spans="1:18" s="41" customFormat="1" ht="11.25" hidden="1" x14ac:dyDescent="0.2">
      <c r="B62" s="42"/>
      <c r="C62" s="42"/>
      <c r="D62" s="42"/>
      <c r="G62" s="44" t="s">
        <v>89</v>
      </c>
      <c r="I62" s="45">
        <f>-0.2*I11</f>
        <v>-71545.638000000006</v>
      </c>
      <c r="J62" s="45">
        <f>-0.2*J11</f>
        <v>-59190.407999999996</v>
      </c>
      <c r="L62" s="41" t="s">
        <v>89</v>
      </c>
      <c r="N62" s="45">
        <v>-38500</v>
      </c>
    </row>
    <row r="63" spans="1:18" s="41" customFormat="1" ht="11.25" hidden="1" x14ac:dyDescent="0.2">
      <c r="B63" s="42"/>
      <c r="C63" s="42"/>
      <c r="D63" s="42"/>
      <c r="G63" s="44" t="s">
        <v>90</v>
      </c>
      <c r="I63" s="45">
        <f>995729*-0.05</f>
        <v>-49786.450000000004</v>
      </c>
      <c r="J63" s="45">
        <f>-0.05*(755000)</f>
        <v>-37750</v>
      </c>
      <c r="L63" s="41" t="s">
        <v>90</v>
      </c>
      <c r="N63" s="45">
        <v>-37750</v>
      </c>
    </row>
    <row r="64" spans="1:18" s="41" customFormat="1" ht="11.25" hidden="1" x14ac:dyDescent="0.2">
      <c r="B64" s="42"/>
      <c r="C64" s="42"/>
      <c r="D64" s="42"/>
      <c r="F64" s="46" t="s">
        <v>91</v>
      </c>
      <c r="G64" s="47"/>
      <c r="H64" s="46"/>
      <c r="I64" s="48">
        <f>-SUM(I61:I63)</f>
        <v>138907.91800000001</v>
      </c>
      <c r="J64" s="48">
        <f>-SUM(J61:J63)</f>
        <v>104590.408</v>
      </c>
      <c r="K64" s="46"/>
      <c r="L64" s="46"/>
      <c r="M64" s="46"/>
      <c r="N64" s="48">
        <v>99350</v>
      </c>
    </row>
    <row r="65" spans="1:15" s="41" customFormat="1" ht="11.25" hidden="1" x14ac:dyDescent="0.2">
      <c r="B65" s="42"/>
      <c r="C65" s="42"/>
      <c r="D65" s="42"/>
      <c r="G65" s="44"/>
      <c r="I65" s="45"/>
      <c r="J65" s="45"/>
    </row>
    <row r="66" spans="1:15" s="34" customFormat="1" ht="14.25" hidden="1" x14ac:dyDescent="0.2">
      <c r="A66" s="41"/>
      <c r="B66" s="41"/>
      <c r="C66" s="41"/>
      <c r="D66" s="42"/>
      <c r="E66" s="41"/>
      <c r="F66" s="43" t="s">
        <v>9</v>
      </c>
      <c r="G66" s="43"/>
      <c r="H66" s="43"/>
      <c r="I66" s="43"/>
      <c r="J66" s="43"/>
      <c r="K66" s="43"/>
      <c r="L66" s="43"/>
      <c r="M66" s="43"/>
      <c r="N66" s="43"/>
    </row>
    <row r="67" spans="1:15" s="34" customFormat="1" ht="14.25" hidden="1" x14ac:dyDescent="0.2">
      <c r="A67" s="41"/>
      <c r="B67" s="41"/>
      <c r="C67" s="41"/>
      <c r="D67" s="49"/>
      <c r="E67" s="41"/>
      <c r="F67" s="41"/>
      <c r="G67" s="50" t="s">
        <v>92</v>
      </c>
      <c r="H67" s="41"/>
      <c r="I67" s="45">
        <f>-I8*0.5</f>
        <v>-207646.535</v>
      </c>
      <c r="J67" s="45">
        <f>-J8*0.5</f>
        <v>-225000</v>
      </c>
      <c r="K67" s="41"/>
      <c r="L67" s="51" t="s">
        <v>92</v>
      </c>
      <c r="N67" s="45">
        <v>-50000</v>
      </c>
    </row>
    <row r="68" spans="1:15" s="41" customFormat="1" ht="11.25" hidden="1" x14ac:dyDescent="0.2">
      <c r="F68" s="46" t="s">
        <v>93</v>
      </c>
      <c r="G68" s="46"/>
      <c r="H68" s="46"/>
      <c r="I68" s="52">
        <f>-I67</f>
        <v>207646.535</v>
      </c>
      <c r="J68" s="52">
        <f>-J67</f>
        <v>225000</v>
      </c>
      <c r="K68" s="46"/>
      <c r="L68" s="46"/>
      <c r="M68" s="46"/>
      <c r="N68" s="52">
        <v>50000</v>
      </c>
    </row>
    <row r="69" spans="1:15" s="41" customFormat="1" ht="11.25" hidden="1" x14ac:dyDescent="0.2">
      <c r="D69" s="42"/>
      <c r="G69" s="44"/>
      <c r="L69" s="53"/>
    </row>
    <row r="70" spans="1:15" s="41" customFormat="1" ht="14.25" hidden="1" x14ac:dyDescent="0.2">
      <c r="D70" s="42"/>
      <c r="G70" s="34"/>
      <c r="K70" s="45"/>
      <c r="N70" s="34"/>
    </row>
    <row r="71" spans="1:15" s="41" customFormat="1" hidden="1" x14ac:dyDescent="0.2">
      <c r="D71" s="42"/>
      <c r="G71" s="25" t="s">
        <v>94</v>
      </c>
      <c r="I71" s="24">
        <f>+I58-I64-I68</f>
        <v>670814.37899999984</v>
      </c>
      <c r="J71" s="24">
        <f>+J58-J64-J68</f>
        <v>280583.89400000049</v>
      </c>
      <c r="K71" s="45"/>
      <c r="N71" s="24">
        <v>-114634</v>
      </c>
    </row>
    <row r="72" spans="1:15" s="41" customFormat="1" ht="14.25" hidden="1" x14ac:dyDescent="0.2">
      <c r="A72" s="34"/>
      <c r="B72" s="34"/>
      <c r="C72" s="34"/>
      <c r="D72" s="54"/>
      <c r="E72" s="34"/>
      <c r="F72" s="34"/>
      <c r="G72" s="34"/>
      <c r="H72" s="34"/>
      <c r="I72" s="34"/>
      <c r="J72" s="34"/>
      <c r="K72" s="45"/>
    </row>
    <row r="73" spans="1:15" ht="14.25" x14ac:dyDescent="0.2">
      <c r="A73" s="34"/>
      <c r="B73" s="34"/>
      <c r="C73" s="34"/>
      <c r="D73" s="54"/>
      <c r="E73" s="34"/>
      <c r="F73" s="34"/>
      <c r="H73" s="34"/>
      <c r="I73" s="55"/>
      <c r="J73" s="34"/>
      <c r="N73" s="56"/>
    </row>
    <row r="75" spans="1:15" x14ac:dyDescent="0.2">
      <c r="B75" s="57">
        <f>+F75*B6</f>
        <v>2329.38</v>
      </c>
      <c r="C75" s="57">
        <f>+F75*C6</f>
        <v>1650</v>
      </c>
      <c r="D75" s="12"/>
      <c r="F75" s="58">
        <v>0.03</v>
      </c>
      <c r="G75" s="12" t="s">
        <v>95</v>
      </c>
      <c r="H75" s="58"/>
      <c r="I75" s="57">
        <f>+F75*I6</f>
        <v>17575.829999999998</v>
      </c>
      <c r="J75" s="57">
        <f>+F75*J6</f>
        <v>7650</v>
      </c>
      <c r="K75" s="12"/>
      <c r="N75" s="57">
        <f>+F75*N6</f>
        <v>15000</v>
      </c>
      <c r="O75" s="57"/>
    </row>
    <row r="76" spans="1:15" x14ac:dyDescent="0.2">
      <c r="B76" s="57">
        <f>+B6*F76</f>
        <v>3882.3</v>
      </c>
      <c r="C76" s="57">
        <f>+F76*C6</f>
        <v>2750</v>
      </c>
      <c r="D76" s="12"/>
      <c r="F76" s="58">
        <v>0.05</v>
      </c>
      <c r="G76" s="12" t="s">
        <v>96</v>
      </c>
      <c r="H76" s="58"/>
      <c r="I76" s="57">
        <f>+F76*I6</f>
        <v>29293.050000000003</v>
      </c>
      <c r="J76" s="57">
        <f>+F76*J6</f>
        <v>12750</v>
      </c>
      <c r="K76" s="12"/>
      <c r="N76" s="57">
        <f>+F76*N6</f>
        <v>25000</v>
      </c>
      <c r="O76" s="57"/>
    </row>
    <row r="77" spans="1:15" x14ac:dyDescent="0.2">
      <c r="B77" s="57">
        <f>12121*F77</f>
        <v>606.05000000000007</v>
      </c>
      <c r="C77" s="57">
        <f>139619*F77</f>
        <v>6980.9500000000007</v>
      </c>
      <c r="D77" s="12"/>
      <c r="F77" s="58">
        <v>0.05</v>
      </c>
      <c r="G77" s="12" t="s">
        <v>97</v>
      </c>
      <c r="H77" s="58"/>
      <c r="I77" s="57">
        <f>(477418+361053.5)*F77</f>
        <v>41923.575000000004</v>
      </c>
      <c r="J77" s="57">
        <f>(497337+880085)*F77</f>
        <v>68871.100000000006</v>
      </c>
      <c r="K77" s="12"/>
      <c r="N77" s="57">
        <f>1377422*F77</f>
        <v>68871.100000000006</v>
      </c>
      <c r="O77" s="57"/>
    </row>
    <row r="78" spans="1:15" x14ac:dyDescent="0.2">
      <c r="B78" s="57">
        <f>+F78*B11</f>
        <v>21508.734</v>
      </c>
      <c r="C78" s="57">
        <f>+F78*C11</f>
        <v>13096.846000000001</v>
      </c>
      <c r="D78" s="12"/>
      <c r="F78" s="58">
        <v>0.2</v>
      </c>
      <c r="G78" s="12" t="s">
        <v>98</v>
      </c>
      <c r="H78" s="58"/>
      <c r="I78" s="57">
        <f>+F78*I11</f>
        <v>71545.638000000006</v>
      </c>
      <c r="J78" s="57">
        <f>+F78*J11</f>
        <v>59190.407999999996</v>
      </c>
      <c r="K78" s="12"/>
      <c r="N78" s="57">
        <f>+F78*N11</f>
        <v>120000</v>
      </c>
      <c r="O78" s="57"/>
    </row>
    <row r="79" spans="1:15" x14ac:dyDescent="0.2">
      <c r="B79" s="57">
        <f>+F79*B8</f>
        <v>24364.334999999999</v>
      </c>
      <c r="C79" s="57">
        <f>+F79*C8</f>
        <v>55000</v>
      </c>
      <c r="D79" s="12"/>
      <c r="F79" s="58">
        <v>0.5</v>
      </c>
      <c r="G79" s="12" t="s">
        <v>99</v>
      </c>
      <c r="H79" s="58"/>
      <c r="I79" s="57">
        <f>+F79*I8</f>
        <v>207646.535</v>
      </c>
      <c r="J79" s="57">
        <f>+F79*J8</f>
        <v>225000</v>
      </c>
      <c r="K79" s="12"/>
      <c r="N79" s="57">
        <f>+F79*N8</f>
        <v>250000</v>
      </c>
      <c r="O79" s="57"/>
    </row>
    <row r="80" spans="1:15" x14ac:dyDescent="0.2">
      <c r="B80" s="57"/>
      <c r="C80" s="57"/>
      <c r="D80" s="12"/>
      <c r="I80" s="57"/>
      <c r="J80" s="57"/>
      <c r="K80" s="12"/>
      <c r="N80" s="57"/>
      <c r="O80" s="57"/>
    </row>
    <row r="81" spans="2:15" x14ac:dyDescent="0.2">
      <c r="B81" s="57">
        <f>SUM(B75:B80)</f>
        <v>52690.798999999999</v>
      </c>
      <c r="C81" s="57">
        <f>SUM(C75:C80)</f>
        <v>79477.796000000002</v>
      </c>
      <c r="D81" s="12"/>
      <c r="I81" s="57">
        <f>SUM(I75:I80)</f>
        <v>367984.62800000003</v>
      </c>
      <c r="J81" s="57">
        <f>SUM(J75:J80)</f>
        <v>373461.50800000003</v>
      </c>
      <c r="K81" s="12"/>
      <c r="N81" s="57">
        <f>SUM(N75:N80)</f>
        <v>478871.1</v>
      </c>
      <c r="O81" s="57"/>
    </row>
  </sheetData>
  <mergeCells count="6">
    <mergeCell ref="B1:G1"/>
    <mergeCell ref="I1:P1"/>
    <mergeCell ref="B3:E3"/>
    <mergeCell ref="I3:P3"/>
    <mergeCell ref="F60:N60"/>
    <mergeCell ref="F66:N66"/>
  </mergeCells>
  <printOptions horizontalCentered="1"/>
  <pageMargins left="0" right="0" top="0" bottom="0" header="0.05" footer="0.05"/>
  <pageSetup paperSize="3" scale="88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460B-4185-4ADC-A470-601B26B4F4C6}">
  <sheetPr>
    <pageSetUpPr fitToPage="1"/>
  </sheetPr>
  <dimension ref="A1:R81"/>
  <sheetViews>
    <sheetView tabSelected="1" zoomScale="130" zoomScaleNormal="130" workbookViewId="0">
      <selection activeCell="N54" sqref="N54"/>
    </sheetView>
  </sheetViews>
  <sheetFormatPr defaultColWidth="15.7109375" defaultRowHeight="12" x14ac:dyDescent="0.2"/>
  <cols>
    <col min="1" max="1" width="4.5703125" style="12" bestFit="1" customWidth="1"/>
    <col min="2" max="2" width="13" style="12" customWidth="1"/>
    <col min="3" max="3" width="11" style="12" bestFit="1" customWidth="1"/>
    <col min="4" max="4" width="12.85546875" style="13" bestFit="1" customWidth="1"/>
    <col min="5" max="5" width="8.42578125" style="12" bestFit="1" customWidth="1"/>
    <col min="6" max="6" width="4.42578125" style="12" customWidth="1"/>
    <col min="7" max="7" width="38" style="12" bestFit="1" customWidth="1"/>
    <col min="8" max="8" width="1.7109375" style="12" customWidth="1"/>
    <col min="9" max="9" width="14.140625" style="12" customWidth="1"/>
    <col min="10" max="10" width="14.7109375" style="12" bestFit="1" customWidth="1"/>
    <col min="11" max="11" width="14.28515625" style="13" bestFit="1" customWidth="1"/>
    <col min="12" max="12" width="10.7109375" style="12" bestFit="1" customWidth="1"/>
    <col min="13" max="13" width="2.7109375" style="12" customWidth="1"/>
    <col min="14" max="14" width="14.7109375" style="12" bestFit="1" customWidth="1"/>
    <col min="15" max="15" width="14.28515625" style="13" bestFit="1" customWidth="1"/>
    <col min="16" max="16" width="13.5703125" style="12" bestFit="1" customWidth="1"/>
    <col min="17" max="16384" width="15.7109375" style="12"/>
  </cols>
  <sheetData>
    <row r="1" spans="2:18" s="10" customFormat="1" x14ac:dyDescent="0.2">
      <c r="B1" s="7" t="s">
        <v>100</v>
      </c>
      <c r="C1" s="7"/>
      <c r="D1" s="7"/>
      <c r="E1" s="7"/>
      <c r="F1" s="7"/>
      <c r="G1" s="7"/>
      <c r="H1" s="8"/>
      <c r="I1" s="9" t="s">
        <v>33</v>
      </c>
      <c r="J1" s="9"/>
      <c r="K1" s="9"/>
      <c r="L1" s="9"/>
      <c r="M1" s="9"/>
      <c r="N1" s="9"/>
      <c r="O1" s="9"/>
      <c r="P1" s="9"/>
    </row>
    <row r="2" spans="2:18" x14ac:dyDescent="0.2">
      <c r="B2" s="11"/>
    </row>
    <row r="3" spans="2:18" x14ac:dyDescent="0.2">
      <c r="B3" s="7" t="s">
        <v>34</v>
      </c>
      <c r="C3" s="7"/>
      <c r="D3" s="7"/>
      <c r="E3" s="7"/>
      <c r="I3" s="7" t="s">
        <v>35</v>
      </c>
      <c r="J3" s="7"/>
      <c r="K3" s="7"/>
      <c r="L3" s="7"/>
      <c r="M3" s="7"/>
      <c r="N3" s="7"/>
      <c r="O3" s="7"/>
      <c r="P3" s="7"/>
    </row>
    <row r="4" spans="2:18" s="10" customFormat="1" ht="24" x14ac:dyDescent="0.2">
      <c r="B4" s="14">
        <v>45596</v>
      </c>
      <c r="C4" s="15" t="s">
        <v>36</v>
      </c>
      <c r="D4" s="16" t="s">
        <v>37</v>
      </c>
      <c r="E4" s="17" t="s">
        <v>38</v>
      </c>
      <c r="F4" s="18"/>
      <c r="G4" s="19" t="s">
        <v>39</v>
      </c>
      <c r="H4" s="18"/>
      <c r="I4" s="20" t="s">
        <v>40</v>
      </c>
      <c r="J4" s="17" t="s">
        <v>41</v>
      </c>
      <c r="K4" s="16" t="s">
        <v>37</v>
      </c>
      <c r="L4" s="17" t="s">
        <v>42</v>
      </c>
      <c r="M4" s="21"/>
      <c r="N4" s="17" t="s">
        <v>43</v>
      </c>
      <c r="O4" s="16" t="s">
        <v>37</v>
      </c>
      <c r="P4" s="17" t="s">
        <v>44</v>
      </c>
    </row>
    <row r="6" spans="2:18" x14ac:dyDescent="0.2">
      <c r="B6" s="22">
        <v>77646</v>
      </c>
      <c r="C6" s="22">
        <v>55000</v>
      </c>
      <c r="D6" s="22">
        <f>B6-C6</f>
        <v>22646</v>
      </c>
      <c r="E6" s="23">
        <f t="shared" ref="E6:E14" si="0">+B6/C6</f>
        <v>1.4117454545454546</v>
      </c>
      <c r="G6" s="12" t="s">
        <v>45</v>
      </c>
      <c r="H6" s="12" t="s">
        <v>46</v>
      </c>
      <c r="I6" s="22">
        <v>585861</v>
      </c>
      <c r="J6" s="22">
        <v>255000</v>
      </c>
      <c r="K6" s="22">
        <f t="shared" ref="K6:K13" si="1">I6-J6</f>
        <v>330861</v>
      </c>
      <c r="L6" s="23">
        <f t="shared" ref="L6:L14" si="2">+I6/J6</f>
        <v>2.2974941176470587</v>
      </c>
      <c r="M6" s="23"/>
      <c r="N6" s="22">
        <v>500000</v>
      </c>
      <c r="O6" s="22">
        <f>I6-N6</f>
        <v>85861</v>
      </c>
      <c r="P6" s="23">
        <f t="shared" ref="P6:P14" si="3">+I6/N6</f>
        <v>1.1717219999999999</v>
      </c>
    </row>
    <row r="7" spans="2:18" x14ac:dyDescent="0.2">
      <c r="B7" s="22">
        <v>663599.88</v>
      </c>
      <c r="C7" s="22">
        <v>532500</v>
      </c>
      <c r="D7" s="22">
        <f t="shared" ref="D7:D13" si="4">B7-C7</f>
        <v>131099.88</v>
      </c>
      <c r="E7" s="23">
        <v>0</v>
      </c>
      <c r="G7" s="12" t="s">
        <v>47</v>
      </c>
      <c r="I7" s="22">
        <v>761647.98</v>
      </c>
      <c r="J7" s="22">
        <v>615000</v>
      </c>
      <c r="K7" s="22">
        <f t="shared" si="1"/>
        <v>146647.97999999998</v>
      </c>
      <c r="L7" s="23">
        <f t="shared" si="2"/>
        <v>1.2384519999999999</v>
      </c>
      <c r="M7" s="23"/>
      <c r="N7" s="22">
        <v>750000</v>
      </c>
      <c r="O7" s="22">
        <f t="shared" ref="O7:O13" si="5">I7-N7</f>
        <v>11647.979999999981</v>
      </c>
      <c r="P7" s="23">
        <f t="shared" si="3"/>
        <v>1.0155306399999999</v>
      </c>
    </row>
    <row r="8" spans="2:18" x14ac:dyDescent="0.2">
      <c r="B8" s="22">
        <v>48728.67</v>
      </c>
      <c r="C8" s="22">
        <v>110000</v>
      </c>
      <c r="D8" s="22">
        <f>B8-C8</f>
        <v>-61271.33</v>
      </c>
      <c r="E8" s="23">
        <f t="shared" si="0"/>
        <v>0.44298790909090907</v>
      </c>
      <c r="G8" s="12" t="s">
        <v>48</v>
      </c>
      <c r="I8" s="22">
        <v>415293.07</v>
      </c>
      <c r="J8" s="22">
        <v>450000</v>
      </c>
      <c r="K8" s="22">
        <f t="shared" si="1"/>
        <v>-34706.929999999993</v>
      </c>
      <c r="L8" s="23">
        <f t="shared" si="2"/>
        <v>0.92287348888888887</v>
      </c>
      <c r="M8" s="23"/>
      <c r="N8" s="22">
        <v>500000</v>
      </c>
      <c r="O8" s="22">
        <f t="shared" si="5"/>
        <v>-84706.93</v>
      </c>
      <c r="P8" s="23">
        <f t="shared" si="3"/>
        <v>0.83058613999999997</v>
      </c>
    </row>
    <row r="9" spans="2:18" x14ac:dyDescent="0.2">
      <c r="B9" s="22">
        <v>7912</v>
      </c>
      <c r="C9" s="22">
        <v>9194.75</v>
      </c>
      <c r="D9" s="22">
        <f t="shared" si="4"/>
        <v>-1282.75</v>
      </c>
      <c r="E9" s="23">
        <f t="shared" si="0"/>
        <v>0.86049104108322683</v>
      </c>
      <c r="G9" s="12" t="s">
        <v>49</v>
      </c>
      <c r="I9" s="22">
        <v>425592</v>
      </c>
      <c r="J9" s="22">
        <v>429254.37</v>
      </c>
      <c r="K9" s="22">
        <f t="shared" si="1"/>
        <v>-3662.3699999999953</v>
      </c>
      <c r="L9" s="23">
        <f t="shared" si="2"/>
        <v>0.99146806589295755</v>
      </c>
      <c r="M9" s="23"/>
      <c r="N9" s="22">
        <v>522826</v>
      </c>
      <c r="O9" s="22">
        <f t="shared" si="5"/>
        <v>-97234</v>
      </c>
      <c r="P9" s="23">
        <f t="shared" si="3"/>
        <v>0.81402225597043754</v>
      </c>
    </row>
    <row r="10" spans="2:18" x14ac:dyDescent="0.2">
      <c r="B10" s="22">
        <v>108885.5</v>
      </c>
      <c r="C10" s="22">
        <v>163876</v>
      </c>
      <c r="D10" s="22">
        <f t="shared" si="4"/>
        <v>-54990.5</v>
      </c>
      <c r="E10" s="23">
        <f t="shared" si="0"/>
        <v>0.66443835583001787</v>
      </c>
      <c r="G10" s="12" t="s">
        <v>50</v>
      </c>
      <c r="I10" s="22">
        <v>2012157.38</v>
      </c>
      <c r="J10" s="22">
        <v>1916679</v>
      </c>
      <c r="K10" s="22">
        <f t="shared" si="1"/>
        <v>95478.379999999888</v>
      </c>
      <c r="L10" s="23">
        <f t="shared" si="2"/>
        <v>1.049814486411131</v>
      </c>
      <c r="M10" s="23"/>
      <c r="N10" s="22">
        <v>1916679</v>
      </c>
      <c r="O10" s="22">
        <f t="shared" si="5"/>
        <v>95478.379999999888</v>
      </c>
      <c r="P10" s="23">
        <f t="shared" si="3"/>
        <v>1.049814486411131</v>
      </c>
    </row>
    <row r="11" spans="2:18" x14ac:dyDescent="0.2">
      <c r="B11" s="22">
        <v>107543.67</v>
      </c>
      <c r="C11" s="22">
        <v>65484.23</v>
      </c>
      <c r="D11" s="22">
        <f t="shared" si="4"/>
        <v>42059.439999999995</v>
      </c>
      <c r="E11" s="23">
        <f t="shared" si="0"/>
        <v>1.6422834932929653</v>
      </c>
      <c r="G11" s="12" t="s">
        <v>51</v>
      </c>
      <c r="I11" s="22">
        <v>357728.19</v>
      </c>
      <c r="J11" s="22">
        <v>295952.03999999998</v>
      </c>
      <c r="K11" s="22">
        <f t="shared" si="1"/>
        <v>61776.150000000023</v>
      </c>
      <c r="L11" s="23">
        <f t="shared" si="2"/>
        <v>1.2087370304999419</v>
      </c>
      <c r="M11" s="23"/>
      <c r="N11" s="22">
        <v>600000</v>
      </c>
      <c r="O11" s="22">
        <f t="shared" si="5"/>
        <v>-242271.81</v>
      </c>
      <c r="P11" s="23">
        <f t="shared" si="3"/>
        <v>0.59621365000000004</v>
      </c>
    </row>
    <row r="12" spans="2:18" x14ac:dyDescent="0.2">
      <c r="B12" s="22">
        <v>29256.38</v>
      </c>
      <c r="C12" s="22">
        <v>35890.39</v>
      </c>
      <c r="D12" s="22">
        <f t="shared" si="4"/>
        <v>-6634.0099999999984</v>
      </c>
      <c r="E12" s="23">
        <f t="shared" si="0"/>
        <v>0.81515915541736939</v>
      </c>
      <c r="G12" s="12" t="s">
        <v>52</v>
      </c>
      <c r="I12" s="22">
        <v>343619.49</v>
      </c>
      <c r="J12" s="22">
        <v>310617.33</v>
      </c>
      <c r="K12" s="22">
        <f t="shared" si="1"/>
        <v>33002.159999999974</v>
      </c>
      <c r="L12" s="23">
        <f t="shared" si="2"/>
        <v>1.1062470017368315</v>
      </c>
      <c r="M12" s="23"/>
      <c r="N12" s="22">
        <v>378500</v>
      </c>
      <c r="O12" s="22">
        <f t="shared" si="5"/>
        <v>-34880.510000000009</v>
      </c>
      <c r="P12" s="23">
        <f t="shared" si="3"/>
        <v>0.90784541611624836</v>
      </c>
    </row>
    <row r="13" spans="2:18" x14ac:dyDescent="0.2">
      <c r="B13" s="22">
        <f>1096320.35-1043572</f>
        <v>52748.350000000093</v>
      </c>
      <c r="C13" s="22">
        <f>1000604.19-971945</f>
        <v>28659.189999999944</v>
      </c>
      <c r="D13" s="22">
        <f t="shared" si="4"/>
        <v>24089.160000000149</v>
      </c>
      <c r="E13" s="23">
        <f t="shared" si="0"/>
        <v>1.8405387591205542</v>
      </c>
      <c r="G13" s="12" t="s">
        <v>53</v>
      </c>
      <c r="I13" s="22">
        <f>5467024.91-4901899</f>
        <v>565125.91000000015</v>
      </c>
      <c r="J13" s="22">
        <f>4676578.74-4272503</f>
        <v>404075.74000000022</v>
      </c>
      <c r="K13" s="22">
        <f t="shared" si="1"/>
        <v>161050.16999999993</v>
      </c>
      <c r="L13" s="23">
        <f t="shared" si="2"/>
        <v>1.3985643137100976</v>
      </c>
      <c r="M13" s="23"/>
      <c r="N13" s="22">
        <f>5819005-5168005</f>
        <v>651000</v>
      </c>
      <c r="O13" s="22">
        <f t="shared" si="5"/>
        <v>-85874.089999999851</v>
      </c>
      <c r="P13" s="23">
        <f t="shared" si="3"/>
        <v>0.86808895545314924</v>
      </c>
    </row>
    <row r="14" spans="2:18" x14ac:dyDescent="0.2">
      <c r="B14" s="24">
        <f>SUM(B6:B13)</f>
        <v>1096320.4500000002</v>
      </c>
      <c r="C14" s="24">
        <f>SUM(C6:C13)</f>
        <v>1000604.5599999999</v>
      </c>
      <c r="D14" s="24">
        <f>SUM(D6:D13)</f>
        <v>95715.890000000145</v>
      </c>
      <c r="E14" s="23">
        <f t="shared" si="0"/>
        <v>1.0956580589638731</v>
      </c>
      <c r="F14" s="10"/>
      <c r="G14" s="25" t="s">
        <v>54</v>
      </c>
      <c r="H14" s="10"/>
      <c r="I14" s="24">
        <f>SUM(I6:I13)</f>
        <v>5467025.0200000005</v>
      </c>
      <c r="J14" s="24">
        <f>SUM(J6:J13)</f>
        <v>4676578.4800000004</v>
      </c>
      <c r="K14" s="24">
        <f>SUM(K6:K13)</f>
        <v>790446.5399999998</v>
      </c>
      <c r="L14" s="23">
        <f t="shared" si="2"/>
        <v>1.1690224046020927</v>
      </c>
      <c r="M14" s="23"/>
      <c r="N14" s="24">
        <f>SUM(N6:N13)</f>
        <v>5819005</v>
      </c>
      <c r="O14" s="24">
        <f>SUM(O6:O13)</f>
        <v>-351979.98</v>
      </c>
      <c r="P14" s="23">
        <f t="shared" si="3"/>
        <v>0.93951199904451022</v>
      </c>
      <c r="R14" s="26"/>
    </row>
    <row r="15" spans="2:18" x14ac:dyDescent="0.2">
      <c r="E15" s="23"/>
      <c r="L15" s="27"/>
      <c r="M15" s="27"/>
      <c r="P15" s="27"/>
      <c r="R15" s="26"/>
    </row>
    <row r="16" spans="2:18" s="10" customFormat="1" ht="24" x14ac:dyDescent="0.2">
      <c r="B16" s="28">
        <f>+B4</f>
        <v>45596</v>
      </c>
      <c r="C16" s="29" t="s">
        <v>36</v>
      </c>
      <c r="D16" s="30" t="s">
        <v>37</v>
      </c>
      <c r="E16" s="31"/>
      <c r="G16" s="19" t="s">
        <v>55</v>
      </c>
      <c r="I16" s="32" t="str">
        <f>I4</f>
        <v>Actual April - October 2024</v>
      </c>
      <c r="J16" s="17" t="str">
        <f>J4</f>
        <v>Budgeted April - October 2024</v>
      </c>
      <c r="K16" s="16" t="s">
        <v>37</v>
      </c>
      <c r="L16" s="17" t="s">
        <v>38</v>
      </c>
      <c r="M16" s="21"/>
      <c r="N16" s="17" t="s">
        <v>43</v>
      </c>
      <c r="O16" s="16" t="s">
        <v>37</v>
      </c>
      <c r="P16" s="17" t="s">
        <v>44</v>
      </c>
      <c r="R16" s="26"/>
    </row>
    <row r="17" spans="1:18" x14ac:dyDescent="0.2">
      <c r="E17" s="23"/>
      <c r="L17" s="27"/>
      <c r="M17" s="27"/>
      <c r="P17" s="27"/>
      <c r="R17" s="26"/>
    </row>
    <row r="18" spans="1:18" x14ac:dyDescent="0.2">
      <c r="B18" s="22">
        <f>34954.1+8.8</f>
        <v>34962.9</v>
      </c>
      <c r="C18" s="22">
        <f>29800.01+2916.67</f>
        <v>32716.68</v>
      </c>
      <c r="D18" s="22">
        <f>B18-C18</f>
        <v>2246.2200000000012</v>
      </c>
      <c r="E18" s="23">
        <f>+B18/C18</f>
        <v>1.0686567218923191</v>
      </c>
      <c r="G18" s="12" t="s">
        <v>56</v>
      </c>
      <c r="I18" s="22">
        <f>416008.49+14699.34</f>
        <v>430707.83</v>
      </c>
      <c r="J18" s="22">
        <f>20416.65+271549.95</f>
        <v>291966.60000000003</v>
      </c>
      <c r="K18" s="22">
        <f>I18-J18</f>
        <v>138741.22999999998</v>
      </c>
      <c r="L18" s="23">
        <f>+I18/J18</f>
        <v>1.4751955531899881</v>
      </c>
      <c r="M18" s="23"/>
      <c r="N18" s="22">
        <v>426000</v>
      </c>
      <c r="O18" s="22">
        <f>I18-N18</f>
        <v>4707.8300000000163</v>
      </c>
      <c r="P18" s="23">
        <f>+I18/N18</f>
        <v>1.0110512441314554</v>
      </c>
      <c r="R18" s="26"/>
    </row>
    <row r="19" spans="1:18" x14ac:dyDescent="0.2">
      <c r="B19" s="22">
        <f>8398.9-8.8</f>
        <v>8390.1</v>
      </c>
      <c r="C19" s="22">
        <f>11916.67-2916.67</f>
        <v>9000</v>
      </c>
      <c r="D19" s="22">
        <f>B19-C19</f>
        <v>-609.89999999999964</v>
      </c>
      <c r="E19" s="23">
        <f>+B19/C19</f>
        <v>0.93223333333333336</v>
      </c>
      <c r="G19" s="12" t="s">
        <v>57</v>
      </c>
      <c r="I19" s="22">
        <f>90069.59-14699.34</f>
        <v>75370.25</v>
      </c>
      <c r="J19" s="22">
        <f>83416.69-20416.65</f>
        <v>63000.04</v>
      </c>
      <c r="K19" s="22">
        <f>I19-J19</f>
        <v>12370.21</v>
      </c>
      <c r="L19" s="23">
        <f>+I19/J19</f>
        <v>1.1963524150143396</v>
      </c>
      <c r="M19" s="23"/>
      <c r="N19" s="22">
        <v>143000</v>
      </c>
      <c r="O19" s="22">
        <f>I19-N19</f>
        <v>-67629.75</v>
      </c>
      <c r="P19" s="23">
        <f>+I19/N19</f>
        <v>0.52706468531468531</v>
      </c>
      <c r="R19" s="26"/>
    </row>
    <row r="20" spans="1:18" s="10" customFormat="1" x14ac:dyDescent="0.2">
      <c r="B20" s="33">
        <f>SUM(B18:B19)</f>
        <v>43353</v>
      </c>
      <c r="C20" s="33">
        <f>SUM(C18:C19)</f>
        <v>41716.68</v>
      </c>
      <c r="D20" s="33">
        <f>+B20-C20</f>
        <v>1636.3199999999997</v>
      </c>
      <c r="E20" s="23">
        <f>+B20/C20</f>
        <v>1.0392245979306118</v>
      </c>
      <c r="G20" s="10" t="s">
        <v>58</v>
      </c>
      <c r="I20" s="33">
        <f>SUM(I18:I19)</f>
        <v>506078.08</v>
      </c>
      <c r="J20" s="33">
        <f>SUM(J18:J19)</f>
        <v>354966.64</v>
      </c>
      <c r="K20" s="33">
        <f>SUM(K18:K19)</f>
        <v>151111.43999999997</v>
      </c>
      <c r="L20" s="23">
        <f>+I20/J20</f>
        <v>1.425706032544354</v>
      </c>
      <c r="M20" s="23"/>
      <c r="N20" s="33">
        <f>SUM(N18:N19)</f>
        <v>569000</v>
      </c>
      <c r="O20" s="33">
        <f>SUM(O18:O19)</f>
        <v>-62921.919999999984</v>
      </c>
      <c r="P20" s="23">
        <f>+I20/N20</f>
        <v>0.88941666080843584</v>
      </c>
      <c r="R20" s="26"/>
    </row>
    <row r="21" spans="1:18" x14ac:dyDescent="0.2">
      <c r="B21" s="13"/>
      <c r="C21" s="13"/>
      <c r="E21" s="23"/>
      <c r="I21" s="13"/>
      <c r="J21" s="13"/>
      <c r="L21" s="27"/>
      <c r="M21" s="27"/>
      <c r="N21" s="13"/>
      <c r="P21" s="27"/>
      <c r="R21" s="26"/>
    </row>
    <row r="22" spans="1:18" x14ac:dyDescent="0.2">
      <c r="B22" s="22">
        <v>38876.339999999997</v>
      </c>
      <c r="C22" s="22">
        <v>38124.1</v>
      </c>
      <c r="D22" s="22">
        <f>B22-C22</f>
        <v>752.23999999999796</v>
      </c>
      <c r="E22" s="23">
        <f>+B22/C22</f>
        <v>1.019731351035172</v>
      </c>
      <c r="G22" s="12" t="s">
        <v>59</v>
      </c>
      <c r="I22" s="22">
        <v>251222.73</v>
      </c>
      <c r="J22" s="22">
        <v>282890.12</v>
      </c>
      <c r="K22" s="22">
        <f>I22-J22</f>
        <v>-31667.389999999985</v>
      </c>
      <c r="L22" s="23">
        <f>+I22/J22</f>
        <v>0.88805763170520069</v>
      </c>
      <c r="M22" s="23"/>
      <c r="N22" s="22">
        <v>489536</v>
      </c>
      <c r="O22" s="22">
        <f>I22-N22</f>
        <v>-238313.27</v>
      </c>
      <c r="P22" s="23">
        <f>+I22/N22</f>
        <v>0.51318540413779579</v>
      </c>
      <c r="R22" s="26"/>
    </row>
    <row r="23" spans="1:18" x14ac:dyDescent="0.2">
      <c r="B23" s="22">
        <v>3.05</v>
      </c>
      <c r="C23" s="22">
        <v>1.25</v>
      </c>
      <c r="D23" s="22">
        <f>B23-C23</f>
        <v>1.7999999999999998</v>
      </c>
      <c r="E23" s="23">
        <f>+B23/C23</f>
        <v>2.44</v>
      </c>
      <c r="G23" s="12" t="s">
        <v>60</v>
      </c>
      <c r="I23" s="22">
        <v>3429.71</v>
      </c>
      <c r="J23" s="22">
        <v>5458.75</v>
      </c>
      <c r="K23" s="22">
        <f>I23-J23</f>
        <v>-2029.04</v>
      </c>
      <c r="L23" s="23">
        <f>+I23/J23</f>
        <v>0.62829585527822307</v>
      </c>
      <c r="M23" s="23"/>
      <c r="N23" s="22">
        <v>5465</v>
      </c>
      <c r="O23" s="22">
        <f>I23-N23</f>
        <v>-2035.29</v>
      </c>
      <c r="P23" s="23">
        <f>+I23/N23</f>
        <v>0.6275773101555352</v>
      </c>
      <c r="R23" s="26"/>
    </row>
    <row r="24" spans="1:18" x14ac:dyDescent="0.2">
      <c r="B24" s="22">
        <f>63745.74-38879</f>
        <v>24866.739999999998</v>
      </c>
      <c r="C24" s="22">
        <f>63242.35-38125</f>
        <v>25117.35</v>
      </c>
      <c r="D24" s="22">
        <f>B24-C24</f>
        <v>-250.61000000000058</v>
      </c>
      <c r="E24" s="23">
        <f>+B24/C24</f>
        <v>0.99002243469155782</v>
      </c>
      <c r="G24" s="12" t="s">
        <v>61</v>
      </c>
      <c r="I24" s="22">
        <f>561208.12-254652</f>
        <v>306556.12</v>
      </c>
      <c r="J24" s="22">
        <f>464389.87-288349</f>
        <v>176040.87</v>
      </c>
      <c r="K24" s="22">
        <f>I24-J24</f>
        <v>130515.25</v>
      </c>
      <c r="L24" s="23">
        <f>+I24/J24</f>
        <v>1.7413917574935867</v>
      </c>
      <c r="M24" s="23"/>
      <c r="N24" s="22">
        <f>796901-495001</f>
        <v>301900</v>
      </c>
      <c r="O24" s="22">
        <f>I24-N24</f>
        <v>4656.1199999999953</v>
      </c>
      <c r="P24" s="23">
        <f>+I24/N24</f>
        <v>1.0154227227558794</v>
      </c>
      <c r="R24" s="26"/>
    </row>
    <row r="25" spans="1:18" s="10" customFormat="1" x14ac:dyDescent="0.2">
      <c r="B25" s="33">
        <f>SUM(B22:B24)</f>
        <v>63746.13</v>
      </c>
      <c r="C25" s="33">
        <f>SUM(C22:C24)</f>
        <v>63242.7</v>
      </c>
      <c r="D25" s="33">
        <f>+B25-C25</f>
        <v>503.43000000000029</v>
      </c>
      <c r="E25" s="23">
        <f>+B25/C25</f>
        <v>1.0079602863255364</v>
      </c>
      <c r="G25" s="10" t="s">
        <v>62</v>
      </c>
      <c r="I25" s="33">
        <f>SUM(I22:I24)</f>
        <v>561208.56000000006</v>
      </c>
      <c r="J25" s="33">
        <f>SUM(J22:J24)</f>
        <v>464389.74</v>
      </c>
      <c r="K25" s="33">
        <f>SUM(K22:K24)</f>
        <v>96818.82</v>
      </c>
      <c r="L25" s="23">
        <f>+I25/J25</f>
        <v>1.2084861306367365</v>
      </c>
      <c r="M25" s="23"/>
      <c r="N25" s="33">
        <f>SUM(N22:N24)</f>
        <v>796901</v>
      </c>
      <c r="O25" s="33">
        <f>SUM(O22:O24)</f>
        <v>-235692.44</v>
      </c>
      <c r="P25" s="23">
        <f>+I25/N25</f>
        <v>0.70423874483781557</v>
      </c>
      <c r="R25" s="26"/>
    </row>
    <row r="26" spans="1:18" x14ac:dyDescent="0.2">
      <c r="B26" s="13"/>
      <c r="C26" s="13"/>
      <c r="E26" s="23"/>
      <c r="I26" s="13"/>
      <c r="J26" s="13"/>
      <c r="L26" s="27"/>
      <c r="M26" s="27"/>
      <c r="N26" s="13"/>
      <c r="P26" s="27"/>
      <c r="R26" s="26"/>
    </row>
    <row r="27" spans="1:18" x14ac:dyDescent="0.2">
      <c r="A27" s="12" t="s">
        <v>46</v>
      </c>
      <c r="B27" s="22">
        <v>143725.20000000001</v>
      </c>
      <c r="C27" s="22">
        <v>136715.92000000001</v>
      </c>
      <c r="D27" s="22">
        <f>B27-C27</f>
        <v>7009.2799999999988</v>
      </c>
      <c r="E27" s="23">
        <f t="shared" ref="E27:E31" si="6">+B27/C27</f>
        <v>1.0512689378091447</v>
      </c>
      <c r="G27" s="12" t="s">
        <v>63</v>
      </c>
      <c r="I27" s="22">
        <v>1116982.72</v>
      </c>
      <c r="J27" s="22">
        <v>1054960.92</v>
      </c>
      <c r="K27" s="22">
        <f>I27-J27</f>
        <v>62021.800000000047</v>
      </c>
      <c r="L27" s="23">
        <f t="shared" ref="L27:L31" si="7">+I27/J27</f>
        <v>1.0587906137793237</v>
      </c>
      <c r="M27" s="23"/>
      <c r="N27" s="22">
        <v>1803468</v>
      </c>
      <c r="O27" s="22">
        <f>I27-N27</f>
        <v>-686485.28</v>
      </c>
      <c r="P27" s="23">
        <f t="shared" ref="P27:P31" si="8">+I27/N27</f>
        <v>0.61935266941248746</v>
      </c>
      <c r="R27" s="26"/>
    </row>
    <row r="28" spans="1:18" x14ac:dyDescent="0.2">
      <c r="B28" s="22">
        <v>36794.26</v>
      </c>
      <c r="C28" s="22">
        <v>38091.410000000003</v>
      </c>
      <c r="D28" s="22">
        <f>B28-C28</f>
        <v>-1297.1500000000015</v>
      </c>
      <c r="E28" s="23">
        <f t="shared" si="6"/>
        <v>0.9659463905379192</v>
      </c>
      <c r="G28" s="12" t="s">
        <v>64</v>
      </c>
      <c r="I28" s="22">
        <v>278199.58</v>
      </c>
      <c r="J28" s="22">
        <v>280239.90999999997</v>
      </c>
      <c r="K28" s="22">
        <f>I28-J28</f>
        <v>-2040.3299999999581</v>
      </c>
      <c r="L28" s="23">
        <f t="shared" si="7"/>
        <v>0.99271934536376361</v>
      </c>
      <c r="M28" s="23"/>
      <c r="N28" s="22">
        <v>484297</v>
      </c>
      <c r="O28" s="22">
        <f>I28-N28</f>
        <v>-206097.41999999998</v>
      </c>
      <c r="P28" s="23">
        <f t="shared" si="8"/>
        <v>0.57444002337408662</v>
      </c>
      <c r="R28" s="26"/>
    </row>
    <row r="29" spans="1:18" x14ac:dyDescent="0.2">
      <c r="B29" s="22">
        <v>15382.11</v>
      </c>
      <c r="C29" s="22">
        <v>30050.83</v>
      </c>
      <c r="D29" s="22">
        <f>B29-C29</f>
        <v>-14668.720000000001</v>
      </c>
      <c r="E29" s="23">
        <f t="shared" si="6"/>
        <v>0.51186972206757686</v>
      </c>
      <c r="G29" s="12" t="s">
        <v>65</v>
      </c>
      <c r="I29" s="22">
        <v>201770.23999999999</v>
      </c>
      <c r="J29" s="22">
        <v>218355.76</v>
      </c>
      <c r="K29" s="22">
        <f>I29-J29</f>
        <v>-16585.520000000019</v>
      </c>
      <c r="L29" s="23">
        <f t="shared" si="7"/>
        <v>0.9240435883166076</v>
      </c>
      <c r="M29" s="23"/>
      <c r="N29" s="22">
        <v>221059.91</v>
      </c>
      <c r="O29" s="22">
        <f>I29-N29</f>
        <v>-19289.670000000013</v>
      </c>
      <c r="P29" s="23">
        <f t="shared" si="8"/>
        <v>0.91274008027959475</v>
      </c>
      <c r="R29" s="26"/>
    </row>
    <row r="30" spans="1:18" x14ac:dyDescent="0.2">
      <c r="B30" s="22">
        <f>220539.6-195902</f>
        <v>24637.600000000006</v>
      </c>
      <c r="C30" s="22">
        <f>232483.16-204858</f>
        <v>27625.160000000003</v>
      </c>
      <c r="D30" s="22">
        <f>B30-C30</f>
        <v>-2987.5599999999977</v>
      </c>
      <c r="E30" s="23">
        <f t="shared" si="6"/>
        <v>0.89185365804216166</v>
      </c>
      <c r="G30" s="12" t="s">
        <v>66</v>
      </c>
      <c r="I30" s="22">
        <f>1841428.96-1596953</f>
        <v>244475.95999999996</v>
      </c>
      <c r="J30" s="22">
        <f>1746931.59-1553557</f>
        <v>193374.59000000008</v>
      </c>
      <c r="K30" s="22">
        <f>I30-J30</f>
        <v>51101.369999999879</v>
      </c>
      <c r="L30" s="23">
        <f t="shared" si="7"/>
        <v>1.2642610386400812</v>
      </c>
      <c r="M30" s="23"/>
      <c r="N30" s="22">
        <f>2840324.91-2508825</f>
        <v>331499.91000000015</v>
      </c>
      <c r="O30" s="22">
        <f>I30-N30</f>
        <v>-87023.950000000186</v>
      </c>
      <c r="P30" s="23">
        <f t="shared" si="8"/>
        <v>0.73748424245424338</v>
      </c>
      <c r="R30" s="26"/>
    </row>
    <row r="31" spans="1:18" s="10" customFormat="1" x14ac:dyDescent="0.2">
      <c r="B31" s="33">
        <f>SUM(B27:B30)</f>
        <v>220539.17</v>
      </c>
      <c r="C31" s="33">
        <f>SUM(C27:C30)</f>
        <v>232483.32000000004</v>
      </c>
      <c r="D31" s="33">
        <f>+B31-C31</f>
        <v>-11944.150000000023</v>
      </c>
      <c r="E31" s="23">
        <f t="shared" si="6"/>
        <v>0.94862362598744709</v>
      </c>
      <c r="G31" s="10" t="s">
        <v>67</v>
      </c>
      <c r="I31" s="33">
        <f>SUM(I27:I30)</f>
        <v>1841428.5</v>
      </c>
      <c r="J31" s="33">
        <f>SUM(J27:J30)</f>
        <v>1746931.18</v>
      </c>
      <c r="K31" s="33">
        <f>SUM(K27:K30)</f>
        <v>94497.319999999949</v>
      </c>
      <c r="L31" s="23">
        <f t="shared" si="7"/>
        <v>1.0540933272483006</v>
      </c>
      <c r="M31" s="23"/>
      <c r="N31" s="33">
        <f>SUM(N27:N30)</f>
        <v>2840324.8200000003</v>
      </c>
      <c r="O31" s="33">
        <f>SUM(O27:O30)</f>
        <v>-998896.32000000018</v>
      </c>
      <c r="P31" s="23">
        <f t="shared" si="8"/>
        <v>0.64831616688122307</v>
      </c>
      <c r="R31" s="26"/>
    </row>
    <row r="32" spans="1:18" x14ac:dyDescent="0.2">
      <c r="B32" s="13"/>
      <c r="C32" s="13"/>
      <c r="E32" s="23"/>
      <c r="I32" s="13"/>
      <c r="J32" s="13"/>
      <c r="L32" s="27"/>
      <c r="M32" s="27"/>
      <c r="N32" s="13"/>
      <c r="P32" s="27"/>
      <c r="R32" s="26"/>
    </row>
    <row r="33" spans="2:18" x14ac:dyDescent="0.2">
      <c r="B33" s="22">
        <v>15477.09</v>
      </c>
      <c r="C33" s="22">
        <v>13340.02</v>
      </c>
      <c r="D33" s="22">
        <f>B33-C33</f>
        <v>2137.0699999999997</v>
      </c>
      <c r="E33" s="23">
        <f>+B33/C33</f>
        <v>1.1601999097452627</v>
      </c>
      <c r="G33" s="12" t="s">
        <v>68</v>
      </c>
      <c r="I33" s="22">
        <v>105442.09</v>
      </c>
      <c r="J33" s="22">
        <v>98803.02</v>
      </c>
      <c r="K33" s="22">
        <f>I33-J33</f>
        <v>6639.0699999999924</v>
      </c>
      <c r="L33" s="23">
        <f>+I33/J33</f>
        <v>1.0671950108407617</v>
      </c>
      <c r="M33" s="23"/>
      <c r="N33" s="22">
        <v>169926</v>
      </c>
      <c r="O33" s="22">
        <f>I33-N33</f>
        <v>-64483.91</v>
      </c>
      <c r="P33" s="23">
        <f>+I33/N33</f>
        <v>0.62051769593823192</v>
      </c>
      <c r="R33" s="26"/>
    </row>
    <row r="34" spans="2:18" x14ac:dyDescent="0.2">
      <c r="B34" s="22">
        <v>1176.29</v>
      </c>
      <c r="C34" s="22">
        <v>0</v>
      </c>
      <c r="D34" s="22">
        <f>B34-C34</f>
        <v>1176.29</v>
      </c>
      <c r="E34" s="23"/>
      <c r="G34" s="12" t="s">
        <v>69</v>
      </c>
      <c r="I34" s="22">
        <v>12418.85</v>
      </c>
      <c r="J34" s="22">
        <v>10900</v>
      </c>
      <c r="K34" s="22">
        <f>I34-J34</f>
        <v>1518.8500000000004</v>
      </c>
      <c r="L34" s="23">
        <f>+I34/J34</f>
        <v>1.1393440366972478</v>
      </c>
      <c r="M34" s="23"/>
      <c r="N34" s="22">
        <v>10900</v>
      </c>
      <c r="O34" s="22">
        <f>I34-N34</f>
        <v>1518.8500000000004</v>
      </c>
      <c r="P34" s="23">
        <f>+I34/N34</f>
        <v>1.1393440366972478</v>
      </c>
      <c r="R34" s="26"/>
    </row>
    <row r="35" spans="2:18" x14ac:dyDescent="0.2">
      <c r="B35" s="22">
        <f>17425.8-15477</f>
        <v>1948.7999999999993</v>
      </c>
      <c r="C35" s="22">
        <f>15144.18-13340</f>
        <v>1804.1800000000003</v>
      </c>
      <c r="D35" s="22">
        <f>B35-C35</f>
        <v>144.61999999999898</v>
      </c>
      <c r="E35" s="23">
        <f>+B35/C35</f>
        <v>1.0801582990610687</v>
      </c>
      <c r="G35" s="12" t="s">
        <v>70</v>
      </c>
      <c r="I35" s="22">
        <f>130522.28-105442</f>
        <v>25080.28</v>
      </c>
      <c r="J35" s="22">
        <f>122332.22-98803</f>
        <v>23529.22</v>
      </c>
      <c r="K35" s="22">
        <f>I35-J35</f>
        <v>1551.0599999999977</v>
      </c>
      <c r="L35" s="23">
        <f>+I35/J35</f>
        <v>1.0659205872527859</v>
      </c>
      <c r="M35" s="23"/>
      <c r="N35" s="22">
        <f>202476-180826</f>
        <v>21650</v>
      </c>
      <c r="O35" s="22">
        <f>I35-N35</f>
        <v>3430.2799999999988</v>
      </c>
      <c r="P35" s="23">
        <f>+I35/N35</f>
        <v>1.1584424942263278</v>
      </c>
      <c r="R35" s="26"/>
    </row>
    <row r="36" spans="2:18" s="10" customFormat="1" x14ac:dyDescent="0.2">
      <c r="B36" s="33">
        <f>B35+B33</f>
        <v>17425.89</v>
      </c>
      <c r="C36" s="33">
        <f>C35+C33</f>
        <v>15144.2</v>
      </c>
      <c r="D36" s="33">
        <f>+B36-C36</f>
        <v>2281.6899999999987</v>
      </c>
      <c r="E36" s="23">
        <f>+B36/C36</f>
        <v>1.1506642807147289</v>
      </c>
      <c r="G36" s="10" t="s">
        <v>71</v>
      </c>
      <c r="I36" s="33">
        <f>I35+I33</f>
        <v>130522.37</v>
      </c>
      <c r="J36" s="33">
        <f>J35+J33</f>
        <v>122332.24</v>
      </c>
      <c r="K36" s="33">
        <f>K35+K33</f>
        <v>8190.1299999999901</v>
      </c>
      <c r="L36" s="23">
        <f>+I36/J36</f>
        <v>1.066949889906373</v>
      </c>
      <c r="M36" s="23"/>
      <c r="N36" s="33">
        <f>SUM(N33:N35)</f>
        <v>202476</v>
      </c>
      <c r="O36" s="33">
        <f>SUM(O33:O35)</f>
        <v>-59534.780000000006</v>
      </c>
      <c r="P36" s="23">
        <f>+I36/N36</f>
        <v>0.64463131432861176</v>
      </c>
      <c r="R36" s="26"/>
    </row>
    <row r="37" spans="2:18" x14ac:dyDescent="0.2">
      <c r="B37" s="13"/>
      <c r="C37" s="13"/>
      <c r="E37" s="23"/>
      <c r="I37" s="13"/>
      <c r="J37" s="13"/>
      <c r="L37" s="27"/>
      <c r="M37" s="27"/>
      <c r="N37" s="13"/>
      <c r="P37" s="27"/>
      <c r="R37" s="26"/>
    </row>
    <row r="38" spans="2:18" x14ac:dyDescent="0.2">
      <c r="B38" s="22">
        <v>10030.14</v>
      </c>
      <c r="C38" s="22">
        <v>9230.93</v>
      </c>
      <c r="D38" s="22">
        <f>B38-C38</f>
        <v>799.20999999999913</v>
      </c>
      <c r="E38" s="23">
        <f>+B38/C38</f>
        <v>1.0865795754057284</v>
      </c>
      <c r="G38" s="12" t="s">
        <v>72</v>
      </c>
      <c r="I38" s="22">
        <v>74679.94</v>
      </c>
      <c r="J38" s="22">
        <v>68186.990000000005</v>
      </c>
      <c r="K38" s="22">
        <f>I38-J38</f>
        <v>6492.9499999999971</v>
      </c>
      <c r="L38" s="23">
        <f>+I38/J38</f>
        <v>1.0952227103733425</v>
      </c>
      <c r="M38" s="23"/>
      <c r="N38" s="22">
        <v>117412</v>
      </c>
      <c r="O38" s="22">
        <f>I38-N38</f>
        <v>-42732.06</v>
      </c>
      <c r="P38" s="23">
        <f>+I38/N38</f>
        <v>0.63605031853643579</v>
      </c>
      <c r="R38" s="26"/>
    </row>
    <row r="39" spans="2:18" x14ac:dyDescent="0.2">
      <c r="B39" s="22">
        <v>155.36000000000001</v>
      </c>
      <c r="C39" s="22">
        <v>30.53</v>
      </c>
      <c r="D39" s="22">
        <f>B39-C39</f>
        <v>124.83000000000001</v>
      </c>
      <c r="E39" s="23">
        <f>+B39/C39</f>
        <v>5.0887651490337378</v>
      </c>
      <c r="G39" s="12" t="s">
        <v>73</v>
      </c>
      <c r="I39" s="22">
        <v>98462.33</v>
      </c>
      <c r="J39" s="22">
        <v>94788.65</v>
      </c>
      <c r="K39" s="22">
        <f>I39-J39</f>
        <v>3673.6800000000076</v>
      </c>
      <c r="L39" s="23">
        <f>+I39/J39</f>
        <v>1.0387565388894135</v>
      </c>
      <c r="M39" s="23"/>
      <c r="N39" s="22">
        <v>94941.3</v>
      </c>
      <c r="O39" s="22">
        <f>I39-N39</f>
        <v>3521.0299999999988</v>
      </c>
      <c r="P39" s="23">
        <f>+I39/N39</f>
        <v>1.0370863891688864</v>
      </c>
      <c r="R39" s="26"/>
    </row>
    <row r="40" spans="2:18" x14ac:dyDescent="0.2">
      <c r="B40" s="22">
        <f>10623.05-10186</f>
        <v>437.04999999999927</v>
      </c>
      <c r="C40" s="22">
        <f>11612.3-9261</f>
        <v>2351.2999999999993</v>
      </c>
      <c r="D40" s="22">
        <f>B40-C40</f>
        <v>-1914.25</v>
      </c>
      <c r="E40" s="23">
        <f>+B40/C40</f>
        <v>0.18587589843916105</v>
      </c>
      <c r="G40" s="12" t="s">
        <v>74</v>
      </c>
      <c r="I40" s="22">
        <f>185292.82-173142</f>
        <v>12150.820000000007</v>
      </c>
      <c r="J40" s="22">
        <f>179431.52-162976</f>
        <v>16455.51999999999</v>
      </c>
      <c r="K40" s="22">
        <f>I40-J40</f>
        <v>-4304.6999999999825</v>
      </c>
      <c r="L40" s="23">
        <f>+I40/J40</f>
        <v>0.73840389121705141</v>
      </c>
      <c r="M40" s="23"/>
      <c r="N40" s="22">
        <f>240563.3-212353</f>
        <v>28210.299999999988</v>
      </c>
      <c r="O40" s="22">
        <f>I40-N40</f>
        <v>-16059.479999999981</v>
      </c>
      <c r="P40" s="23">
        <f>+I40/N40</f>
        <v>0.43072282109725923</v>
      </c>
      <c r="R40" s="26"/>
    </row>
    <row r="41" spans="2:18" s="10" customFormat="1" x14ac:dyDescent="0.2">
      <c r="B41" s="33">
        <f>SUM(B38:B40)</f>
        <v>10622.55</v>
      </c>
      <c r="C41" s="33">
        <f>SUM(C38:C40)</f>
        <v>11612.76</v>
      </c>
      <c r="D41" s="33">
        <f>+B41-C41</f>
        <v>-990.21000000000095</v>
      </c>
      <c r="E41" s="23">
        <f>+B41/C41</f>
        <v>0.9147308650140018</v>
      </c>
      <c r="G41" s="10" t="s">
        <v>75</v>
      </c>
      <c r="I41" s="33">
        <f>SUM(I38:I40)</f>
        <v>185293.09000000003</v>
      </c>
      <c r="J41" s="33">
        <f>SUM(J38:J40)</f>
        <v>179431.16</v>
      </c>
      <c r="K41" s="33">
        <f>SUM(K38:K40)</f>
        <v>5861.9300000000221</v>
      </c>
      <c r="L41" s="23">
        <f>+I41/J41</f>
        <v>1.0326695207231567</v>
      </c>
      <c r="M41" s="23"/>
      <c r="N41" s="33">
        <f>SUM(N38:N40)</f>
        <v>240563.59999999998</v>
      </c>
      <c r="O41" s="33">
        <f>SUM(O38:O40)</f>
        <v>-55270.50999999998</v>
      </c>
      <c r="P41" s="23">
        <f>+I41/N41</f>
        <v>0.77024574790201028</v>
      </c>
      <c r="R41" s="26"/>
    </row>
    <row r="42" spans="2:18" x14ac:dyDescent="0.2">
      <c r="B42" s="13"/>
      <c r="C42" s="13"/>
      <c r="E42" s="23"/>
      <c r="I42" s="13"/>
      <c r="J42" s="13"/>
      <c r="L42" s="27"/>
      <c r="M42" s="27"/>
      <c r="N42" s="13"/>
      <c r="P42" s="27"/>
      <c r="R42" s="26"/>
    </row>
    <row r="43" spans="2:18" s="10" customFormat="1" x14ac:dyDescent="0.2">
      <c r="B43" s="33">
        <v>9467.44</v>
      </c>
      <c r="C43" s="33">
        <v>11364.72</v>
      </c>
      <c r="D43" s="33">
        <f>+B43-C43</f>
        <v>-1897.2799999999988</v>
      </c>
      <c r="E43" s="23">
        <f>+B43/C43</f>
        <v>0.83305527984851369</v>
      </c>
      <c r="G43" s="10" t="s">
        <v>76</v>
      </c>
      <c r="I43" s="33">
        <v>81214.55</v>
      </c>
      <c r="J43" s="33">
        <v>84221.8</v>
      </c>
      <c r="K43" s="33">
        <f>I43-J43</f>
        <v>-3007.25</v>
      </c>
      <c r="L43" s="23">
        <f>+I43/J43</f>
        <v>0.96429368643272884</v>
      </c>
      <c r="M43" s="23"/>
      <c r="N43" s="33">
        <v>145714</v>
      </c>
      <c r="O43" s="33">
        <f>I43-N43</f>
        <v>-64499.45</v>
      </c>
      <c r="P43" s="23">
        <f>+I43/N43</f>
        <v>0.55735584775656422</v>
      </c>
      <c r="R43" s="26"/>
    </row>
    <row r="44" spans="2:18" x14ac:dyDescent="0.2">
      <c r="B44" s="13"/>
      <c r="C44" s="13"/>
      <c r="E44" s="23"/>
      <c r="I44" s="13"/>
      <c r="J44" s="13"/>
      <c r="L44" s="27"/>
      <c r="M44" s="27"/>
      <c r="N44" s="13"/>
      <c r="P44" s="27"/>
      <c r="R44" s="26"/>
    </row>
    <row r="45" spans="2:18" s="10" customFormat="1" x14ac:dyDescent="0.2">
      <c r="B45" s="33">
        <v>3663.24</v>
      </c>
      <c r="C45" s="33">
        <v>5391.49</v>
      </c>
      <c r="D45" s="33">
        <f>+B45-C45</f>
        <v>-1728.25</v>
      </c>
      <c r="E45" s="23">
        <f>+B45/C45</f>
        <v>0.67944853834468766</v>
      </c>
      <c r="G45" s="10" t="s">
        <v>77</v>
      </c>
      <c r="I45" s="33">
        <v>26210.54</v>
      </c>
      <c r="J45" s="33">
        <v>40351.51</v>
      </c>
      <c r="K45" s="33">
        <f>I45-J45</f>
        <v>-14140.970000000001</v>
      </c>
      <c r="L45" s="23">
        <f>+I45/J45</f>
        <v>0.64955536979904838</v>
      </c>
      <c r="M45" s="23"/>
      <c r="N45" s="33">
        <v>69920</v>
      </c>
      <c r="O45" s="33">
        <f>I45-N45</f>
        <v>-43709.46</v>
      </c>
      <c r="P45" s="23">
        <f>+I45/N45</f>
        <v>0.37486470251716247</v>
      </c>
      <c r="R45" s="26"/>
    </row>
    <row r="46" spans="2:18" x14ac:dyDescent="0.2">
      <c r="B46" s="13"/>
      <c r="C46" s="13"/>
      <c r="E46" s="23"/>
      <c r="I46" s="13"/>
      <c r="J46" s="13"/>
      <c r="L46" s="27"/>
      <c r="M46" s="27"/>
      <c r="N46" s="13"/>
      <c r="P46" s="27"/>
      <c r="R46" s="26"/>
    </row>
    <row r="47" spans="2:18" x14ac:dyDescent="0.2">
      <c r="B47" s="22">
        <v>2285.5700000000002</v>
      </c>
      <c r="C47" s="22">
        <v>2199.77</v>
      </c>
      <c r="D47" s="22">
        <f>B47-C47</f>
        <v>85.800000000000182</v>
      </c>
      <c r="E47" s="23">
        <f>+B47/C47</f>
        <v>1.0390040776990324</v>
      </c>
      <c r="G47" s="12" t="s">
        <v>78</v>
      </c>
      <c r="I47" s="22">
        <v>16342.21</v>
      </c>
      <c r="J47" s="22">
        <v>16436.73</v>
      </c>
      <c r="K47" s="22">
        <f>I47-J47</f>
        <v>-94.520000000000437</v>
      </c>
      <c r="L47" s="23">
        <f>+I47/J47</f>
        <v>0.99424946446160523</v>
      </c>
      <c r="M47" s="23"/>
      <c r="N47" s="22">
        <v>28474</v>
      </c>
      <c r="O47" s="22">
        <f>I47-N47</f>
        <v>-12131.79</v>
      </c>
      <c r="P47" s="23">
        <f>+I47/N47</f>
        <v>0.57393446653087021</v>
      </c>
      <c r="R47" s="26"/>
    </row>
    <row r="48" spans="2:18" x14ac:dyDescent="0.2">
      <c r="B48" s="22">
        <v>2662.99</v>
      </c>
      <c r="C48" s="22">
        <v>1031.78</v>
      </c>
      <c r="D48" s="22">
        <f>B48-C48</f>
        <v>1631.2099999999998</v>
      </c>
      <c r="E48" s="23">
        <f>+B48/C48</f>
        <v>2.5809668727829576</v>
      </c>
      <c r="G48" s="12" t="s">
        <v>79</v>
      </c>
      <c r="I48" s="22">
        <v>436182.21</v>
      </c>
      <c r="J48" s="22">
        <v>455414.22</v>
      </c>
      <c r="K48" s="22">
        <f>I48-J48</f>
        <v>-19232.009999999951</v>
      </c>
      <c r="L48" s="23">
        <f>+I48/J48</f>
        <v>0.95777029096719912</v>
      </c>
      <c r="M48" s="23"/>
      <c r="N48" s="22">
        <v>465573.12</v>
      </c>
      <c r="O48" s="22">
        <f>I48-N48</f>
        <v>-29390.909999999974</v>
      </c>
      <c r="P48" s="23">
        <f>+I48/N48</f>
        <v>0.93687154876982592</v>
      </c>
      <c r="R48" s="26"/>
    </row>
    <row r="49" spans="1:18" x14ac:dyDescent="0.2">
      <c r="B49" s="22">
        <f>5993.65-4949</f>
        <v>1044.6499999999996</v>
      </c>
      <c r="C49" s="22">
        <f>4989.06-3232</f>
        <v>1757.0600000000004</v>
      </c>
      <c r="D49" s="22">
        <f>B49-C49</f>
        <v>-712.41000000000076</v>
      </c>
      <c r="E49" s="23">
        <f>+B49/C49</f>
        <v>0.59454429558466948</v>
      </c>
      <c r="G49" s="12" t="s">
        <v>80</v>
      </c>
      <c r="I49" s="22">
        <f>487948.89-452524</f>
        <v>35424.890000000014</v>
      </c>
      <c r="J49" s="22">
        <f>503153.4-471851</f>
        <v>31302.400000000023</v>
      </c>
      <c r="K49" s="22">
        <f>I49-J49</f>
        <v>4122.4899999999907</v>
      </c>
      <c r="L49" s="23">
        <f>+I49/J49</f>
        <v>1.131698847372725</v>
      </c>
      <c r="M49" s="23"/>
      <c r="N49" s="22">
        <f>536137.12-494047</f>
        <v>42090.119999999995</v>
      </c>
      <c r="O49" s="22">
        <f>I49-N49</f>
        <v>-6665.2299999999814</v>
      </c>
      <c r="P49" s="23">
        <f>+I49/N49</f>
        <v>0.84164383470515214</v>
      </c>
      <c r="R49" s="26"/>
    </row>
    <row r="50" spans="1:18" s="10" customFormat="1" x14ac:dyDescent="0.2">
      <c r="B50" s="33">
        <f>B49+B48+B47</f>
        <v>5993.2099999999991</v>
      </c>
      <c r="C50" s="33">
        <f>C49+C48+C47</f>
        <v>4988.6100000000006</v>
      </c>
      <c r="D50" s="33">
        <f>+B50-C50</f>
        <v>1004.5999999999985</v>
      </c>
      <c r="E50" s="23">
        <f>+B50/C50</f>
        <v>1.2013787407714771</v>
      </c>
      <c r="G50" s="10" t="s">
        <v>81</v>
      </c>
      <c r="I50" s="33">
        <f>I49+I48+I47</f>
        <v>487949.31000000006</v>
      </c>
      <c r="J50" s="33">
        <f>J49+J48+J47</f>
        <v>503153.35</v>
      </c>
      <c r="K50" s="33">
        <f>K49+K48+K47</f>
        <v>-15204.039999999961</v>
      </c>
      <c r="L50" s="23">
        <f>+I50/J50</f>
        <v>0.96978249275295514</v>
      </c>
      <c r="M50" s="23"/>
      <c r="N50" s="33">
        <f>N49+N48+N47</f>
        <v>536137.24</v>
      </c>
      <c r="O50" s="33">
        <f>O49+O48+O47</f>
        <v>-48187.929999999957</v>
      </c>
      <c r="P50" s="23">
        <f>+I50/N50</f>
        <v>0.91012015878620944</v>
      </c>
      <c r="R50" s="26"/>
    </row>
    <row r="51" spans="1:18" s="34" customFormat="1" ht="14.25" x14ac:dyDescent="0.2">
      <c r="A51" s="12"/>
      <c r="B51" s="13"/>
      <c r="C51" s="13"/>
      <c r="D51" s="13"/>
      <c r="E51" s="23"/>
      <c r="F51" s="12"/>
      <c r="G51" s="12"/>
      <c r="H51" s="12"/>
      <c r="I51" s="13"/>
      <c r="J51" s="13"/>
      <c r="K51" s="13"/>
      <c r="L51" s="27"/>
      <c r="R51" s="26"/>
    </row>
    <row r="52" spans="1:18" x14ac:dyDescent="0.2">
      <c r="B52" s="24">
        <f>+B50+B45+B43+B41+B36+B31+B25+B20</f>
        <v>374810.63</v>
      </c>
      <c r="C52" s="24">
        <f>+C50+C45+C43+C41+C36+C31+C25+C20</f>
        <v>385944.48000000004</v>
      </c>
      <c r="D52" s="24">
        <f>B52-C52</f>
        <v>-11133.850000000035</v>
      </c>
      <c r="E52" s="23">
        <f>+B52/C52</f>
        <v>0.97115167964055338</v>
      </c>
      <c r="F52" s="10"/>
      <c r="G52" s="25" t="s">
        <v>82</v>
      </c>
      <c r="H52" s="10"/>
      <c r="I52" s="24">
        <f>+I50+I45+I43+I41+I36+I31+I25+I20</f>
        <v>3819905</v>
      </c>
      <c r="J52" s="24">
        <f>+J50+J45+J43+J41+J36+J31+J25+J20</f>
        <v>3495777.6200000006</v>
      </c>
      <c r="K52" s="24">
        <f>I52-J52</f>
        <v>324127.37999999942</v>
      </c>
      <c r="L52" s="23">
        <f>+I52/J52</f>
        <v>1.0927196793484819</v>
      </c>
      <c r="M52" s="35"/>
      <c r="N52" s="24">
        <f>+N50+N45+N43+N41+N36+N31+N25+N20</f>
        <v>5401036.6600000001</v>
      </c>
      <c r="O52" s="24">
        <f>I52-N52</f>
        <v>-1581131.6600000001</v>
      </c>
      <c r="P52" s="23">
        <f>+I52/N52</f>
        <v>0.70725404037527861</v>
      </c>
      <c r="R52" s="26"/>
    </row>
    <row r="53" spans="1:18" s="34" customFormat="1" ht="14.25" x14ac:dyDescent="0.2">
      <c r="A53" s="12"/>
      <c r="B53" s="13"/>
      <c r="C53" s="13"/>
      <c r="D53" s="13"/>
      <c r="E53" s="23"/>
      <c r="F53" s="12"/>
      <c r="G53" s="12"/>
      <c r="H53" s="12"/>
      <c r="I53" s="13"/>
      <c r="J53" s="13"/>
      <c r="K53" s="13"/>
      <c r="L53" s="27"/>
      <c r="R53" s="26"/>
    </row>
    <row r="54" spans="1:18" x14ac:dyDescent="0.2">
      <c r="B54" s="24">
        <f>+B14-B52</f>
        <v>721509.82000000018</v>
      </c>
      <c r="C54" s="24">
        <f>+C14-C52</f>
        <v>614660.07999999984</v>
      </c>
      <c r="D54" s="24">
        <f>B54-C54</f>
        <v>106849.74000000034</v>
      </c>
      <c r="E54" s="23">
        <f>+B54/C54</f>
        <v>1.1738354961981594</v>
      </c>
      <c r="F54" s="10"/>
      <c r="G54" s="36" t="s">
        <v>83</v>
      </c>
      <c r="H54" s="10"/>
      <c r="I54" s="24">
        <f>+I14-I52</f>
        <v>1647120.0200000005</v>
      </c>
      <c r="J54" s="24">
        <f>+J14-J52</f>
        <v>1180800.8599999999</v>
      </c>
      <c r="K54" s="24">
        <f>I54-J54</f>
        <v>466319.16000000061</v>
      </c>
      <c r="L54" s="23">
        <f>+I54/J54</f>
        <v>1.3949177001785049</v>
      </c>
      <c r="M54" s="35"/>
      <c r="N54" s="24">
        <f>+N14-N52</f>
        <v>417968.33999999985</v>
      </c>
      <c r="O54" s="24">
        <f>I54-N54</f>
        <v>1229151.6800000006</v>
      </c>
      <c r="P54" s="23">
        <f>+I54/N54</f>
        <v>3.9407769976070464</v>
      </c>
      <c r="R54" s="26"/>
    </row>
    <row r="55" spans="1:18" s="34" customFormat="1" ht="14.25" x14ac:dyDescent="0.2">
      <c r="A55" s="12"/>
      <c r="B55" s="13"/>
      <c r="C55" s="13"/>
      <c r="D55" s="13"/>
      <c r="E55" s="23"/>
      <c r="F55" s="12"/>
      <c r="G55" s="12"/>
      <c r="H55" s="12"/>
      <c r="I55" s="13"/>
      <c r="J55" s="13"/>
      <c r="K55" s="13"/>
      <c r="L55" s="27"/>
    </row>
    <row r="56" spans="1:18" s="34" customFormat="1" ht="14.25" x14ac:dyDescent="0.2">
      <c r="A56" s="12"/>
      <c r="B56" s="13">
        <f>+B81</f>
        <v>52690.798999999999</v>
      </c>
      <c r="C56" s="13">
        <f>+C81</f>
        <v>79477.796000000002</v>
      </c>
      <c r="D56" s="13">
        <f>-C56+B56</f>
        <v>-26786.997000000003</v>
      </c>
      <c r="E56" s="23"/>
      <c r="F56" s="12"/>
      <c r="G56" s="25" t="s">
        <v>84</v>
      </c>
      <c r="H56" s="12"/>
      <c r="I56" s="13">
        <f>+I81</f>
        <v>367984.62800000003</v>
      </c>
      <c r="J56" s="13">
        <f>+J81</f>
        <v>373461.50800000003</v>
      </c>
      <c r="K56" s="13">
        <f>+I56-J56</f>
        <v>-5476.8800000000047</v>
      </c>
      <c r="L56" s="27"/>
      <c r="N56" s="13">
        <f>+N81</f>
        <v>478871.1</v>
      </c>
    </row>
    <row r="57" spans="1:18" s="34" customFormat="1" ht="14.25" x14ac:dyDescent="0.2">
      <c r="A57" s="12"/>
      <c r="B57" s="13"/>
      <c r="C57" s="13"/>
      <c r="D57" s="13"/>
      <c r="E57" s="23"/>
      <c r="F57" s="12"/>
      <c r="G57" s="12"/>
      <c r="H57" s="12"/>
      <c r="I57" s="13"/>
      <c r="J57" s="13"/>
      <c r="K57" s="13"/>
      <c r="L57" s="27"/>
    </row>
    <row r="58" spans="1:18" x14ac:dyDescent="0.2">
      <c r="B58" s="24">
        <f>+B54-B56</f>
        <v>668819.02100000018</v>
      </c>
      <c r="C58" s="24">
        <f>+C54-C56</f>
        <v>535182.28399999987</v>
      </c>
      <c r="D58" s="37"/>
      <c r="E58" s="38"/>
      <c r="F58" s="10"/>
      <c r="G58" s="25" t="s">
        <v>85</v>
      </c>
      <c r="H58" s="10"/>
      <c r="I58" s="24">
        <f>+I54-I56</f>
        <v>1279135.3920000005</v>
      </c>
      <c r="J58" s="24">
        <f>+J54-J56</f>
        <v>807339.35199999984</v>
      </c>
      <c r="K58" s="24">
        <f>+K54-K56</f>
        <v>471796.04000000062</v>
      </c>
      <c r="L58" s="39"/>
      <c r="M58" s="39"/>
      <c r="N58" s="24">
        <f>+N54-N56</f>
        <v>-60902.760000000126</v>
      </c>
      <c r="O58" s="40"/>
      <c r="P58" s="39"/>
    </row>
    <row r="60" spans="1:18" s="41" customFormat="1" ht="14.25" hidden="1" x14ac:dyDescent="0.2">
      <c r="A60" s="34"/>
      <c r="D60" s="42" t="s">
        <v>86</v>
      </c>
      <c r="F60" s="43" t="s">
        <v>87</v>
      </c>
      <c r="G60" s="43"/>
      <c r="H60" s="43"/>
      <c r="I60" s="43"/>
      <c r="J60" s="43"/>
      <c r="K60" s="43"/>
      <c r="L60" s="43"/>
      <c r="M60" s="43"/>
      <c r="N60" s="43"/>
    </row>
    <row r="61" spans="1:18" s="41" customFormat="1" ht="11.25" hidden="1" x14ac:dyDescent="0.2">
      <c r="C61" s="42"/>
      <c r="G61" s="44" t="s">
        <v>88</v>
      </c>
      <c r="I61" s="45">
        <f>-I6*0.03</f>
        <v>-17575.829999999998</v>
      </c>
      <c r="J61" s="45">
        <f>-J6*0.03</f>
        <v>-7650</v>
      </c>
      <c r="L61" s="41" t="s">
        <v>88</v>
      </c>
      <c r="N61" s="45">
        <v>-23100</v>
      </c>
    </row>
    <row r="62" spans="1:18" s="41" customFormat="1" ht="11.25" hidden="1" x14ac:dyDescent="0.2">
      <c r="B62" s="42"/>
      <c r="C62" s="42"/>
      <c r="D62" s="42"/>
      <c r="G62" s="44" t="s">
        <v>89</v>
      </c>
      <c r="I62" s="45">
        <f>-0.2*I11</f>
        <v>-71545.638000000006</v>
      </c>
      <c r="J62" s="45">
        <f>-0.2*J11</f>
        <v>-59190.407999999996</v>
      </c>
      <c r="L62" s="41" t="s">
        <v>89</v>
      </c>
      <c r="N62" s="45">
        <v>-38500</v>
      </c>
    </row>
    <row r="63" spans="1:18" s="41" customFormat="1" ht="11.25" hidden="1" x14ac:dyDescent="0.2">
      <c r="B63" s="42"/>
      <c r="C63" s="42"/>
      <c r="D63" s="42"/>
      <c r="G63" s="44" t="s">
        <v>90</v>
      </c>
      <c r="I63" s="45">
        <f>995729*-0.05</f>
        <v>-49786.450000000004</v>
      </c>
      <c r="J63" s="45">
        <f>-0.05*(755000)</f>
        <v>-37750</v>
      </c>
      <c r="L63" s="41" t="s">
        <v>90</v>
      </c>
      <c r="N63" s="45">
        <v>-37750</v>
      </c>
    </row>
    <row r="64" spans="1:18" s="41" customFormat="1" ht="11.25" hidden="1" x14ac:dyDescent="0.2">
      <c r="B64" s="42"/>
      <c r="C64" s="42"/>
      <c r="D64" s="42"/>
      <c r="F64" s="46" t="s">
        <v>91</v>
      </c>
      <c r="G64" s="47"/>
      <c r="H64" s="46"/>
      <c r="I64" s="48">
        <f>-SUM(I61:I63)</f>
        <v>138907.91800000001</v>
      </c>
      <c r="J64" s="48">
        <f>-SUM(J61:J63)</f>
        <v>104590.408</v>
      </c>
      <c r="K64" s="46"/>
      <c r="L64" s="46"/>
      <c r="M64" s="46"/>
      <c r="N64" s="48">
        <v>99350</v>
      </c>
    </row>
    <row r="65" spans="1:15" s="41" customFormat="1" ht="11.25" hidden="1" x14ac:dyDescent="0.2">
      <c r="B65" s="42"/>
      <c r="C65" s="42"/>
      <c r="D65" s="42"/>
      <c r="G65" s="44"/>
      <c r="I65" s="45"/>
      <c r="J65" s="45"/>
    </row>
    <row r="66" spans="1:15" s="34" customFormat="1" ht="14.25" hidden="1" x14ac:dyDescent="0.2">
      <c r="A66" s="41"/>
      <c r="B66" s="41"/>
      <c r="C66" s="41"/>
      <c r="D66" s="42"/>
      <c r="E66" s="41"/>
      <c r="F66" s="43" t="s">
        <v>9</v>
      </c>
      <c r="G66" s="43"/>
      <c r="H66" s="43"/>
      <c r="I66" s="43"/>
      <c r="J66" s="43"/>
      <c r="K66" s="43"/>
      <c r="L66" s="43"/>
      <c r="M66" s="43"/>
      <c r="N66" s="43"/>
    </row>
    <row r="67" spans="1:15" s="34" customFormat="1" ht="14.25" hidden="1" x14ac:dyDescent="0.2">
      <c r="A67" s="41"/>
      <c r="B67" s="41"/>
      <c r="C67" s="41"/>
      <c r="D67" s="49"/>
      <c r="E67" s="41"/>
      <c r="F67" s="41"/>
      <c r="G67" s="50" t="s">
        <v>92</v>
      </c>
      <c r="H67" s="41"/>
      <c r="I67" s="45">
        <f>-I8*0.5</f>
        <v>-207646.535</v>
      </c>
      <c r="J67" s="45">
        <f>-J8*0.5</f>
        <v>-225000</v>
      </c>
      <c r="K67" s="41"/>
      <c r="L67" s="51" t="s">
        <v>92</v>
      </c>
      <c r="N67" s="45">
        <v>-50000</v>
      </c>
    </row>
    <row r="68" spans="1:15" s="41" customFormat="1" ht="11.25" hidden="1" x14ac:dyDescent="0.2">
      <c r="F68" s="46" t="s">
        <v>93</v>
      </c>
      <c r="G68" s="46"/>
      <c r="H68" s="46"/>
      <c r="I68" s="52">
        <f>-I67</f>
        <v>207646.535</v>
      </c>
      <c r="J68" s="52">
        <f>-J67</f>
        <v>225000</v>
      </c>
      <c r="K68" s="46"/>
      <c r="L68" s="46"/>
      <c r="M68" s="46"/>
      <c r="N68" s="52">
        <v>50000</v>
      </c>
    </row>
    <row r="69" spans="1:15" s="41" customFormat="1" ht="11.25" hidden="1" x14ac:dyDescent="0.2">
      <c r="D69" s="42"/>
      <c r="G69" s="44"/>
      <c r="L69" s="53"/>
    </row>
    <row r="70" spans="1:15" s="41" customFormat="1" ht="14.25" hidden="1" x14ac:dyDescent="0.2">
      <c r="D70" s="42"/>
      <c r="G70" s="34"/>
      <c r="K70" s="45"/>
      <c r="N70" s="34"/>
    </row>
    <row r="71" spans="1:15" s="41" customFormat="1" hidden="1" x14ac:dyDescent="0.2">
      <c r="D71" s="42"/>
      <c r="G71" s="25" t="s">
        <v>94</v>
      </c>
      <c r="I71" s="24">
        <f>+I58-I64-I68</f>
        <v>932580.93900000036</v>
      </c>
      <c r="J71" s="24">
        <f>+J58-J64-J68</f>
        <v>477748.9439999999</v>
      </c>
      <c r="K71" s="45"/>
      <c r="N71" s="24">
        <v>-114634</v>
      </c>
    </row>
    <row r="72" spans="1:15" s="41" customFormat="1" ht="14.25" hidden="1" x14ac:dyDescent="0.2">
      <c r="A72" s="34"/>
      <c r="B72" s="34"/>
      <c r="C72" s="34"/>
      <c r="D72" s="54"/>
      <c r="E72" s="34"/>
      <c r="F72" s="34"/>
      <c r="G72" s="34"/>
      <c r="H72" s="34"/>
      <c r="I72" s="34"/>
      <c r="J72" s="34"/>
      <c r="K72" s="45"/>
    </row>
    <row r="73" spans="1:15" ht="14.25" x14ac:dyDescent="0.2">
      <c r="A73" s="34"/>
      <c r="B73" s="34"/>
      <c r="C73" s="34"/>
      <c r="D73" s="54"/>
      <c r="E73" s="34"/>
      <c r="F73" s="34"/>
      <c r="H73" s="34"/>
      <c r="I73" s="55"/>
      <c r="J73" s="34"/>
      <c r="N73" s="56"/>
    </row>
    <row r="75" spans="1:15" x14ac:dyDescent="0.2">
      <c r="B75" s="57">
        <f>+F75*B6</f>
        <v>2329.38</v>
      </c>
      <c r="C75" s="57">
        <f>+F75*C6</f>
        <v>1650</v>
      </c>
      <c r="D75" s="12"/>
      <c r="F75" s="58">
        <v>0.03</v>
      </c>
      <c r="G75" s="12" t="s">
        <v>95</v>
      </c>
      <c r="H75" s="58"/>
      <c r="I75" s="57">
        <f>+F75*I6</f>
        <v>17575.829999999998</v>
      </c>
      <c r="J75" s="57">
        <f>+F75*J6</f>
        <v>7650</v>
      </c>
      <c r="K75" s="12"/>
      <c r="N75" s="57">
        <f>+F75*N6</f>
        <v>15000</v>
      </c>
      <c r="O75" s="57"/>
    </row>
    <row r="76" spans="1:15" x14ac:dyDescent="0.2">
      <c r="B76" s="57">
        <f>+B6*F76</f>
        <v>3882.3</v>
      </c>
      <c r="C76" s="57">
        <f>+F76*C6</f>
        <v>2750</v>
      </c>
      <c r="D76" s="12"/>
      <c r="F76" s="58">
        <v>0.05</v>
      </c>
      <c r="G76" s="12" t="s">
        <v>96</v>
      </c>
      <c r="H76" s="58"/>
      <c r="I76" s="57">
        <f>+F76*I6</f>
        <v>29293.050000000003</v>
      </c>
      <c r="J76" s="57">
        <f>+F76*J6</f>
        <v>12750</v>
      </c>
      <c r="K76" s="12"/>
      <c r="N76" s="57">
        <f>+F76*N6</f>
        <v>25000</v>
      </c>
      <c r="O76" s="57"/>
    </row>
    <row r="77" spans="1:15" x14ac:dyDescent="0.2">
      <c r="B77" s="57">
        <f>12121*F77</f>
        <v>606.05000000000007</v>
      </c>
      <c r="C77" s="57">
        <f>139619*F77</f>
        <v>6980.9500000000007</v>
      </c>
      <c r="D77" s="12"/>
      <c r="F77" s="58">
        <v>0.05</v>
      </c>
      <c r="G77" s="12" t="s">
        <v>97</v>
      </c>
      <c r="H77" s="58"/>
      <c r="I77" s="57">
        <f>(477418+361053.5)*F77</f>
        <v>41923.575000000004</v>
      </c>
      <c r="J77" s="57">
        <f>(497337+880085)*F77</f>
        <v>68871.100000000006</v>
      </c>
      <c r="K77" s="12"/>
      <c r="N77" s="57">
        <f>1377422*F77</f>
        <v>68871.100000000006</v>
      </c>
      <c r="O77" s="57"/>
    </row>
    <row r="78" spans="1:15" x14ac:dyDescent="0.2">
      <c r="B78" s="57">
        <f>+F78*B11</f>
        <v>21508.734</v>
      </c>
      <c r="C78" s="57">
        <f>+F78*C11</f>
        <v>13096.846000000001</v>
      </c>
      <c r="D78" s="12"/>
      <c r="F78" s="58">
        <v>0.2</v>
      </c>
      <c r="G78" s="12" t="s">
        <v>98</v>
      </c>
      <c r="H78" s="58"/>
      <c r="I78" s="57">
        <f>+F78*I11</f>
        <v>71545.638000000006</v>
      </c>
      <c r="J78" s="57">
        <f>+F78*J11</f>
        <v>59190.407999999996</v>
      </c>
      <c r="K78" s="12"/>
      <c r="N78" s="57">
        <f>+F78*N11</f>
        <v>120000</v>
      </c>
      <c r="O78" s="57"/>
    </row>
    <row r="79" spans="1:15" x14ac:dyDescent="0.2">
      <c r="B79" s="57">
        <f>+F79*B8</f>
        <v>24364.334999999999</v>
      </c>
      <c r="C79" s="57">
        <f>+F79*C8</f>
        <v>55000</v>
      </c>
      <c r="D79" s="12"/>
      <c r="F79" s="58">
        <v>0.5</v>
      </c>
      <c r="G79" s="12" t="s">
        <v>99</v>
      </c>
      <c r="H79" s="58"/>
      <c r="I79" s="57">
        <f>+F79*I8</f>
        <v>207646.535</v>
      </c>
      <c r="J79" s="57">
        <f>+F79*J8</f>
        <v>225000</v>
      </c>
      <c r="K79" s="12"/>
      <c r="N79" s="57">
        <f>+F79*N8</f>
        <v>250000</v>
      </c>
      <c r="O79" s="57"/>
    </row>
    <row r="80" spans="1:15" x14ac:dyDescent="0.2">
      <c r="B80" s="57"/>
      <c r="C80" s="57"/>
      <c r="D80" s="12"/>
      <c r="I80" s="57"/>
      <c r="J80" s="57"/>
      <c r="K80" s="12"/>
      <c r="N80" s="57"/>
      <c r="O80" s="57"/>
    </row>
    <row r="81" spans="2:15" x14ac:dyDescent="0.2">
      <c r="B81" s="57">
        <f>SUM(B75:B80)</f>
        <v>52690.798999999999</v>
      </c>
      <c r="C81" s="57">
        <f>SUM(C75:C80)</f>
        <v>79477.796000000002</v>
      </c>
      <c r="D81" s="12"/>
      <c r="I81" s="57">
        <f>SUM(I75:I80)</f>
        <v>367984.62800000003</v>
      </c>
      <c r="J81" s="57">
        <f>SUM(J75:J80)</f>
        <v>373461.50800000003</v>
      </c>
      <c r="K81" s="12"/>
      <c r="N81" s="57">
        <f>SUM(N75:N80)</f>
        <v>478871.1</v>
      </c>
      <c r="O81" s="57"/>
    </row>
  </sheetData>
  <mergeCells count="6">
    <mergeCell ref="B1:G1"/>
    <mergeCell ref="I1:P1"/>
    <mergeCell ref="B3:E3"/>
    <mergeCell ref="I3:P3"/>
    <mergeCell ref="F60:N60"/>
    <mergeCell ref="F66:N66"/>
  </mergeCells>
  <printOptions horizontalCentered="1"/>
  <pageMargins left="0" right="0" top="0" bottom="0" header="0.05" footer="0.05"/>
  <pageSetup paperSize="3" scale="88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F358-8587-4390-861E-A5C53F54377E}">
  <sheetPr>
    <pageSetUpPr fitToPage="1"/>
  </sheetPr>
  <dimension ref="A1:AE388"/>
  <sheetViews>
    <sheetView zoomScale="160" zoomScaleNormal="160" workbookViewId="0">
      <pane xSplit="2" ySplit="4" topLeftCell="V43" activePane="bottomRight" state="frozen"/>
      <selection pane="topRight" activeCell="C1" sqref="C1"/>
      <selection pane="bottomLeft" activeCell="A5" sqref="A5"/>
      <selection pane="bottomRight" activeCell="W65" sqref="W65"/>
    </sheetView>
  </sheetViews>
  <sheetFormatPr defaultColWidth="10.42578125" defaultRowHeight="11.25" x14ac:dyDescent="0.2"/>
  <cols>
    <col min="1" max="1" width="17.28515625" style="59" bestFit="1" customWidth="1"/>
    <col min="2" max="2" width="45.5703125" style="59" bestFit="1" customWidth="1"/>
    <col min="3" max="3" width="9.85546875" style="59" hidden="1" customWidth="1"/>
    <col min="4" max="4" width="10.85546875" style="61" hidden="1" customWidth="1"/>
    <col min="5" max="5" width="2.7109375" style="59" hidden="1" customWidth="1"/>
    <col min="6" max="6" width="9.85546875" style="59" hidden="1" customWidth="1"/>
    <col min="7" max="7" width="10.28515625" style="59" hidden="1" customWidth="1"/>
    <col min="8" max="8" width="2.7109375" style="59" hidden="1" customWidth="1"/>
    <col min="9" max="9" width="9.85546875" style="59" hidden="1" customWidth="1"/>
    <col min="10" max="10" width="10.28515625" style="59" hidden="1" customWidth="1"/>
    <col min="11" max="11" width="2.7109375" style="59" hidden="1" customWidth="1"/>
    <col min="12" max="12" width="9.85546875" style="59" hidden="1" customWidth="1"/>
    <col min="13" max="13" width="10.28515625" style="59" hidden="1" customWidth="1"/>
    <col min="14" max="14" width="2.7109375" style="59" hidden="1" customWidth="1"/>
    <col min="15" max="15" width="10.5703125" style="59" bestFit="1" customWidth="1"/>
    <col min="16" max="16" width="12.7109375" style="59" bestFit="1" customWidth="1"/>
    <col min="17" max="17" width="2.7109375" style="59" customWidth="1"/>
    <col min="18" max="18" width="13.85546875" style="59" bestFit="1" customWidth="1"/>
    <col min="19" max="19" width="16" style="59" bestFit="1" customWidth="1"/>
    <col min="20" max="20" width="2.7109375" style="59" customWidth="1"/>
    <col min="21" max="21" width="13.85546875" style="59" bestFit="1" customWidth="1"/>
    <col min="22" max="22" width="16" style="59" bestFit="1" customWidth="1"/>
    <col min="23" max="23" width="16.42578125" style="59" bestFit="1" customWidth="1"/>
    <col min="24" max="24" width="17.140625" style="59" bestFit="1" customWidth="1"/>
    <col min="25" max="25" width="2.7109375" style="59" customWidth="1"/>
    <col min="26" max="26" width="11.140625" style="59" bestFit="1" customWidth="1"/>
    <col min="27" max="27" width="2.7109375" style="59" customWidth="1"/>
    <col min="28" max="28" width="11.5703125" style="59" bestFit="1" customWidth="1"/>
    <col min="29" max="29" width="17.140625" style="60" bestFit="1" customWidth="1"/>
    <col min="30" max="16384" width="10.42578125" style="59"/>
  </cols>
  <sheetData>
    <row r="1" spans="1:30" ht="15" customHeight="1" x14ac:dyDescent="0.2">
      <c r="A1" s="122" t="s">
        <v>509</v>
      </c>
      <c r="B1" s="119" t="s">
        <v>508</v>
      </c>
      <c r="C1" s="120" t="s">
        <v>507</v>
      </c>
      <c r="D1" s="121" t="s">
        <v>506</v>
      </c>
      <c r="E1" s="118"/>
      <c r="F1" s="120" t="s">
        <v>505</v>
      </c>
      <c r="G1" s="119" t="s">
        <v>504</v>
      </c>
      <c r="H1" s="118"/>
      <c r="I1" s="120" t="s">
        <v>503</v>
      </c>
      <c r="J1" s="119" t="s">
        <v>502</v>
      </c>
      <c r="K1" s="118"/>
      <c r="L1" s="120" t="s">
        <v>501</v>
      </c>
      <c r="M1" s="119" t="s">
        <v>500</v>
      </c>
      <c r="N1" s="118"/>
      <c r="O1" s="120" t="s">
        <v>499</v>
      </c>
      <c r="P1" s="119" t="s">
        <v>498</v>
      </c>
      <c r="Q1" s="118"/>
      <c r="R1" s="120" t="s">
        <v>497</v>
      </c>
      <c r="S1" s="119" t="s">
        <v>496</v>
      </c>
      <c r="T1" s="118"/>
      <c r="U1" s="120" t="s">
        <v>495</v>
      </c>
      <c r="V1" s="119" t="s">
        <v>494</v>
      </c>
      <c r="W1" s="119" t="s">
        <v>493</v>
      </c>
      <c r="X1" s="119" t="s">
        <v>492</v>
      </c>
      <c r="Y1" s="118"/>
      <c r="Z1" s="117" t="s">
        <v>491</v>
      </c>
      <c r="AB1" s="116" t="s">
        <v>490</v>
      </c>
      <c r="AC1" s="116" t="s">
        <v>489</v>
      </c>
    </row>
    <row r="2" spans="1:30" x14ac:dyDescent="0.2">
      <c r="A2" s="122"/>
      <c r="B2" s="119"/>
      <c r="C2" s="120"/>
      <c r="D2" s="121"/>
      <c r="E2" s="118"/>
      <c r="F2" s="120"/>
      <c r="G2" s="119"/>
      <c r="H2" s="118"/>
      <c r="I2" s="120"/>
      <c r="J2" s="119"/>
      <c r="K2" s="118"/>
      <c r="L2" s="120"/>
      <c r="M2" s="119"/>
      <c r="N2" s="118"/>
      <c r="O2" s="120"/>
      <c r="P2" s="119"/>
      <c r="Q2" s="118"/>
      <c r="R2" s="120"/>
      <c r="S2" s="119"/>
      <c r="T2" s="118"/>
      <c r="U2" s="120"/>
      <c r="V2" s="119"/>
      <c r="W2" s="119"/>
      <c r="X2" s="119"/>
      <c r="Y2" s="118"/>
      <c r="Z2" s="117"/>
      <c r="AB2" s="116"/>
      <c r="AC2" s="116"/>
    </row>
    <row r="3" spans="1:30" s="111" customFormat="1" x14ac:dyDescent="0.2">
      <c r="A3" s="115"/>
      <c r="B3" s="113"/>
      <c r="C3" s="113"/>
      <c r="D3" s="114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AA3" s="112"/>
    </row>
    <row r="4" spans="1:30" ht="15" customHeight="1" x14ac:dyDescent="0.2">
      <c r="A4" s="102" t="s">
        <v>488</v>
      </c>
      <c r="B4" s="101" t="s">
        <v>487</v>
      </c>
      <c r="C4" s="101"/>
      <c r="D4" s="105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AA4" s="103"/>
    </row>
    <row r="5" spans="1:30" ht="15" customHeight="1" x14ac:dyDescent="0.2">
      <c r="A5" s="88" t="s">
        <v>486</v>
      </c>
      <c r="B5" s="87" t="s">
        <v>485</v>
      </c>
      <c r="C5" s="108">
        <f>+(C13*0.03)+((C26+C27)*0.05)+(C29*0.2)</f>
        <v>20503.170000000002</v>
      </c>
      <c r="D5" s="82">
        <f>+(D13*0.03)+((D26+D27)*0.05)+(D29*0.2)</f>
        <v>13316.376</v>
      </c>
      <c r="E5" s="87"/>
      <c r="F5" s="108">
        <f>+(F13*0.03)+((F26+F27)*0.05)+(F29*0.2)</f>
        <v>27485.486000000001</v>
      </c>
      <c r="G5" s="108">
        <f>+(G13*0.03)+((G26+G27)*0.05)+(G29*0.2)</f>
        <v>29198.696000000004</v>
      </c>
      <c r="H5" s="87"/>
      <c r="I5" s="108">
        <f>+(I13*0.03)+((I26+I27)*0.05)+(I29*0.2)</f>
        <v>13753.183000000001</v>
      </c>
      <c r="J5" s="108">
        <f>+(J13*0.03)+((J26+J27)*0.05)+(J29*0.2)</f>
        <v>12399.338</v>
      </c>
      <c r="K5" s="87"/>
      <c r="L5" s="108">
        <f>+(L13*0.03)+((L26+L27)*0.05)+(L29*0.2)</f>
        <v>12053.727999999999</v>
      </c>
      <c r="M5" s="108">
        <f>+(M13*0.03)+((M26+M27)*0.05)+(M29*0.2)</f>
        <v>22637.027999999998</v>
      </c>
      <c r="N5" s="87"/>
      <c r="O5" s="108">
        <f>+(O13*0.03)+((O26+O27)*0.05)+(O29*0.2)</f>
        <v>15259.528</v>
      </c>
      <c r="P5" s="108">
        <f>+(P13*0.03)+((P26+P27)*0.05)+(P29*0.2)</f>
        <v>17632.834000000003</v>
      </c>
      <c r="Q5" s="87"/>
      <c r="R5" s="108">
        <f>+(R13*0.03)+((R26+R27)*0.05)+(R29*0.2)</f>
        <v>17545.784</v>
      </c>
      <c r="S5" s="108">
        <f>+(S13*0.03)+((S26+S27)*0.05)+(S29*0.2)</f>
        <v>18799.440000000002</v>
      </c>
      <c r="T5" s="87"/>
      <c r="U5" s="108">
        <f>+(U13*0.03)+((U26+U27)*0.05)+(U29*0.2)</f>
        <v>24444.164000000001</v>
      </c>
      <c r="V5" s="108">
        <f>+(V13*0.03)+((V26+V27)*0.05)+(V29*0.2)</f>
        <v>21727.796000000002</v>
      </c>
      <c r="W5" s="86">
        <f>+C5+F5+I5+L5+O5+R5+U5</f>
        <v>131045.04300000002</v>
      </c>
      <c r="X5" s="86">
        <f>+D5+G5+J5+M5+P5+S5+V5</f>
        <v>135711.508</v>
      </c>
      <c r="Y5" s="87"/>
      <c r="Z5" s="108">
        <f>+(Z13*0.03)+((Z26+Z27)*0.05)+(Z29*0.2)</f>
        <v>203871.1</v>
      </c>
      <c r="AA5" s="109"/>
      <c r="AB5" s="108"/>
      <c r="AC5" s="107">
        <f>+Z5</f>
        <v>203871.1</v>
      </c>
    </row>
    <row r="6" spans="1:30" ht="15" customHeight="1" x14ac:dyDescent="0.2">
      <c r="A6" s="88">
        <v>3200750</v>
      </c>
      <c r="B6" s="87" t="s">
        <v>7</v>
      </c>
      <c r="C6" s="108">
        <f>+C15*0.5</f>
        <v>0</v>
      </c>
      <c r="D6" s="82">
        <f>+D15*0.5</f>
        <v>0</v>
      </c>
      <c r="E6" s="87"/>
      <c r="F6" s="108">
        <f>+F15*0.5</f>
        <v>9026.5</v>
      </c>
      <c r="G6" s="108">
        <f>+G15*0.5</f>
        <v>7500</v>
      </c>
      <c r="H6" s="87"/>
      <c r="I6" s="108">
        <f>+I15*0.5</f>
        <v>22618.404999999999</v>
      </c>
      <c r="J6" s="108">
        <f>+J15*0.5</f>
        <v>20000</v>
      </c>
      <c r="K6" s="87"/>
      <c r="L6" s="108">
        <f>+L15*0.5</f>
        <v>42009.845000000001</v>
      </c>
      <c r="M6" s="108">
        <f>+M15*0.5</f>
        <v>27500</v>
      </c>
      <c r="N6" s="87"/>
      <c r="O6" s="108">
        <f>+O15*0.5</f>
        <v>56070.65</v>
      </c>
      <c r="P6" s="108">
        <f>+P15*0.5</f>
        <v>60000</v>
      </c>
      <c r="Q6" s="87"/>
      <c r="R6" s="108">
        <f>+R15*0.5</f>
        <v>53556.800000000003</v>
      </c>
      <c r="S6" s="108">
        <f>+S15*0.5</f>
        <v>55000</v>
      </c>
      <c r="T6" s="87"/>
      <c r="U6" s="108">
        <f>+U15*0.5</f>
        <v>24364.334999999999</v>
      </c>
      <c r="V6" s="108">
        <f>+V15*0.5</f>
        <v>55000</v>
      </c>
      <c r="W6" s="86">
        <f>+C6+F6+I6+L6+O6+R6+U6</f>
        <v>207646.535</v>
      </c>
      <c r="X6" s="86">
        <f>+D6+G6+J6+M6+P6+S6+V6</f>
        <v>225000</v>
      </c>
      <c r="Y6" s="87"/>
      <c r="Z6" s="108">
        <f>+Z15*0.5</f>
        <v>250000</v>
      </c>
      <c r="AA6" s="109"/>
      <c r="AB6" s="108"/>
      <c r="AC6" s="107">
        <f>+Z6</f>
        <v>250000</v>
      </c>
    </row>
    <row r="7" spans="1:30" ht="15" customHeight="1" x14ac:dyDescent="0.2">
      <c r="A7" s="88" t="s">
        <v>484</v>
      </c>
      <c r="B7" s="87" t="s">
        <v>17</v>
      </c>
      <c r="C7" s="108">
        <f>+C13*0.05</f>
        <v>0</v>
      </c>
      <c r="D7" s="82">
        <f>+D13*0.05</f>
        <v>0</v>
      </c>
      <c r="E7" s="87"/>
      <c r="F7" s="108">
        <f>+F13*0.05</f>
        <v>5080.5</v>
      </c>
      <c r="G7" s="108">
        <f>+G13*0.05</f>
        <v>2250</v>
      </c>
      <c r="H7" s="87"/>
      <c r="I7" s="108">
        <f>+I13*0.05</f>
        <v>7963.875</v>
      </c>
      <c r="J7" s="108">
        <f>+J13*0.05</f>
        <v>2750</v>
      </c>
      <c r="K7" s="87"/>
      <c r="L7" s="108">
        <f>+L13*0.05</f>
        <v>4553.625</v>
      </c>
      <c r="M7" s="108">
        <f>+M13*0.05</f>
        <v>1750</v>
      </c>
      <c r="N7" s="87"/>
      <c r="O7" s="108">
        <f>+O13*0.05</f>
        <v>4824.75</v>
      </c>
      <c r="P7" s="108">
        <f>+P13*0.05</f>
        <v>2000</v>
      </c>
      <c r="Q7" s="87"/>
      <c r="R7" s="108">
        <f>+R13*0.05</f>
        <v>2988</v>
      </c>
      <c r="S7" s="108">
        <f>+S13*0.05</f>
        <v>1250</v>
      </c>
      <c r="T7" s="87"/>
      <c r="U7" s="108">
        <f>+U13*0.05</f>
        <v>3882.3</v>
      </c>
      <c r="V7" s="108">
        <f>+V13*0.05</f>
        <v>2750</v>
      </c>
      <c r="W7" s="86">
        <f>+C7+F7+I7+L7+O7+R7+U7</f>
        <v>29293.05</v>
      </c>
      <c r="X7" s="86">
        <f>+D7+G7+J7+M7+P7+S7+V7</f>
        <v>12750</v>
      </c>
      <c r="Y7" s="87"/>
      <c r="Z7" s="108">
        <f>+Z13*0.05</f>
        <v>25000</v>
      </c>
      <c r="AA7" s="109"/>
      <c r="AB7" s="108"/>
      <c r="AC7" s="107">
        <f>+Z7</f>
        <v>25000</v>
      </c>
    </row>
    <row r="8" spans="1:30" ht="15" customHeight="1" x14ac:dyDescent="0.2">
      <c r="A8" s="88"/>
      <c r="B8" s="87"/>
      <c r="C8" s="87"/>
      <c r="D8" s="110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108"/>
      <c r="AA8" s="109"/>
      <c r="AB8" s="108"/>
      <c r="AC8" s="107"/>
    </row>
    <row r="9" spans="1:30" ht="15" customHeight="1" x14ac:dyDescent="0.2">
      <c r="A9" s="81" t="s">
        <v>105</v>
      </c>
      <c r="B9" s="80" t="s">
        <v>483</v>
      </c>
      <c r="C9" s="106">
        <f>SUM(C5:C7)</f>
        <v>20503.170000000002</v>
      </c>
      <c r="D9" s="79">
        <f>SUM(D5:D7)</f>
        <v>13316.376</v>
      </c>
      <c r="E9" s="80"/>
      <c r="F9" s="106">
        <f>SUM(F5:F7)</f>
        <v>41592.486000000004</v>
      </c>
      <c r="G9" s="106">
        <f>SUM(G5:G7)</f>
        <v>38948.696000000004</v>
      </c>
      <c r="H9" s="80"/>
      <c r="I9" s="106">
        <f>SUM(I5:I7)</f>
        <v>44335.463000000003</v>
      </c>
      <c r="J9" s="106">
        <f>SUM(J5:J7)</f>
        <v>35149.338000000003</v>
      </c>
      <c r="K9" s="80"/>
      <c r="L9" s="106">
        <f>SUM(L5:L7)</f>
        <v>58617.198000000004</v>
      </c>
      <c r="M9" s="106">
        <f>SUM(M5:M7)</f>
        <v>51887.027999999998</v>
      </c>
      <c r="N9" s="80"/>
      <c r="O9" s="106">
        <f>SUM(O5:O7)</f>
        <v>76154.928</v>
      </c>
      <c r="P9" s="106">
        <f>SUM(P5:P7)</f>
        <v>79632.834000000003</v>
      </c>
      <c r="Q9" s="80"/>
      <c r="R9" s="106">
        <f>SUM(R5:R7)</f>
        <v>74090.584000000003</v>
      </c>
      <c r="S9" s="106">
        <f>SUM(S5:S7)</f>
        <v>75049.440000000002</v>
      </c>
      <c r="T9" s="80"/>
      <c r="U9" s="106">
        <f>SUM(U5:U7)</f>
        <v>52690.798999999999</v>
      </c>
      <c r="V9" s="106">
        <f>SUM(V5:V7)</f>
        <v>79477.796000000002</v>
      </c>
      <c r="W9" s="106">
        <f>SUM(W5:W7)</f>
        <v>367984.62800000003</v>
      </c>
      <c r="X9" s="106">
        <f>SUM(X5:X7)</f>
        <v>373461.50800000003</v>
      </c>
      <c r="Y9" s="80"/>
      <c r="Z9" s="106">
        <f>SUM(Z5:Z7)</f>
        <v>478871.1</v>
      </c>
      <c r="AA9" s="103"/>
      <c r="AB9" s="106">
        <f>SUM(AB5:AB7)</f>
        <v>0</v>
      </c>
      <c r="AC9" s="106">
        <f>SUM(AC5:AC7)</f>
        <v>478871.1</v>
      </c>
      <c r="AD9" s="68"/>
    </row>
    <row r="10" spans="1:30" ht="15" customHeight="1" x14ac:dyDescent="0.2">
      <c r="AA10" s="103"/>
      <c r="AD10" s="68"/>
    </row>
    <row r="11" spans="1:30" x14ac:dyDescent="0.2">
      <c r="A11" s="102" t="s">
        <v>482</v>
      </c>
      <c r="B11" s="101" t="s">
        <v>39</v>
      </c>
      <c r="C11" s="101"/>
      <c r="D11" s="105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59" t="s">
        <v>46</v>
      </c>
      <c r="AA11" s="103"/>
      <c r="AB11" s="59" t="s">
        <v>46</v>
      </c>
      <c r="AC11" s="60" t="s">
        <v>46</v>
      </c>
      <c r="AD11" s="68"/>
    </row>
    <row r="12" spans="1:30" ht="15" customHeight="1" x14ac:dyDescent="0.2">
      <c r="A12" s="91" t="s">
        <v>481</v>
      </c>
      <c r="B12" s="90" t="s">
        <v>480</v>
      </c>
      <c r="C12" s="90"/>
      <c r="D12" s="104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AA12" s="103"/>
      <c r="AD12" s="68"/>
    </row>
    <row r="13" spans="1:30" x14ac:dyDescent="0.2">
      <c r="A13" s="88" t="s">
        <v>479</v>
      </c>
      <c r="B13" s="87" t="s">
        <v>45</v>
      </c>
      <c r="C13" s="85">
        <v>0</v>
      </c>
      <c r="D13" s="85"/>
      <c r="E13" s="85"/>
      <c r="F13" s="85">
        <v>101610</v>
      </c>
      <c r="G13" s="85">
        <v>45000</v>
      </c>
      <c r="H13" s="85"/>
      <c r="I13" s="85">
        <v>159277.5</v>
      </c>
      <c r="J13" s="85">
        <v>55000</v>
      </c>
      <c r="K13" s="85"/>
      <c r="L13" s="85">
        <v>91072.5</v>
      </c>
      <c r="M13" s="85">
        <v>35000</v>
      </c>
      <c r="N13" s="85"/>
      <c r="O13" s="85">
        <v>96495</v>
      </c>
      <c r="P13" s="85">
        <v>40000</v>
      </c>
      <c r="Q13" s="85"/>
      <c r="R13" s="85">
        <v>59760</v>
      </c>
      <c r="S13" s="85">
        <v>25000</v>
      </c>
      <c r="T13" s="85"/>
      <c r="U13" s="85">
        <v>77646</v>
      </c>
      <c r="V13" s="85">
        <v>55000</v>
      </c>
      <c r="W13" s="86">
        <f>+C13+F13+I13+L13+O13+R13+U13</f>
        <v>585861</v>
      </c>
      <c r="X13" s="86">
        <f>+D13+G13+J13+M13+P13+S13+V13</f>
        <v>255000</v>
      </c>
      <c r="Y13" s="85"/>
      <c r="Z13" s="82">
        <v>500000</v>
      </c>
      <c r="AA13" s="70"/>
      <c r="AB13" s="82">
        <f>+Z13*0.92</f>
        <v>460000</v>
      </c>
      <c r="AC13" s="82">
        <f>+Z13-AB13</f>
        <v>40000</v>
      </c>
      <c r="AD13" s="68"/>
    </row>
    <row r="14" spans="1:30" x14ac:dyDescent="0.2">
      <c r="A14" s="88" t="s">
        <v>478</v>
      </c>
      <c r="B14" s="87" t="s">
        <v>477</v>
      </c>
      <c r="C14" s="85">
        <v>47863.86</v>
      </c>
      <c r="D14" s="85">
        <v>52500</v>
      </c>
      <c r="E14" s="85"/>
      <c r="F14" s="85">
        <v>21070.57</v>
      </c>
      <c r="G14" s="85">
        <v>7500</v>
      </c>
      <c r="H14" s="85"/>
      <c r="I14" s="85">
        <v>7132.76</v>
      </c>
      <c r="J14" s="85"/>
      <c r="K14" s="85"/>
      <c r="L14" s="85">
        <v>834.9</v>
      </c>
      <c r="M14" s="85">
        <v>0</v>
      </c>
      <c r="N14" s="85"/>
      <c r="O14" s="85">
        <v>1452.22</v>
      </c>
      <c r="P14" s="85">
        <v>7500</v>
      </c>
      <c r="Q14" s="85"/>
      <c r="R14" s="85">
        <v>19693.79</v>
      </c>
      <c r="S14" s="85">
        <v>15000</v>
      </c>
      <c r="T14" s="85"/>
      <c r="U14" s="85">
        <v>663599.88</v>
      </c>
      <c r="V14" s="85">
        <v>532500</v>
      </c>
      <c r="W14" s="86">
        <f>+C14+F14+I14+L14+O14+R14+U14</f>
        <v>761647.98</v>
      </c>
      <c r="X14" s="86">
        <f>+D14+G14+J14+M14+P14+S14+V14</f>
        <v>615000</v>
      </c>
      <c r="Y14" s="85"/>
      <c r="Z14" s="82">
        <v>750000</v>
      </c>
      <c r="AA14" s="70"/>
      <c r="AB14" s="82">
        <f>+Z14</f>
        <v>750000</v>
      </c>
      <c r="AC14" s="82"/>
      <c r="AD14" s="68"/>
    </row>
    <row r="15" spans="1:30" x14ac:dyDescent="0.2">
      <c r="A15" s="88" t="s">
        <v>476</v>
      </c>
      <c r="B15" s="87" t="s">
        <v>48</v>
      </c>
      <c r="C15" s="85"/>
      <c r="D15" s="85"/>
      <c r="E15" s="85"/>
      <c r="F15" s="85">
        <v>18053</v>
      </c>
      <c r="G15" s="85">
        <v>15000</v>
      </c>
      <c r="H15" s="85"/>
      <c r="I15" s="85">
        <v>45236.81</v>
      </c>
      <c r="J15" s="85">
        <v>40000</v>
      </c>
      <c r="K15" s="85"/>
      <c r="L15" s="85">
        <v>84019.69</v>
      </c>
      <c r="M15" s="85">
        <v>55000</v>
      </c>
      <c r="N15" s="85"/>
      <c r="O15" s="85">
        <v>112141.3</v>
      </c>
      <c r="P15" s="85">
        <v>120000</v>
      </c>
      <c r="Q15" s="85"/>
      <c r="R15" s="85">
        <v>107113.60000000001</v>
      </c>
      <c r="S15" s="85">
        <v>110000</v>
      </c>
      <c r="T15" s="85"/>
      <c r="U15" s="85">
        <v>48728.67</v>
      </c>
      <c r="V15" s="85">
        <v>110000</v>
      </c>
      <c r="W15" s="86">
        <f>+C15+F15+I15+L15+O15+R15+U15</f>
        <v>415293.07</v>
      </c>
      <c r="X15" s="86">
        <f>+D15+G15+J15+M15+P15+S15+V15</f>
        <v>450000</v>
      </c>
      <c r="Y15" s="85"/>
      <c r="Z15" s="82">
        <v>500000</v>
      </c>
      <c r="AA15" s="70"/>
      <c r="AB15" s="82">
        <f>+Z15*0.5</f>
        <v>250000</v>
      </c>
      <c r="AC15" s="82">
        <f>+Z15-AB15</f>
        <v>250000</v>
      </c>
      <c r="AD15" s="68"/>
    </row>
    <row r="16" spans="1:30" x14ac:dyDescent="0.2">
      <c r="A16" s="88" t="s">
        <v>475</v>
      </c>
      <c r="B16" s="87" t="s">
        <v>474</v>
      </c>
      <c r="C16" s="85"/>
      <c r="D16" s="85"/>
      <c r="E16" s="85"/>
      <c r="F16" s="85">
        <v>11719.69</v>
      </c>
      <c r="G16" s="85">
        <v>12500</v>
      </c>
      <c r="H16" s="85"/>
      <c r="I16" s="85"/>
      <c r="J16" s="85"/>
      <c r="K16" s="85"/>
      <c r="L16" s="85">
        <v>0</v>
      </c>
      <c r="M16" s="85">
        <v>0</v>
      </c>
      <c r="N16" s="85"/>
      <c r="O16" s="85">
        <v>13586.46</v>
      </c>
      <c r="P16" s="85">
        <v>12500</v>
      </c>
      <c r="Q16" s="85"/>
      <c r="R16" s="85">
        <v>0</v>
      </c>
      <c r="S16" s="85">
        <v>0</v>
      </c>
      <c r="T16" s="85"/>
      <c r="U16" s="85">
        <v>0</v>
      </c>
      <c r="V16" s="85">
        <v>0</v>
      </c>
      <c r="W16" s="86">
        <f>+C16+F16+I16+L16+O16+R16+U16</f>
        <v>25306.15</v>
      </c>
      <c r="X16" s="86">
        <f>+D16+G16+J16+M16+P16+S16+V16</f>
        <v>25000</v>
      </c>
      <c r="Y16" s="85"/>
      <c r="Z16" s="82">
        <v>50000</v>
      </c>
      <c r="AA16" s="70"/>
      <c r="AB16" s="82">
        <f>+Z16</f>
        <v>50000</v>
      </c>
      <c r="AC16" s="82"/>
      <c r="AD16" s="68"/>
    </row>
    <row r="17" spans="1:30" x14ac:dyDescent="0.2">
      <c r="A17" s="88" t="s">
        <v>473</v>
      </c>
      <c r="B17" s="87" t="s">
        <v>472</v>
      </c>
      <c r="C17" s="85"/>
      <c r="D17" s="85"/>
      <c r="E17" s="85"/>
      <c r="F17" s="85"/>
      <c r="G17" s="85"/>
      <c r="H17" s="85"/>
      <c r="I17" s="85"/>
      <c r="J17" s="85"/>
      <c r="K17" s="85"/>
      <c r="L17" s="85">
        <v>42500</v>
      </c>
      <c r="M17" s="85">
        <v>42500</v>
      </c>
      <c r="N17" s="85"/>
      <c r="O17" s="85">
        <v>42500</v>
      </c>
      <c r="P17" s="85">
        <v>42500</v>
      </c>
      <c r="Q17" s="85"/>
      <c r="R17" s="85">
        <v>0</v>
      </c>
      <c r="S17" s="85">
        <v>0</v>
      </c>
      <c r="T17" s="85"/>
      <c r="U17" s="85">
        <v>0</v>
      </c>
      <c r="V17" s="85">
        <v>0</v>
      </c>
      <c r="W17" s="86">
        <f>+C17+F17+I17+L17+O17+R17+U17</f>
        <v>85000</v>
      </c>
      <c r="X17" s="86">
        <f>+D17+G17+J17+M17+P17+S17+V17</f>
        <v>85000</v>
      </c>
      <c r="Y17" s="85"/>
      <c r="Z17" s="82">
        <v>85000</v>
      </c>
      <c r="AA17" s="70"/>
      <c r="AB17" s="82">
        <f>+Z17</f>
        <v>85000</v>
      </c>
      <c r="AC17" s="82"/>
      <c r="AD17" s="68"/>
    </row>
    <row r="18" spans="1:30" x14ac:dyDescent="0.2">
      <c r="A18" s="88"/>
      <c r="B18" s="87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2"/>
      <c r="AA18" s="70"/>
      <c r="AB18" s="82"/>
      <c r="AC18" s="82"/>
      <c r="AD18" s="68"/>
    </row>
    <row r="19" spans="1:30" x14ac:dyDescent="0.2">
      <c r="A19" s="81" t="s">
        <v>105</v>
      </c>
      <c r="B19" s="80" t="s">
        <v>471</v>
      </c>
      <c r="C19" s="79">
        <f>SUM(C13:C18)</f>
        <v>47863.86</v>
      </c>
      <c r="D19" s="79">
        <f>SUM(D13:D18)</f>
        <v>52500</v>
      </c>
      <c r="E19" s="76"/>
      <c r="F19" s="79">
        <f>SUM(F13:F18)</f>
        <v>152453.26</v>
      </c>
      <c r="G19" s="79">
        <f>SUM(G13:G18)</f>
        <v>80000</v>
      </c>
      <c r="H19" s="76"/>
      <c r="I19" s="79">
        <f>SUM(I13:I18)</f>
        <v>211647.07</v>
      </c>
      <c r="J19" s="79">
        <f>SUM(J13:J18)</f>
        <v>95000</v>
      </c>
      <c r="K19" s="76"/>
      <c r="L19" s="79">
        <f>SUM(L13:L18)</f>
        <v>218427.09</v>
      </c>
      <c r="M19" s="79">
        <f>SUM(M13:M18)</f>
        <v>132500</v>
      </c>
      <c r="N19" s="76"/>
      <c r="O19" s="79">
        <f>SUM(O13:O18)</f>
        <v>266174.98</v>
      </c>
      <c r="P19" s="79">
        <f>SUM(P13:P18)</f>
        <v>222500</v>
      </c>
      <c r="Q19" s="76"/>
      <c r="R19" s="79">
        <f>SUM(R13:R18)</f>
        <v>186567.39</v>
      </c>
      <c r="S19" s="79">
        <f>SUM(S13:S18)</f>
        <v>150000</v>
      </c>
      <c r="T19" s="76"/>
      <c r="U19" s="79">
        <f>SUM(U13:U18)</f>
        <v>789974.55</v>
      </c>
      <c r="V19" s="79">
        <f>SUM(V13:V18)</f>
        <v>697500</v>
      </c>
      <c r="W19" s="79">
        <f>SUM(W13:W18)</f>
        <v>1873108.2</v>
      </c>
      <c r="X19" s="79">
        <f>SUM(X13:X18)</f>
        <v>1430000</v>
      </c>
      <c r="Y19" s="76"/>
      <c r="Z19" s="79">
        <f>SUM(Z13:Z18)</f>
        <v>1885000</v>
      </c>
      <c r="AA19" s="70"/>
      <c r="AB19" s="79">
        <f>SUM(AB13:AB18)</f>
        <v>1595000</v>
      </c>
      <c r="AC19" s="79">
        <f>SUM(AC13:AC18)</f>
        <v>290000</v>
      </c>
      <c r="AD19" s="68"/>
    </row>
    <row r="20" spans="1:30" x14ac:dyDescent="0.2"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70"/>
      <c r="AB20" s="67"/>
      <c r="AC20" s="74"/>
      <c r="AD20" s="68"/>
    </row>
    <row r="21" spans="1:30" x14ac:dyDescent="0.2">
      <c r="A21" s="91" t="s">
        <v>470</v>
      </c>
      <c r="B21" s="90" t="s">
        <v>469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67"/>
      <c r="AA21" s="70"/>
      <c r="AB21" s="67"/>
      <c r="AC21" s="74"/>
      <c r="AD21" s="68"/>
    </row>
    <row r="22" spans="1:30" x14ac:dyDescent="0.2">
      <c r="A22" s="88" t="s">
        <v>468</v>
      </c>
      <c r="B22" s="87" t="s">
        <v>467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>
        <f>+C22+F22+I22+L22+O22+R22+U22</f>
        <v>0</v>
      </c>
      <c r="X22" s="86">
        <f>+D22+G22+J22+M22+P22+S22+V22</f>
        <v>0</v>
      </c>
      <c r="Y22" s="85"/>
      <c r="Z22" s="82"/>
      <c r="AA22" s="70"/>
      <c r="AB22" s="82">
        <f>+Z22</f>
        <v>0</v>
      </c>
      <c r="AC22" s="82"/>
      <c r="AD22" s="68"/>
    </row>
    <row r="23" spans="1:30" x14ac:dyDescent="0.2">
      <c r="A23" s="88" t="s">
        <v>466</v>
      </c>
      <c r="B23" s="87" t="s">
        <v>465</v>
      </c>
      <c r="C23" s="85">
        <f>69015+188</f>
        <v>69203</v>
      </c>
      <c r="D23" s="85">
        <v>69397.350000000006</v>
      </c>
      <c r="E23" s="85"/>
      <c r="F23" s="85">
        <v>36975</v>
      </c>
      <c r="G23" s="85">
        <v>29020.71</v>
      </c>
      <c r="H23" s="85"/>
      <c r="I23" s="85">
        <v>9157</v>
      </c>
      <c r="J23" s="85">
        <v>12617.7</v>
      </c>
      <c r="K23" s="85"/>
      <c r="L23" s="85">
        <v>7747</v>
      </c>
      <c r="M23" s="85">
        <v>3785.31</v>
      </c>
      <c r="N23" s="85"/>
      <c r="O23" s="85">
        <v>4353</v>
      </c>
      <c r="P23" s="85">
        <v>2523.54</v>
      </c>
      <c r="Q23" s="85"/>
      <c r="R23" s="85">
        <v>579</v>
      </c>
      <c r="S23" s="85">
        <v>1261.77</v>
      </c>
      <c r="T23" s="85"/>
      <c r="U23" s="85">
        <v>1594</v>
      </c>
      <c r="V23" s="85">
        <v>1261.77</v>
      </c>
      <c r="W23" s="86">
        <f>+C23+F23+I23+L23+O23+R23+U23</f>
        <v>129608</v>
      </c>
      <c r="X23" s="86">
        <f>+D23+G23+J23+M23+P23+S23+V23</f>
        <v>119868.15</v>
      </c>
      <c r="Y23" s="85"/>
      <c r="Z23" s="82">
        <v>126177</v>
      </c>
      <c r="AA23" s="70"/>
      <c r="AB23" s="82">
        <f>+Z23</f>
        <v>126177</v>
      </c>
      <c r="AC23" s="82"/>
      <c r="AD23" s="68"/>
    </row>
    <row r="24" spans="1:30" x14ac:dyDescent="0.2">
      <c r="A24" s="88" t="s">
        <v>464</v>
      </c>
      <c r="B24" s="87" t="s">
        <v>463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>
        <v>0</v>
      </c>
      <c r="S24" s="85">
        <v>0</v>
      </c>
      <c r="T24" s="85"/>
      <c r="U24" s="85"/>
      <c r="V24" s="85"/>
      <c r="W24" s="86">
        <f>+C24+F24+I24+L24+O24+R24+U24</f>
        <v>0</v>
      </c>
      <c r="X24" s="86">
        <f>+D24+G24+J24+M24+P24+S24+V24</f>
        <v>0</v>
      </c>
      <c r="Y24" s="85"/>
      <c r="Z24" s="82">
        <v>0</v>
      </c>
      <c r="AA24" s="70"/>
      <c r="AB24" s="82">
        <f>+Z24</f>
        <v>0</v>
      </c>
      <c r="AC24" s="82"/>
      <c r="AD24" s="68"/>
    </row>
    <row r="25" spans="1:30" x14ac:dyDescent="0.2">
      <c r="A25" s="88" t="s">
        <v>462</v>
      </c>
      <c r="B25" s="87" t="s">
        <v>461</v>
      </c>
      <c r="C25" s="85">
        <v>90079.679999999993</v>
      </c>
      <c r="D25" s="85">
        <v>138827.15</v>
      </c>
      <c r="E25" s="85"/>
      <c r="F25" s="85">
        <f>503+154389.32</f>
        <v>154892.32</v>
      </c>
      <c r="G25" s="85">
        <v>99162.25</v>
      </c>
      <c r="H25" s="85"/>
      <c r="I25" s="85">
        <v>14266</v>
      </c>
      <c r="J25" s="85">
        <v>31731.919999999998</v>
      </c>
      <c r="K25" s="85"/>
      <c r="L25" s="85">
        <v>14076</v>
      </c>
      <c r="M25" s="85">
        <v>11899.47</v>
      </c>
      <c r="N25" s="85"/>
      <c r="O25" s="85">
        <v>7894</v>
      </c>
      <c r="P25" s="85">
        <v>7932.98</v>
      </c>
      <c r="Q25" s="85"/>
      <c r="R25" s="85">
        <v>8458</v>
      </c>
      <c r="S25" s="85">
        <v>11899.47</v>
      </c>
      <c r="T25" s="85"/>
      <c r="U25" s="85">
        <v>6318</v>
      </c>
      <c r="V25" s="85">
        <v>7932.98</v>
      </c>
      <c r="W25" s="86">
        <f>+C25+F25+I25+L25+O25+R25+U25</f>
        <v>295984</v>
      </c>
      <c r="X25" s="86">
        <f>+D25+G25+J25+M25+P25+S25+V25</f>
        <v>309386.21999999991</v>
      </c>
      <c r="Y25" s="85"/>
      <c r="Z25" s="82">
        <v>396649</v>
      </c>
      <c r="AA25" s="70"/>
      <c r="AB25" s="82">
        <f>+Z25</f>
        <v>396649</v>
      </c>
      <c r="AC25" s="82"/>
      <c r="AD25" s="68"/>
    </row>
    <row r="26" spans="1:30" x14ac:dyDescent="0.2">
      <c r="A26" s="88" t="s">
        <v>460</v>
      </c>
      <c r="B26" s="87" t="s">
        <v>459</v>
      </c>
      <c r="C26" s="85">
        <v>89985</v>
      </c>
      <c r="D26" s="85">
        <v>74398</v>
      </c>
      <c r="E26" s="85"/>
      <c r="F26" s="85">
        <v>307603</v>
      </c>
      <c r="G26" s="85">
        <v>323269</v>
      </c>
      <c r="H26" s="85"/>
      <c r="I26" s="85">
        <v>55855</v>
      </c>
      <c r="J26" s="85">
        <v>55000</v>
      </c>
      <c r="K26" s="85"/>
      <c r="L26" s="85">
        <v>21500</v>
      </c>
      <c r="M26" s="85">
        <v>44670</v>
      </c>
      <c r="N26" s="85"/>
      <c r="O26" s="85">
        <v>2550</v>
      </c>
      <c r="P26" s="85">
        <v>0</v>
      </c>
      <c r="Q26" s="85"/>
      <c r="R26" s="85">
        <v>-75</v>
      </c>
      <c r="S26" s="85">
        <v>0</v>
      </c>
      <c r="T26" s="85"/>
      <c r="U26" s="85">
        <v>0</v>
      </c>
      <c r="V26" s="85">
        <v>0</v>
      </c>
      <c r="W26" s="86">
        <f>+C26+F26+I26+L26+O26+R26+U26</f>
        <v>477418</v>
      </c>
      <c r="X26" s="86">
        <f>+D26+G26+J26+M26+P26+S26+V26</f>
        <v>497337</v>
      </c>
      <c r="Y26" s="85"/>
      <c r="Z26" s="82">
        <v>497337</v>
      </c>
      <c r="AA26" s="70"/>
      <c r="AB26" s="82">
        <f>+Z26*0.95</f>
        <v>472470.14999999997</v>
      </c>
      <c r="AC26" s="82">
        <f>+Z26-AB26</f>
        <v>24866.850000000035</v>
      </c>
      <c r="AD26" s="68"/>
    </row>
    <row r="27" spans="1:30" x14ac:dyDescent="0.2">
      <c r="A27" s="88" t="s">
        <v>458</v>
      </c>
      <c r="B27" s="87" t="s">
        <v>457</v>
      </c>
      <c r="C27" s="85"/>
      <c r="D27" s="85"/>
      <c r="E27" s="85"/>
      <c r="F27" s="85">
        <v>7385</v>
      </c>
      <c r="G27" s="85">
        <v>10000</v>
      </c>
      <c r="H27" s="85"/>
      <c r="I27" s="85">
        <v>48906</v>
      </c>
      <c r="J27" s="85">
        <v>50000</v>
      </c>
      <c r="K27" s="85"/>
      <c r="L27" s="85">
        <v>111824.5</v>
      </c>
      <c r="M27" s="85">
        <v>226822</v>
      </c>
      <c r="N27" s="85"/>
      <c r="O27" s="85">
        <v>106783</v>
      </c>
      <c r="P27" s="85">
        <v>226822</v>
      </c>
      <c r="Q27" s="85"/>
      <c r="R27" s="85">
        <v>74034</v>
      </c>
      <c r="S27" s="85">
        <v>226822</v>
      </c>
      <c r="T27" s="85"/>
      <c r="U27" s="85">
        <v>12121</v>
      </c>
      <c r="V27" s="85">
        <v>139619</v>
      </c>
      <c r="W27" s="86">
        <f>+C27+F27+I27+L27+O27+R27+U27</f>
        <v>361053.5</v>
      </c>
      <c r="X27" s="86">
        <f>+D27+G27+J27+M27+P27+S27+V27</f>
        <v>880085</v>
      </c>
      <c r="Y27" s="85"/>
      <c r="Z27" s="82">
        <v>880085</v>
      </c>
      <c r="AA27" s="70"/>
      <c r="AB27" s="82">
        <f>+Z27*0.95</f>
        <v>836080.75</v>
      </c>
      <c r="AC27" s="82">
        <f>+Z27-AB27</f>
        <v>44004.25</v>
      </c>
      <c r="AD27" s="68"/>
    </row>
    <row r="28" spans="1:30" x14ac:dyDescent="0.2">
      <c r="A28" s="88" t="s">
        <v>456</v>
      </c>
      <c r="B28" s="87" t="s">
        <v>455</v>
      </c>
      <c r="C28" s="85"/>
      <c r="D28" s="85"/>
      <c r="E28" s="85"/>
      <c r="F28" s="85">
        <v>3079.98</v>
      </c>
      <c r="G28" s="85">
        <v>5000</v>
      </c>
      <c r="H28" s="85"/>
      <c r="I28" s="85">
        <v>120476.34</v>
      </c>
      <c r="J28" s="85">
        <v>115000</v>
      </c>
      <c r="K28" s="85"/>
      <c r="L28" s="85">
        <v>295795.67</v>
      </c>
      <c r="M28" s="85">
        <v>140000</v>
      </c>
      <c r="N28" s="85"/>
      <c r="O28" s="85">
        <v>347179.93</v>
      </c>
      <c r="P28" s="85">
        <v>140000</v>
      </c>
      <c r="Q28" s="85"/>
      <c r="R28" s="85">
        <v>310389.46000000002</v>
      </c>
      <c r="S28" s="85">
        <v>115000</v>
      </c>
      <c r="T28" s="85"/>
      <c r="U28" s="85">
        <v>96764.5</v>
      </c>
      <c r="V28" s="85">
        <v>24257</v>
      </c>
      <c r="W28" s="86">
        <f>+C28+F28+I28+L28+O28+R28+U28</f>
        <v>1173685.8799999999</v>
      </c>
      <c r="X28" s="86">
        <f>+D28+G28+J28+M28+P28+S28+V28</f>
        <v>539257</v>
      </c>
      <c r="Y28" s="85"/>
      <c r="Z28" s="82">
        <f>411257+128000</f>
        <v>539257</v>
      </c>
      <c r="AA28" s="70"/>
      <c r="AB28" s="82">
        <f>+Z28</f>
        <v>539257</v>
      </c>
      <c r="AC28" s="82"/>
      <c r="AD28" s="68"/>
    </row>
    <row r="29" spans="1:30" x14ac:dyDescent="0.2">
      <c r="A29" s="88" t="s">
        <v>454</v>
      </c>
      <c r="B29" s="87" t="s">
        <v>453</v>
      </c>
      <c r="C29" s="85">
        <v>80019.600000000006</v>
      </c>
      <c r="D29" s="85">
        <v>47982.38</v>
      </c>
      <c r="E29" s="85"/>
      <c r="F29" s="85">
        <v>43438.93</v>
      </c>
      <c r="G29" s="85">
        <v>55926.23</v>
      </c>
      <c r="H29" s="85"/>
      <c r="I29" s="85">
        <v>18684.04</v>
      </c>
      <c r="J29" s="85">
        <v>27496.69</v>
      </c>
      <c r="K29" s="85"/>
      <c r="L29" s="85">
        <v>13276.64</v>
      </c>
      <c r="M29" s="85">
        <v>40062.14</v>
      </c>
      <c r="N29" s="85"/>
      <c r="O29" s="85">
        <v>34490.14</v>
      </c>
      <c r="P29" s="85">
        <v>25458.67</v>
      </c>
      <c r="Q29" s="85"/>
      <c r="R29" s="85">
        <v>60275.17</v>
      </c>
      <c r="S29" s="85">
        <v>33541.699999999997</v>
      </c>
      <c r="T29" s="85"/>
      <c r="U29" s="85">
        <v>107543.67</v>
      </c>
      <c r="V29" s="85">
        <v>65484.23</v>
      </c>
      <c r="W29" s="86">
        <f>+C29+F29+I29+L29+O29+R29+U29</f>
        <v>357728.19</v>
      </c>
      <c r="X29" s="86">
        <f>+D29+G29+J29+M29+P29+S29+V29</f>
        <v>295952.03999999998</v>
      </c>
      <c r="Y29" s="85"/>
      <c r="Z29" s="82">
        <v>600000</v>
      </c>
      <c r="AA29" s="70"/>
      <c r="AB29" s="82">
        <f>+Z29*0.8</f>
        <v>480000</v>
      </c>
      <c r="AC29" s="82">
        <f>+Z29-AB29</f>
        <v>120000</v>
      </c>
      <c r="AD29" s="68"/>
    </row>
    <row r="30" spans="1:30" x14ac:dyDescent="0.2">
      <c r="A30" s="88" t="s">
        <v>452</v>
      </c>
      <c r="B30" s="87" t="s">
        <v>451</v>
      </c>
      <c r="C30" s="85">
        <v>2100</v>
      </c>
      <c r="D30" s="85">
        <v>1666.66</v>
      </c>
      <c r="E30" s="85"/>
      <c r="F30" s="85">
        <v>2100</v>
      </c>
      <c r="G30" s="85">
        <v>1666.66</v>
      </c>
      <c r="H30" s="85"/>
      <c r="I30" s="85">
        <v>1050</v>
      </c>
      <c r="J30" s="85">
        <v>1666.66</v>
      </c>
      <c r="K30" s="85"/>
      <c r="L30" s="85">
        <v>900</v>
      </c>
      <c r="M30" s="85">
        <v>1666.66</v>
      </c>
      <c r="N30" s="85"/>
      <c r="O30" s="85">
        <v>1200</v>
      </c>
      <c r="P30" s="85">
        <v>1666.67</v>
      </c>
      <c r="Q30" s="85"/>
      <c r="R30" s="85">
        <v>1350</v>
      </c>
      <c r="S30" s="85">
        <v>1666.67</v>
      </c>
      <c r="T30" s="85"/>
      <c r="U30" s="85">
        <v>1350</v>
      </c>
      <c r="V30" s="85">
        <v>1666.67</v>
      </c>
      <c r="W30" s="86">
        <f>+C30+F30+I30+L30+O30+R30+U30</f>
        <v>10050</v>
      </c>
      <c r="X30" s="86">
        <f>+D30+G30+J30+M30+P30+S30+V30</f>
        <v>11666.650000000001</v>
      </c>
      <c r="Y30" s="85"/>
      <c r="Z30" s="82">
        <v>20000</v>
      </c>
      <c r="AA30" s="70"/>
      <c r="AB30" s="82">
        <f>+Z30</f>
        <v>20000</v>
      </c>
      <c r="AC30" s="82"/>
      <c r="AD30" s="68"/>
    </row>
    <row r="31" spans="1:30" x14ac:dyDescent="0.2">
      <c r="A31" s="88" t="s">
        <v>450</v>
      </c>
      <c r="B31" s="87" t="s">
        <v>449</v>
      </c>
      <c r="C31" s="85">
        <v>4850</v>
      </c>
      <c r="D31" s="85">
        <v>2400</v>
      </c>
      <c r="E31" s="85"/>
      <c r="F31" s="85">
        <v>6795</v>
      </c>
      <c r="G31" s="85">
        <v>3600</v>
      </c>
      <c r="H31" s="85"/>
      <c r="I31" s="85">
        <v>11185</v>
      </c>
      <c r="J31" s="85">
        <v>8100</v>
      </c>
      <c r="K31" s="85"/>
      <c r="L31" s="85">
        <v>11670</v>
      </c>
      <c r="M31" s="85">
        <v>6300</v>
      </c>
      <c r="N31" s="85"/>
      <c r="O31" s="85">
        <v>9350</v>
      </c>
      <c r="P31" s="85">
        <v>6300</v>
      </c>
      <c r="Q31" s="85"/>
      <c r="R31" s="85">
        <v>4070</v>
      </c>
      <c r="S31" s="85">
        <v>1200</v>
      </c>
      <c r="T31" s="85"/>
      <c r="U31" s="85">
        <v>1570</v>
      </c>
      <c r="V31" s="85">
        <v>300</v>
      </c>
      <c r="W31" s="86">
        <f>+C31+F31+I31+L31+O31+R31+U31</f>
        <v>49490</v>
      </c>
      <c r="X31" s="86">
        <f>+D31+G31+J31+M31+P31+S31+V31</f>
        <v>28200</v>
      </c>
      <c r="Y31" s="85"/>
      <c r="Z31" s="82">
        <v>30000</v>
      </c>
      <c r="AA31" s="70"/>
      <c r="AB31" s="82">
        <f>+Z31</f>
        <v>30000</v>
      </c>
      <c r="AC31" s="82"/>
      <c r="AD31" s="68"/>
    </row>
    <row r="32" spans="1:30" x14ac:dyDescent="0.2">
      <c r="A32" s="88" t="s">
        <v>448</v>
      </c>
      <c r="B32" s="87" t="s">
        <v>447</v>
      </c>
      <c r="C32" s="85">
        <v>5737</v>
      </c>
      <c r="D32" s="85">
        <v>3934.33</v>
      </c>
      <c r="E32" s="85"/>
      <c r="F32" s="85">
        <v>8795</v>
      </c>
      <c r="G32" s="85">
        <v>7608.76</v>
      </c>
      <c r="H32" s="85"/>
      <c r="I32" s="85">
        <v>9892</v>
      </c>
      <c r="J32" s="85">
        <v>10205.120000000001</v>
      </c>
      <c r="K32" s="85"/>
      <c r="L32" s="85">
        <v>11454</v>
      </c>
      <c r="M32" s="85">
        <v>8530.1200000000008</v>
      </c>
      <c r="N32" s="85"/>
      <c r="O32" s="85">
        <v>8965</v>
      </c>
      <c r="P32" s="85">
        <v>8697.0300000000007</v>
      </c>
      <c r="Q32" s="85"/>
      <c r="R32" s="85">
        <v>6729</v>
      </c>
      <c r="S32" s="85">
        <v>8046.86</v>
      </c>
      <c r="T32" s="85"/>
      <c r="U32" s="85">
        <v>2278</v>
      </c>
      <c r="V32" s="85">
        <v>2440.48</v>
      </c>
      <c r="W32" s="86">
        <f>+C32+F32+I32+L32+O32+R32+U32</f>
        <v>53850</v>
      </c>
      <c r="X32" s="86">
        <f>+D32+G32+J32+M32+P32+S32+V32</f>
        <v>49462.700000000004</v>
      </c>
      <c r="Y32" s="85"/>
      <c r="Z32" s="82">
        <v>55000</v>
      </c>
      <c r="AA32" s="70"/>
      <c r="AB32" s="82">
        <f>+Z32</f>
        <v>55000</v>
      </c>
      <c r="AC32" s="82"/>
      <c r="AD32" s="68"/>
    </row>
    <row r="33" spans="1:30" x14ac:dyDescent="0.2">
      <c r="A33" s="88"/>
      <c r="B33" s="87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2"/>
      <c r="AA33" s="70"/>
      <c r="AB33" s="82"/>
      <c r="AC33" s="82"/>
      <c r="AD33" s="68"/>
    </row>
    <row r="34" spans="1:30" x14ac:dyDescent="0.2">
      <c r="A34" s="81" t="s">
        <v>105</v>
      </c>
      <c r="B34" s="80" t="s">
        <v>446</v>
      </c>
      <c r="C34" s="79">
        <f>SUM(C22:C33)</f>
        <v>341974.28</v>
      </c>
      <c r="D34" s="79">
        <f>SUM(D22:D33)</f>
        <v>338605.87</v>
      </c>
      <c r="E34" s="76"/>
      <c r="F34" s="79">
        <f>SUM(F22:F33)</f>
        <v>571064.23</v>
      </c>
      <c r="G34" s="79">
        <f>SUM(G22:G33)</f>
        <v>535253.60999999987</v>
      </c>
      <c r="H34" s="76"/>
      <c r="I34" s="79">
        <f>SUM(I22:I33)</f>
        <v>289471.38</v>
      </c>
      <c r="J34" s="79">
        <f>SUM(J22:J33)</f>
        <v>311818.08999999997</v>
      </c>
      <c r="K34" s="76"/>
      <c r="L34" s="79">
        <f>SUM(L22:L33)</f>
        <v>488243.81</v>
      </c>
      <c r="M34" s="79">
        <f>SUM(M22:M33)</f>
        <v>483735.7</v>
      </c>
      <c r="N34" s="76"/>
      <c r="O34" s="79">
        <f>SUM(O22:O33)</f>
        <v>522765.07</v>
      </c>
      <c r="P34" s="79">
        <f>SUM(P22:P33)</f>
        <v>419400.89</v>
      </c>
      <c r="Q34" s="76"/>
      <c r="R34" s="79">
        <f>SUM(R22:R33)</f>
        <v>465809.63</v>
      </c>
      <c r="S34" s="79">
        <f>SUM(S22:S33)</f>
        <v>399438.47</v>
      </c>
      <c r="T34" s="76"/>
      <c r="U34" s="79">
        <f>SUM(U22:U33)</f>
        <v>229539.16999999998</v>
      </c>
      <c r="V34" s="79">
        <f>SUM(V22:V33)</f>
        <v>242962.13000000003</v>
      </c>
      <c r="W34" s="79">
        <f>SUM(W22:W33)</f>
        <v>2908867.57</v>
      </c>
      <c r="X34" s="79">
        <f>SUM(X22:X33)</f>
        <v>2731214.7600000002</v>
      </c>
      <c r="Y34" s="76"/>
      <c r="Z34" s="79">
        <f>SUM(Z22:Z33)</f>
        <v>3144505</v>
      </c>
      <c r="AA34" s="70"/>
      <c r="AB34" s="79">
        <f>SUM(AB22:AB33)</f>
        <v>2955633.9</v>
      </c>
      <c r="AC34" s="79">
        <f>SUM(AC22:AC33)</f>
        <v>188871.10000000003</v>
      </c>
      <c r="AD34" s="68"/>
    </row>
    <row r="35" spans="1:30" x14ac:dyDescent="0.2"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70"/>
      <c r="AB35" s="67"/>
      <c r="AC35" s="74"/>
      <c r="AD35" s="68"/>
    </row>
    <row r="36" spans="1:30" x14ac:dyDescent="0.2">
      <c r="A36" s="91" t="s">
        <v>445</v>
      </c>
      <c r="B36" s="90" t="s">
        <v>444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67"/>
      <c r="AA36" s="70"/>
      <c r="AB36" s="67"/>
      <c r="AC36" s="74"/>
      <c r="AD36" s="68"/>
    </row>
    <row r="37" spans="1:30" x14ac:dyDescent="0.2">
      <c r="A37" s="88" t="s">
        <v>443</v>
      </c>
      <c r="B37" s="87" t="s">
        <v>442</v>
      </c>
      <c r="C37" s="85">
        <v>4187.41</v>
      </c>
      <c r="D37" s="85">
        <v>2696.02</v>
      </c>
      <c r="E37" s="85"/>
      <c r="F37" s="85">
        <v>20978.83</v>
      </c>
      <c r="G37" s="85">
        <v>9225.6200000000008</v>
      </c>
      <c r="H37" s="85"/>
      <c r="I37" s="85">
        <v>45813.8</v>
      </c>
      <c r="J37" s="85">
        <v>43969.120000000003</v>
      </c>
      <c r="K37" s="85"/>
      <c r="L37" s="85">
        <v>56375.58</v>
      </c>
      <c r="M37" s="85">
        <v>56649.29</v>
      </c>
      <c r="N37" s="85"/>
      <c r="O37" s="85">
        <v>60287.15</v>
      </c>
      <c r="P37" s="85">
        <v>65032.36</v>
      </c>
      <c r="Q37" s="85"/>
      <c r="R37" s="85">
        <v>52554.86</v>
      </c>
      <c r="S37" s="85">
        <v>58654.55</v>
      </c>
      <c r="T37" s="85"/>
      <c r="U37" s="85">
        <v>20980</v>
      </c>
      <c r="V37" s="85">
        <v>29473.72</v>
      </c>
      <c r="W37" s="86">
        <f>+C37+F37+I37+L37+O37+R37+U37</f>
        <v>261177.63</v>
      </c>
      <c r="X37" s="86">
        <f>+D37+G37+J37+M37+P37+S37+V37</f>
        <v>265700.68000000005</v>
      </c>
      <c r="Y37" s="85"/>
      <c r="Z37" s="82">
        <v>301500</v>
      </c>
      <c r="AA37" s="70"/>
      <c r="AB37" s="82">
        <f>+Z37</f>
        <v>301500</v>
      </c>
      <c r="AC37" s="82"/>
      <c r="AD37" s="68"/>
    </row>
    <row r="38" spans="1:30" x14ac:dyDescent="0.2">
      <c r="A38" s="88" t="s">
        <v>441</v>
      </c>
      <c r="B38" s="87" t="s">
        <v>440</v>
      </c>
      <c r="C38" s="85"/>
      <c r="D38" s="85"/>
      <c r="E38" s="85"/>
      <c r="F38" s="85"/>
      <c r="G38" s="85"/>
      <c r="H38" s="85"/>
      <c r="I38" s="85">
        <v>1152.25</v>
      </c>
      <c r="J38" s="85"/>
      <c r="K38" s="85"/>
      <c r="L38" s="85">
        <v>725</v>
      </c>
      <c r="M38" s="85"/>
      <c r="N38" s="85"/>
      <c r="O38" s="85">
        <v>1095.25</v>
      </c>
      <c r="P38" s="85"/>
      <c r="Q38" s="85"/>
      <c r="R38" s="85">
        <v>887.25</v>
      </c>
      <c r="S38" s="85">
        <v>0</v>
      </c>
      <c r="T38" s="85"/>
      <c r="U38" s="85">
        <v>1325</v>
      </c>
      <c r="V38" s="85">
        <v>0</v>
      </c>
      <c r="W38" s="86">
        <f>+C38+F38+I38+L38+O38+R38+U38</f>
        <v>5184.75</v>
      </c>
      <c r="X38" s="86">
        <f>+D38+G38+J38+M38+P38+S38+V38</f>
        <v>0</v>
      </c>
      <c r="Y38" s="85"/>
      <c r="Z38" s="82"/>
      <c r="AA38" s="70"/>
      <c r="AB38" s="82">
        <f>+Z38</f>
        <v>0</v>
      </c>
      <c r="AC38" s="82"/>
      <c r="AD38" s="68"/>
    </row>
    <row r="39" spans="1:30" x14ac:dyDescent="0.2">
      <c r="A39" s="88" t="s">
        <v>439</v>
      </c>
      <c r="B39" s="87" t="s">
        <v>438</v>
      </c>
      <c r="C39" s="85">
        <v>2499.33</v>
      </c>
      <c r="D39" s="85">
        <v>5000</v>
      </c>
      <c r="E39" s="85"/>
      <c r="F39" s="85">
        <v>2600</v>
      </c>
      <c r="G39" s="85">
        <v>5000</v>
      </c>
      <c r="H39" s="85"/>
      <c r="I39" s="85">
        <v>16161.99</v>
      </c>
      <c r="J39" s="85">
        <v>5000</v>
      </c>
      <c r="K39" s="85"/>
      <c r="L39" s="85">
        <v>18149.490000000002</v>
      </c>
      <c r="M39" s="85">
        <v>5000</v>
      </c>
      <c r="N39" s="85"/>
      <c r="O39" s="85">
        <v>10143.11</v>
      </c>
      <c r="P39" s="85">
        <v>5000</v>
      </c>
      <c r="Q39" s="85"/>
      <c r="R39" s="85">
        <v>6459.24</v>
      </c>
      <c r="S39" s="85">
        <v>5000</v>
      </c>
      <c r="T39" s="85"/>
      <c r="U39" s="85">
        <v>4475.74</v>
      </c>
      <c r="V39" s="85">
        <v>5000</v>
      </c>
      <c r="W39" s="86">
        <f>+C39+F39+I39+L39+O39+R39+U39</f>
        <v>60488.899999999994</v>
      </c>
      <c r="X39" s="86">
        <f>+D39+G39+J39+M39+P39+S39+V39</f>
        <v>35000</v>
      </c>
      <c r="Y39" s="85"/>
      <c r="Z39" s="82">
        <v>60000</v>
      </c>
      <c r="AA39" s="70"/>
      <c r="AB39" s="82">
        <f>+Z39</f>
        <v>60000</v>
      </c>
      <c r="AC39" s="82"/>
      <c r="AD39" s="68"/>
    </row>
    <row r="40" spans="1:30" x14ac:dyDescent="0.2">
      <c r="A40" s="88" t="s">
        <v>437</v>
      </c>
      <c r="B40" s="87" t="s">
        <v>436</v>
      </c>
      <c r="C40" s="85">
        <v>1088.75</v>
      </c>
      <c r="D40" s="85">
        <v>1041.6600000000001</v>
      </c>
      <c r="E40" s="85"/>
      <c r="F40" s="85">
        <v>1544</v>
      </c>
      <c r="G40" s="85">
        <v>1041.6600000000001</v>
      </c>
      <c r="H40" s="85"/>
      <c r="I40" s="85">
        <v>2842</v>
      </c>
      <c r="J40" s="85">
        <v>1041.6600000000001</v>
      </c>
      <c r="K40" s="85"/>
      <c r="L40" s="85">
        <v>2986.75</v>
      </c>
      <c r="M40" s="85">
        <v>1041.6600000000001</v>
      </c>
      <c r="N40" s="85"/>
      <c r="O40" s="85">
        <v>1480</v>
      </c>
      <c r="P40" s="85">
        <v>1041.67</v>
      </c>
      <c r="Q40" s="85"/>
      <c r="R40" s="85">
        <v>1968.75</v>
      </c>
      <c r="S40" s="85">
        <v>1041.67</v>
      </c>
      <c r="T40" s="85"/>
      <c r="U40" s="85">
        <v>1950.64</v>
      </c>
      <c r="V40" s="85">
        <v>1041.67</v>
      </c>
      <c r="W40" s="86">
        <f>+C40+F40+I40+L40+O40+R40+U40</f>
        <v>13860.89</v>
      </c>
      <c r="X40" s="86">
        <f>+D40+G40+J40+M40+P40+S40+V40</f>
        <v>7291.6500000000005</v>
      </c>
      <c r="Y40" s="85"/>
      <c r="Z40" s="82">
        <v>12500</v>
      </c>
      <c r="AA40" s="70"/>
      <c r="AB40" s="82">
        <f>+Z40</f>
        <v>12500</v>
      </c>
      <c r="AC40" s="82"/>
      <c r="AD40" s="68"/>
    </row>
    <row r="41" spans="1:30" x14ac:dyDescent="0.2">
      <c r="A41" s="88" t="s">
        <v>435</v>
      </c>
      <c r="B41" s="87" t="s">
        <v>434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>
        <v>0</v>
      </c>
      <c r="S41" s="85">
        <v>0</v>
      </c>
      <c r="T41" s="85"/>
      <c r="U41" s="85">
        <v>0</v>
      </c>
      <c r="V41" s="85">
        <v>0</v>
      </c>
      <c r="W41" s="86">
        <f>+C41+F41+I41+L41+O41+R41+U41</f>
        <v>0</v>
      </c>
      <c r="X41" s="86">
        <f>+D41+G41+J41+M41+P41+S41+V41</f>
        <v>0</v>
      </c>
      <c r="Y41" s="85"/>
      <c r="Z41" s="82"/>
      <c r="AA41" s="70"/>
      <c r="AB41" s="82">
        <f>+Z41</f>
        <v>0</v>
      </c>
      <c r="AC41" s="82"/>
      <c r="AD41" s="68"/>
    </row>
    <row r="42" spans="1:30" x14ac:dyDescent="0.2">
      <c r="A42" s="88" t="s">
        <v>433</v>
      </c>
      <c r="B42" s="87" t="s">
        <v>432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>
        <v>229.57</v>
      </c>
      <c r="P42" s="85"/>
      <c r="Q42" s="85"/>
      <c r="R42" s="85">
        <v>0</v>
      </c>
      <c r="S42" s="85">
        <v>0</v>
      </c>
      <c r="T42" s="85"/>
      <c r="U42" s="85">
        <v>0</v>
      </c>
      <c r="V42" s="85">
        <v>0</v>
      </c>
      <c r="W42" s="86">
        <f>+C42+F42+I42+L42+O42+R42+U42</f>
        <v>229.57</v>
      </c>
      <c r="X42" s="86">
        <f>+D42+G42+J42+M42+P42+S42+V42</f>
        <v>0</v>
      </c>
      <c r="Y42" s="85"/>
      <c r="Z42" s="82"/>
      <c r="AA42" s="70"/>
      <c r="AB42" s="82">
        <f>+Z42</f>
        <v>0</v>
      </c>
      <c r="AC42" s="82"/>
      <c r="AD42" s="68"/>
    </row>
    <row r="43" spans="1:30" x14ac:dyDescent="0.2">
      <c r="A43" s="88" t="s">
        <v>431</v>
      </c>
      <c r="B43" s="87" t="s">
        <v>430</v>
      </c>
      <c r="C43" s="85">
        <v>328.75</v>
      </c>
      <c r="D43" s="85">
        <v>375</v>
      </c>
      <c r="E43" s="85"/>
      <c r="F43" s="85">
        <v>225</v>
      </c>
      <c r="G43" s="85">
        <v>375</v>
      </c>
      <c r="H43" s="85"/>
      <c r="I43" s="85">
        <v>250</v>
      </c>
      <c r="J43" s="85">
        <v>375</v>
      </c>
      <c r="K43" s="85"/>
      <c r="L43" s="85">
        <v>634</v>
      </c>
      <c r="M43" s="85">
        <v>375</v>
      </c>
      <c r="N43" s="85"/>
      <c r="O43" s="85">
        <v>240</v>
      </c>
      <c r="P43" s="85">
        <v>375</v>
      </c>
      <c r="Q43" s="85"/>
      <c r="R43" s="85">
        <v>475</v>
      </c>
      <c r="S43" s="85">
        <v>375</v>
      </c>
      <c r="T43" s="85"/>
      <c r="U43" s="85">
        <v>525</v>
      </c>
      <c r="V43" s="85">
        <v>375</v>
      </c>
      <c r="W43" s="86">
        <f>+C43+F43+I43+L43+O43+R43+U43</f>
        <v>2677.75</v>
      </c>
      <c r="X43" s="86">
        <f>+D43+G43+J43+M43+P43+S43+V43</f>
        <v>2625</v>
      </c>
      <c r="Y43" s="85"/>
      <c r="Z43" s="82">
        <v>4500</v>
      </c>
      <c r="AA43" s="70"/>
      <c r="AB43" s="82">
        <f>+Z43</f>
        <v>4500</v>
      </c>
      <c r="AC43" s="82"/>
      <c r="AD43" s="68"/>
    </row>
    <row r="44" spans="1:30" x14ac:dyDescent="0.2">
      <c r="A44" s="88"/>
      <c r="B44" s="87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2"/>
      <c r="AA44" s="70"/>
      <c r="AB44" s="82"/>
      <c r="AC44" s="82"/>
      <c r="AD44" s="68"/>
    </row>
    <row r="45" spans="1:30" x14ac:dyDescent="0.2">
      <c r="A45" s="81" t="s">
        <v>105</v>
      </c>
      <c r="B45" s="80" t="s">
        <v>429</v>
      </c>
      <c r="C45" s="79">
        <f>SUM(C37:C44)</f>
        <v>8104.24</v>
      </c>
      <c r="D45" s="79">
        <f>SUM(D37:D44)</f>
        <v>9112.68</v>
      </c>
      <c r="E45" s="76"/>
      <c r="F45" s="79">
        <f>SUM(F37:F44)</f>
        <v>25347.83</v>
      </c>
      <c r="G45" s="79">
        <f>SUM(G37:G44)</f>
        <v>15642.28</v>
      </c>
      <c r="H45" s="76"/>
      <c r="I45" s="79">
        <f>SUM(I37:I44)</f>
        <v>66220.040000000008</v>
      </c>
      <c r="J45" s="79">
        <f>SUM(J37:J44)</f>
        <v>50385.780000000006</v>
      </c>
      <c r="K45" s="76"/>
      <c r="L45" s="79">
        <f>SUM(L37:L44)</f>
        <v>78870.820000000007</v>
      </c>
      <c r="M45" s="79">
        <f>SUM(M37:M44)</f>
        <v>63065.950000000004</v>
      </c>
      <c r="N45" s="76"/>
      <c r="O45" s="79">
        <f>SUM(O37:O44)</f>
        <v>73475.080000000016</v>
      </c>
      <c r="P45" s="79">
        <f>SUM(P37:P44)</f>
        <v>71449.03</v>
      </c>
      <c r="Q45" s="76"/>
      <c r="R45" s="79">
        <f>SUM(R37:R44)</f>
        <v>62345.1</v>
      </c>
      <c r="S45" s="79">
        <f>SUM(S37:S44)</f>
        <v>65071.22</v>
      </c>
      <c r="T45" s="76"/>
      <c r="U45" s="79">
        <f>SUM(U37:U44)</f>
        <v>29256.379999999997</v>
      </c>
      <c r="V45" s="79">
        <f>SUM(V37:V44)</f>
        <v>35890.39</v>
      </c>
      <c r="W45" s="79">
        <f>SUM(W37:W44)</f>
        <v>343619.49000000005</v>
      </c>
      <c r="X45" s="79">
        <f>SUM(X37:X44)</f>
        <v>310617.33000000007</v>
      </c>
      <c r="Y45" s="76"/>
      <c r="Z45" s="79">
        <f>SUM(Z37:Z44)</f>
        <v>378500</v>
      </c>
      <c r="AA45" s="70"/>
      <c r="AB45" s="79">
        <f>SUM(AB37:AB44)</f>
        <v>378500</v>
      </c>
      <c r="AC45" s="79">
        <f>SUM(AC37:AC44)</f>
        <v>0</v>
      </c>
      <c r="AD45" s="68"/>
    </row>
    <row r="46" spans="1:30" x14ac:dyDescent="0.2"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70"/>
      <c r="AB46" s="67"/>
      <c r="AC46" s="74"/>
      <c r="AD46" s="68"/>
    </row>
    <row r="47" spans="1:30" x14ac:dyDescent="0.2">
      <c r="A47" s="91" t="s">
        <v>428</v>
      </c>
      <c r="B47" s="90" t="s">
        <v>427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67"/>
      <c r="AA47" s="70"/>
      <c r="AB47" s="67"/>
      <c r="AC47" s="74"/>
      <c r="AD47" s="68"/>
    </row>
    <row r="48" spans="1:30" x14ac:dyDescent="0.2">
      <c r="A48" s="88">
        <v>4040980</v>
      </c>
      <c r="B48" s="87" t="s">
        <v>6</v>
      </c>
      <c r="C48" s="85"/>
      <c r="D48" s="85">
        <v>6250</v>
      </c>
      <c r="E48" s="85"/>
      <c r="F48" s="85"/>
      <c r="G48" s="85">
        <v>6250</v>
      </c>
      <c r="H48" s="85"/>
      <c r="I48" s="85">
        <v>3215.19</v>
      </c>
      <c r="J48" s="85">
        <v>6250</v>
      </c>
      <c r="K48" s="85"/>
      <c r="L48" s="85"/>
      <c r="M48" s="85">
        <v>6250</v>
      </c>
      <c r="N48" s="85"/>
      <c r="O48" s="85"/>
      <c r="P48" s="85">
        <v>6250</v>
      </c>
      <c r="Q48" s="85"/>
      <c r="R48" s="85">
        <v>0</v>
      </c>
      <c r="S48" s="85">
        <v>6250</v>
      </c>
      <c r="T48" s="85"/>
      <c r="U48" s="85">
        <v>3215.19</v>
      </c>
      <c r="V48" s="85">
        <v>6250</v>
      </c>
      <c r="W48" s="86">
        <f>+C48+F48+I48+L48+O48+R48+U48</f>
        <v>6430.38</v>
      </c>
      <c r="X48" s="86">
        <f>+D48+G48+J48+M48+P48+S48+V48</f>
        <v>43750</v>
      </c>
      <c r="Y48" s="85"/>
      <c r="Z48" s="82">
        <v>75000</v>
      </c>
      <c r="AA48" s="70"/>
      <c r="AB48" s="82"/>
      <c r="AC48" s="82">
        <f>+Z48</f>
        <v>75000</v>
      </c>
      <c r="AD48" s="68"/>
    </row>
    <row r="49" spans="1:30" x14ac:dyDescent="0.2">
      <c r="A49" s="88" t="s">
        <v>426</v>
      </c>
      <c r="B49" s="87" t="s">
        <v>425</v>
      </c>
      <c r="C49" s="85"/>
      <c r="D49" s="85">
        <v>416.66</v>
      </c>
      <c r="E49" s="85"/>
      <c r="F49" s="85"/>
      <c r="G49" s="85">
        <v>416.66</v>
      </c>
      <c r="H49" s="85"/>
      <c r="I49" s="85"/>
      <c r="J49" s="85">
        <v>416.66</v>
      </c>
      <c r="K49" s="85"/>
      <c r="L49" s="85">
        <v>0</v>
      </c>
      <c r="M49" s="85">
        <v>416.66</v>
      </c>
      <c r="N49" s="85"/>
      <c r="O49" s="85">
        <v>0</v>
      </c>
      <c r="P49" s="85">
        <v>416.67</v>
      </c>
      <c r="Q49" s="85"/>
      <c r="R49" s="85">
        <v>0</v>
      </c>
      <c r="S49" s="85">
        <v>416.67</v>
      </c>
      <c r="T49" s="85"/>
      <c r="U49" s="85">
        <v>0</v>
      </c>
      <c r="V49" s="85">
        <v>416.67</v>
      </c>
      <c r="W49" s="86">
        <f>+C49+F49+I49+L49+O49+R49+U49</f>
        <v>0</v>
      </c>
      <c r="X49" s="86">
        <f>+D49+G49+J49+M49+P49+S49+V49</f>
        <v>2916.65</v>
      </c>
      <c r="Y49" s="85"/>
      <c r="Z49" s="82">
        <v>5000</v>
      </c>
      <c r="AA49" s="70"/>
      <c r="AB49" s="82"/>
      <c r="AC49" s="82">
        <f>+Z49</f>
        <v>5000</v>
      </c>
      <c r="AD49" s="68"/>
    </row>
    <row r="50" spans="1:30" x14ac:dyDescent="0.2">
      <c r="A50" s="88" t="s">
        <v>424</v>
      </c>
      <c r="B50" s="87" t="s">
        <v>423</v>
      </c>
      <c r="C50" s="85">
        <v>1242.94</v>
      </c>
      <c r="D50" s="85">
        <v>416.66</v>
      </c>
      <c r="E50" s="85"/>
      <c r="F50" s="85"/>
      <c r="G50" s="85">
        <v>416.66</v>
      </c>
      <c r="H50" s="85"/>
      <c r="I50" s="85"/>
      <c r="J50" s="85">
        <v>416.66</v>
      </c>
      <c r="K50" s="85"/>
      <c r="L50" s="85"/>
      <c r="M50" s="85">
        <v>416.66</v>
      </c>
      <c r="N50" s="85"/>
      <c r="O50" s="85"/>
      <c r="P50" s="85">
        <v>416.67</v>
      </c>
      <c r="Q50" s="85"/>
      <c r="R50" s="85">
        <v>0</v>
      </c>
      <c r="S50" s="85">
        <v>416.67</v>
      </c>
      <c r="T50" s="85"/>
      <c r="U50" s="85">
        <v>0</v>
      </c>
      <c r="V50" s="85">
        <v>416.67</v>
      </c>
      <c r="W50" s="86">
        <f>+C50+F50+I50+L50+O50+R50+U50</f>
        <v>1242.94</v>
      </c>
      <c r="X50" s="86">
        <f>+D50+G50+J50+M50+P50+S50+V50</f>
        <v>2916.65</v>
      </c>
      <c r="Y50" s="85"/>
      <c r="Z50" s="82">
        <v>5000</v>
      </c>
      <c r="AA50" s="70"/>
      <c r="AB50" s="82"/>
      <c r="AC50" s="82">
        <f>+Z50</f>
        <v>5000</v>
      </c>
      <c r="AD50" s="68"/>
    </row>
    <row r="51" spans="1:30" x14ac:dyDescent="0.2">
      <c r="A51" s="88" t="s">
        <v>422</v>
      </c>
      <c r="B51" s="87" t="s">
        <v>421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>
        <v>10436.52</v>
      </c>
      <c r="S51" s="85">
        <v>20000</v>
      </c>
      <c r="T51" s="85"/>
      <c r="U51" s="85">
        <v>0</v>
      </c>
      <c r="V51" s="85">
        <v>0</v>
      </c>
      <c r="W51" s="86">
        <f>+C51+F51+I51+L51+O51+R51+U51</f>
        <v>10436.52</v>
      </c>
      <c r="X51" s="86">
        <f>+D51+G51+J51+M51+P51+S51+V51</f>
        <v>20000</v>
      </c>
      <c r="Y51" s="85"/>
      <c r="Z51" s="82">
        <v>20000</v>
      </c>
      <c r="AA51" s="70"/>
      <c r="AB51" s="82"/>
      <c r="AC51" s="82">
        <f>+Z51</f>
        <v>20000</v>
      </c>
      <c r="AD51" s="68"/>
    </row>
    <row r="52" spans="1:30" x14ac:dyDescent="0.2">
      <c r="A52" s="88">
        <v>4060400</v>
      </c>
      <c r="B52" s="87" t="s">
        <v>420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>
        <v>0</v>
      </c>
      <c r="S52" s="85">
        <v>0</v>
      </c>
      <c r="T52" s="85"/>
      <c r="U52" s="85"/>
      <c r="V52" s="85"/>
      <c r="W52" s="86">
        <f>+C52+F52+I52+L52+O52+R52+U52</f>
        <v>0</v>
      </c>
      <c r="X52" s="86">
        <f>+D52+G52+J52+M52+P52+S52+V52</f>
        <v>0</v>
      </c>
      <c r="Y52" s="85"/>
      <c r="Z52" s="82"/>
      <c r="AA52" s="70"/>
      <c r="AB52" s="82"/>
      <c r="AC52" s="82"/>
      <c r="AD52" s="68"/>
    </row>
    <row r="53" spans="1:30" x14ac:dyDescent="0.2">
      <c r="A53" s="88" t="s">
        <v>419</v>
      </c>
      <c r="B53" s="87" t="s">
        <v>418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>
        <v>0</v>
      </c>
      <c r="S53" s="85">
        <v>0</v>
      </c>
      <c r="T53" s="85"/>
      <c r="U53" s="85">
        <v>57500</v>
      </c>
      <c r="V53" s="85">
        <v>0</v>
      </c>
      <c r="W53" s="86">
        <f>+C53+F53+I53+L53+O53+R53+U53</f>
        <v>57500</v>
      </c>
      <c r="X53" s="86">
        <f>+D53+G53+J53+M53+P53+S53+V53</f>
        <v>0</v>
      </c>
      <c r="Y53" s="85"/>
      <c r="Z53" s="82">
        <v>0</v>
      </c>
      <c r="AA53" s="70"/>
      <c r="AB53" s="82"/>
      <c r="AC53" s="82">
        <f>+Z53</f>
        <v>0</v>
      </c>
      <c r="AD53" s="68"/>
    </row>
    <row r="54" spans="1:30" x14ac:dyDescent="0.2">
      <c r="A54" s="88">
        <v>4060600</v>
      </c>
      <c r="B54" s="87" t="s">
        <v>417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>
        <v>0</v>
      </c>
      <c r="S54" s="85">
        <v>0</v>
      </c>
      <c r="T54" s="85"/>
      <c r="U54" s="85"/>
      <c r="V54" s="85"/>
      <c r="W54" s="86">
        <f>+C54+F54+I54+L54+O54+R54+U54</f>
        <v>0</v>
      </c>
      <c r="X54" s="86">
        <f>+D54+G54+J54+M54+P54+S54+V54</f>
        <v>0</v>
      </c>
      <c r="Y54" s="85"/>
      <c r="Z54" s="82">
        <v>0</v>
      </c>
      <c r="AA54" s="70"/>
      <c r="AB54" s="82"/>
      <c r="AC54" s="82">
        <f>+Z54</f>
        <v>0</v>
      </c>
      <c r="AD54" s="68"/>
    </row>
    <row r="55" spans="1:30" x14ac:dyDescent="0.2">
      <c r="A55" s="88">
        <v>4060800</v>
      </c>
      <c r="B55" s="87" t="s">
        <v>416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>
        <v>0</v>
      </c>
      <c r="S55" s="85">
        <v>0</v>
      </c>
      <c r="T55" s="85"/>
      <c r="U55" s="85"/>
      <c r="V55" s="85"/>
      <c r="W55" s="86">
        <f>+C55+F55+I55+L55+O55+R55+U55</f>
        <v>0</v>
      </c>
      <c r="X55" s="86">
        <f>+D55+G55+J55+M55+P55+S55+V55</f>
        <v>0</v>
      </c>
      <c r="Y55" s="85"/>
      <c r="Z55" s="82">
        <v>0</v>
      </c>
      <c r="AA55" s="70"/>
      <c r="AB55" s="82"/>
      <c r="AC55" s="82">
        <f>+Z55</f>
        <v>0</v>
      </c>
      <c r="AD55" s="68"/>
    </row>
    <row r="56" spans="1:30" x14ac:dyDescent="0.2">
      <c r="A56" s="88">
        <v>4060900</v>
      </c>
      <c r="B56" s="87" t="s">
        <v>415</v>
      </c>
      <c r="C56" s="85"/>
      <c r="D56" s="85"/>
      <c r="E56" s="85"/>
      <c r="F56" s="85"/>
      <c r="G56" s="85"/>
      <c r="H56" s="85"/>
      <c r="I56" s="85">
        <v>10174.450000000001</v>
      </c>
      <c r="J56" s="85"/>
      <c r="K56" s="85"/>
      <c r="L56" s="85">
        <v>5000</v>
      </c>
      <c r="M56" s="85"/>
      <c r="N56" s="85"/>
      <c r="O56" s="85"/>
      <c r="P56" s="85"/>
      <c r="Q56" s="85"/>
      <c r="R56" s="85">
        <v>1957.9</v>
      </c>
      <c r="S56" s="85">
        <v>0</v>
      </c>
      <c r="T56" s="85"/>
      <c r="U56" s="85"/>
      <c r="V56" s="85"/>
      <c r="W56" s="86">
        <f>+C56+F56+I56+L56+O56+R56+U56</f>
        <v>17132.350000000002</v>
      </c>
      <c r="X56" s="86">
        <f>+D56+G56+J56+M56+P56+S56+V56</f>
        <v>0</v>
      </c>
      <c r="Y56" s="85"/>
      <c r="Z56" s="82">
        <v>0</v>
      </c>
      <c r="AA56" s="70"/>
      <c r="AB56" s="82"/>
      <c r="AC56" s="82">
        <f>+Z56</f>
        <v>0</v>
      </c>
      <c r="AD56" s="68"/>
    </row>
    <row r="57" spans="1:30" x14ac:dyDescent="0.2">
      <c r="A57" s="88" t="s">
        <v>414</v>
      </c>
      <c r="B57" s="87" t="s">
        <v>413</v>
      </c>
      <c r="C57" s="85">
        <v>4750</v>
      </c>
      <c r="D57" s="85">
        <v>13334</v>
      </c>
      <c r="E57" s="85"/>
      <c r="F57" s="85">
        <v>500</v>
      </c>
      <c r="G57" s="85">
        <v>13334</v>
      </c>
      <c r="H57" s="85"/>
      <c r="I57" s="85">
        <v>425</v>
      </c>
      <c r="J57" s="85">
        <v>13334</v>
      </c>
      <c r="K57" s="85"/>
      <c r="L57" s="85">
        <v>16494</v>
      </c>
      <c r="M57" s="85">
        <v>13334</v>
      </c>
      <c r="N57" s="85"/>
      <c r="O57" s="85">
        <v>40000</v>
      </c>
      <c r="P57" s="85">
        <v>13333</v>
      </c>
      <c r="Q57" s="85"/>
      <c r="R57" s="85">
        <v>0</v>
      </c>
      <c r="S57" s="85">
        <v>13333</v>
      </c>
      <c r="T57" s="85"/>
      <c r="U57" s="85">
        <v>21000</v>
      </c>
      <c r="V57" s="85">
        <v>13333</v>
      </c>
      <c r="W57" s="86">
        <f>+C57+F57+I57+L57+O57+R57+U57</f>
        <v>83169</v>
      </c>
      <c r="X57" s="86">
        <f>+D57+G57+J57+M57+P57+S57+V57</f>
        <v>93335</v>
      </c>
      <c r="Y57" s="85"/>
      <c r="Z57" s="82">
        <f>30000+130000</f>
        <v>160000</v>
      </c>
      <c r="AA57" s="70"/>
      <c r="AB57" s="82"/>
      <c r="AC57" s="82">
        <f>+Z57</f>
        <v>160000</v>
      </c>
      <c r="AD57" s="68"/>
    </row>
    <row r="58" spans="1:30" x14ac:dyDescent="0.2">
      <c r="A58" s="84"/>
      <c r="B58" s="83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70"/>
      <c r="AB58" s="82"/>
      <c r="AC58" s="82"/>
      <c r="AD58" s="68"/>
    </row>
    <row r="59" spans="1:30" x14ac:dyDescent="0.2">
      <c r="A59" s="81" t="s">
        <v>105</v>
      </c>
      <c r="B59" s="80" t="s">
        <v>412</v>
      </c>
      <c r="C59" s="79">
        <f>SUM(C48:C58)</f>
        <v>5992.9400000000005</v>
      </c>
      <c r="D59" s="79">
        <f>SUM(D48:D58)</f>
        <v>20417.32</v>
      </c>
      <c r="E59" s="76"/>
      <c r="F59" s="79">
        <f>SUM(F48:F58)</f>
        <v>500</v>
      </c>
      <c r="G59" s="79">
        <f>SUM(G48:G58)</f>
        <v>20417.32</v>
      </c>
      <c r="H59" s="76"/>
      <c r="I59" s="79">
        <f>SUM(I48:I58)</f>
        <v>13814.640000000001</v>
      </c>
      <c r="J59" s="79">
        <f>SUM(J48:J58)</f>
        <v>20417.32</v>
      </c>
      <c r="K59" s="76"/>
      <c r="L59" s="79">
        <f>SUM(L48:L58)</f>
        <v>21494</v>
      </c>
      <c r="M59" s="79">
        <f>SUM(M48:M58)</f>
        <v>20417.32</v>
      </c>
      <c r="N59" s="76"/>
      <c r="O59" s="79">
        <f>SUM(O48:O58)</f>
        <v>40000</v>
      </c>
      <c r="P59" s="79">
        <f>SUM(P48:P58)</f>
        <v>20416.34</v>
      </c>
      <c r="Q59" s="76"/>
      <c r="R59" s="79">
        <f>SUM(R48:R58)</f>
        <v>12394.42</v>
      </c>
      <c r="S59" s="79">
        <f>SUM(S48:S58)</f>
        <v>40416.339999999997</v>
      </c>
      <c r="T59" s="76"/>
      <c r="U59" s="79">
        <f>SUM(U48:U58)</f>
        <v>81715.19</v>
      </c>
      <c r="V59" s="79">
        <f>SUM(V48:V58)</f>
        <v>20416.34</v>
      </c>
      <c r="W59" s="79">
        <f>SUM(W48:W58)</f>
        <v>175911.19</v>
      </c>
      <c r="X59" s="79">
        <f>SUM(X48:X58)</f>
        <v>162918.29999999999</v>
      </c>
      <c r="Y59" s="76"/>
      <c r="Z59" s="79">
        <f>SUM(Z48:Z58)</f>
        <v>265000</v>
      </c>
      <c r="AA59" s="70"/>
      <c r="AB59" s="79">
        <f>SUM(AB48:AB58)</f>
        <v>0</v>
      </c>
      <c r="AC59" s="79">
        <f>SUM(AC48:AC58)</f>
        <v>265000</v>
      </c>
      <c r="AD59" s="68"/>
    </row>
    <row r="60" spans="1:30" x14ac:dyDescent="0.2"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70"/>
      <c r="AB60" s="67"/>
      <c r="AC60" s="74"/>
      <c r="AD60" s="68"/>
    </row>
    <row r="61" spans="1:30" x14ac:dyDescent="0.2">
      <c r="A61" s="91" t="s">
        <v>411</v>
      </c>
      <c r="B61" s="90" t="s">
        <v>410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67"/>
      <c r="AA61" s="70"/>
      <c r="AB61" s="67"/>
      <c r="AC61" s="74"/>
      <c r="AD61" s="68"/>
    </row>
    <row r="62" spans="1:30" x14ac:dyDescent="0.2">
      <c r="A62" s="88" t="s">
        <v>409</v>
      </c>
      <c r="B62" s="87" t="s">
        <v>344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6">
        <f>+C62+F62+I62+L62+O62+R62+U62</f>
        <v>0</v>
      </c>
      <c r="X62" s="86">
        <f>+D62+G62+J62+M62+P62+S62+V62</f>
        <v>0</v>
      </c>
      <c r="Y62" s="85"/>
      <c r="Z62" s="82"/>
      <c r="AA62" s="70"/>
      <c r="AB62" s="82"/>
      <c r="AC62" s="82"/>
      <c r="AD62" s="68"/>
    </row>
    <row r="63" spans="1:30" x14ac:dyDescent="0.2">
      <c r="A63" s="88" t="s">
        <v>408</v>
      </c>
      <c r="B63" s="87" t="s">
        <v>407</v>
      </c>
      <c r="C63" s="85">
        <v>2000</v>
      </c>
      <c r="D63" s="85">
        <v>416.66</v>
      </c>
      <c r="E63" s="85"/>
      <c r="F63" s="85">
        <v>1100</v>
      </c>
      <c r="G63" s="85">
        <v>416.66</v>
      </c>
      <c r="H63" s="85"/>
      <c r="I63" s="85">
        <v>660</v>
      </c>
      <c r="J63" s="85">
        <v>416.66</v>
      </c>
      <c r="K63" s="85"/>
      <c r="L63" s="85">
        <v>118</v>
      </c>
      <c r="M63" s="85">
        <v>416.66</v>
      </c>
      <c r="N63" s="85"/>
      <c r="O63" s="85">
        <v>200</v>
      </c>
      <c r="P63" s="85">
        <v>416.67</v>
      </c>
      <c r="Q63" s="85"/>
      <c r="R63" s="85">
        <v>1000</v>
      </c>
      <c r="S63" s="85">
        <v>416.67</v>
      </c>
      <c r="T63" s="85"/>
      <c r="U63" s="85">
        <v>0</v>
      </c>
      <c r="V63" s="85">
        <v>416.67</v>
      </c>
      <c r="W63" s="86">
        <f>+C63+F63+I63+L63+O63+R63+U63</f>
        <v>5078</v>
      </c>
      <c r="X63" s="86">
        <f>+D63+G63+J63+M63+P63+S63+V63</f>
        <v>2916.65</v>
      </c>
      <c r="Y63" s="85"/>
      <c r="Z63" s="82">
        <v>5000</v>
      </c>
      <c r="AA63" s="70"/>
      <c r="AB63" s="82"/>
      <c r="AC63" s="82">
        <f>+Z63</f>
        <v>5000</v>
      </c>
      <c r="AD63" s="68"/>
    </row>
    <row r="64" spans="1:30" x14ac:dyDescent="0.2">
      <c r="A64" s="88" t="s">
        <v>406</v>
      </c>
      <c r="B64" s="87" t="s">
        <v>405</v>
      </c>
      <c r="C64" s="85"/>
      <c r="D64" s="85">
        <v>80</v>
      </c>
      <c r="E64" s="85"/>
      <c r="F64" s="85"/>
      <c r="G64" s="85">
        <v>85</v>
      </c>
      <c r="H64" s="85"/>
      <c r="I64" s="85">
        <v>200</v>
      </c>
      <c r="J64" s="85">
        <v>80</v>
      </c>
      <c r="K64" s="85"/>
      <c r="L64" s="85">
        <v>100</v>
      </c>
      <c r="M64" s="85">
        <v>85</v>
      </c>
      <c r="N64" s="85"/>
      <c r="O64" s="85">
        <v>175</v>
      </c>
      <c r="P64" s="85">
        <v>80</v>
      </c>
      <c r="Q64" s="85"/>
      <c r="R64" s="85">
        <v>125</v>
      </c>
      <c r="S64" s="85">
        <v>85</v>
      </c>
      <c r="T64" s="85"/>
      <c r="U64" s="85">
        <v>150</v>
      </c>
      <c r="V64" s="85">
        <v>85</v>
      </c>
      <c r="W64" s="86">
        <f>+C64+F64+I64+L64+O64+R64+U64</f>
        <v>750</v>
      </c>
      <c r="X64" s="86">
        <f>+D64+G64+J64+M64+P64+S64+V64</f>
        <v>580</v>
      </c>
      <c r="Y64" s="85"/>
      <c r="Z64" s="82">
        <v>1000</v>
      </c>
      <c r="AA64" s="70"/>
      <c r="AB64" s="82">
        <f>+Z64</f>
        <v>1000</v>
      </c>
      <c r="AC64" s="82"/>
      <c r="AD64" s="68"/>
    </row>
    <row r="65" spans="1:30" x14ac:dyDescent="0.2">
      <c r="A65" s="88" t="s">
        <v>404</v>
      </c>
      <c r="B65" s="87" t="s">
        <v>403</v>
      </c>
      <c r="C65" s="85">
        <v>1794.12</v>
      </c>
      <c r="D65" s="85">
        <v>1250</v>
      </c>
      <c r="E65" s="85"/>
      <c r="F65" s="85">
        <v>642.24</v>
      </c>
      <c r="G65" s="85">
        <v>1250</v>
      </c>
      <c r="H65" s="85"/>
      <c r="I65" s="85"/>
      <c r="J65" s="85">
        <v>1250</v>
      </c>
      <c r="K65" s="85"/>
      <c r="L65" s="85">
        <v>14832.17</v>
      </c>
      <c r="M65" s="85">
        <v>1250</v>
      </c>
      <c r="N65" s="85"/>
      <c r="O65" s="85">
        <v>11906.59</v>
      </c>
      <c r="P65" s="85">
        <v>1250</v>
      </c>
      <c r="Q65" s="85"/>
      <c r="R65" s="85">
        <v>14521.7</v>
      </c>
      <c r="S65" s="85">
        <v>1250</v>
      </c>
      <c r="T65" s="85"/>
      <c r="U65" s="85">
        <v>10853.84</v>
      </c>
      <c r="V65" s="85">
        <v>1250</v>
      </c>
      <c r="W65" s="86">
        <f>+C65+F65+I65+L65+O65+R65+U65</f>
        <v>54550.66</v>
      </c>
      <c r="X65" s="86">
        <f>+D65+G65+J65+M65+P65+S65+V65</f>
        <v>8750</v>
      </c>
      <c r="Y65" s="85"/>
      <c r="Z65" s="82">
        <v>15000</v>
      </c>
      <c r="AA65" s="70"/>
      <c r="AB65" s="82">
        <f>+Z65</f>
        <v>15000</v>
      </c>
      <c r="AC65" s="82"/>
      <c r="AD65" s="68"/>
    </row>
    <row r="66" spans="1:30" x14ac:dyDescent="0.2">
      <c r="A66" s="88" t="s">
        <v>402</v>
      </c>
      <c r="B66" s="87" t="s">
        <v>401</v>
      </c>
      <c r="C66" s="85"/>
      <c r="D66" s="85"/>
      <c r="E66" s="85"/>
      <c r="F66" s="85">
        <v>35739.71</v>
      </c>
      <c r="G66" s="85">
        <v>35000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>
        <v>0</v>
      </c>
      <c r="S66" s="85">
        <v>0</v>
      </c>
      <c r="T66" s="85"/>
      <c r="U66" s="85">
        <v>0</v>
      </c>
      <c r="V66" s="85">
        <v>0</v>
      </c>
      <c r="W66" s="86">
        <f>+C66+F66+I66+L66+O66+R66+U66</f>
        <v>35739.71</v>
      </c>
      <c r="X66" s="86">
        <f>+D66+G66+J66+M66+P66+S66+V66</f>
        <v>35000</v>
      </c>
      <c r="Y66" s="85"/>
      <c r="Z66" s="82">
        <v>70000</v>
      </c>
      <c r="AA66" s="70"/>
      <c r="AB66" s="82">
        <f>+Z66</f>
        <v>70000</v>
      </c>
      <c r="AC66" s="82"/>
      <c r="AD66" s="68"/>
    </row>
    <row r="67" spans="1:30" x14ac:dyDescent="0.2">
      <c r="A67" s="88"/>
      <c r="B67" s="87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2"/>
      <c r="AA67" s="70"/>
      <c r="AB67" s="82"/>
      <c r="AC67" s="82"/>
      <c r="AD67" s="68"/>
    </row>
    <row r="68" spans="1:30" x14ac:dyDescent="0.2">
      <c r="A68" s="81" t="s">
        <v>105</v>
      </c>
      <c r="B68" s="80" t="s">
        <v>400</v>
      </c>
      <c r="C68" s="79">
        <f>SUM(C62:C67)</f>
        <v>3794.12</v>
      </c>
      <c r="D68" s="79">
        <f>SUM(D62:D67)</f>
        <v>1746.66</v>
      </c>
      <c r="E68" s="76"/>
      <c r="F68" s="79">
        <f>SUM(F62:F67)</f>
        <v>37481.949999999997</v>
      </c>
      <c r="G68" s="79">
        <f>SUM(G62:G67)</f>
        <v>36751.660000000003</v>
      </c>
      <c r="H68" s="76"/>
      <c r="I68" s="79">
        <f>SUM(I62:I67)</f>
        <v>860</v>
      </c>
      <c r="J68" s="79">
        <f>SUM(J62:J67)</f>
        <v>1746.66</v>
      </c>
      <c r="K68" s="76"/>
      <c r="L68" s="79">
        <f>SUM(L62:L67)</f>
        <v>15050.17</v>
      </c>
      <c r="M68" s="79">
        <f>SUM(M62:M67)</f>
        <v>1751.66</v>
      </c>
      <c r="N68" s="76"/>
      <c r="O68" s="79">
        <f>SUM(O62:O67)</f>
        <v>12281.59</v>
      </c>
      <c r="P68" s="79">
        <f>SUM(P62:P67)</f>
        <v>1746.67</v>
      </c>
      <c r="Q68" s="76"/>
      <c r="R68" s="79">
        <f>SUM(R62:R67)</f>
        <v>15646.7</v>
      </c>
      <c r="S68" s="79">
        <f>SUM(S62:S67)</f>
        <v>1751.67</v>
      </c>
      <c r="T68" s="76"/>
      <c r="U68" s="79">
        <f>SUM(U62:U67)</f>
        <v>11003.84</v>
      </c>
      <c r="V68" s="79">
        <f>SUM(V62:V67)</f>
        <v>1751.67</v>
      </c>
      <c r="W68" s="79">
        <f>SUM(W62:W67)</f>
        <v>96118.37</v>
      </c>
      <c r="X68" s="79">
        <f>SUM(X62:X67)</f>
        <v>47246.65</v>
      </c>
      <c r="Y68" s="76"/>
      <c r="Z68" s="79">
        <f>SUM(Z62:Z67)</f>
        <v>91000</v>
      </c>
      <c r="AA68" s="70"/>
      <c r="AB68" s="79">
        <f>SUM(AB62:AB67)</f>
        <v>86000</v>
      </c>
      <c r="AC68" s="79">
        <f>SUM(AC62:AC67)</f>
        <v>5000</v>
      </c>
      <c r="AD68" s="68"/>
    </row>
    <row r="69" spans="1:30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70"/>
      <c r="AB69" s="67"/>
      <c r="AC69" s="74"/>
      <c r="AD69" s="68"/>
    </row>
    <row r="70" spans="1:30" x14ac:dyDescent="0.2">
      <c r="A70" s="91" t="s">
        <v>399</v>
      </c>
      <c r="B70" s="90" t="s">
        <v>398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67"/>
      <c r="AA70" s="70"/>
      <c r="AB70" s="67"/>
      <c r="AC70" s="74"/>
      <c r="AD70" s="68"/>
    </row>
    <row r="71" spans="1:30" x14ac:dyDescent="0.2">
      <c r="A71" s="88" t="s">
        <v>397</v>
      </c>
      <c r="B71" s="87" t="s">
        <v>396</v>
      </c>
      <c r="C71" s="85"/>
      <c r="D71" s="85">
        <v>166.66</v>
      </c>
      <c r="E71" s="85"/>
      <c r="F71" s="85"/>
      <c r="G71" s="85">
        <v>166.66</v>
      </c>
      <c r="H71" s="85"/>
      <c r="I71" s="85">
        <v>250</v>
      </c>
      <c r="J71" s="85">
        <v>166.66</v>
      </c>
      <c r="K71" s="85"/>
      <c r="L71" s="85">
        <v>1715</v>
      </c>
      <c r="M71" s="85">
        <v>166.66</v>
      </c>
      <c r="N71" s="85"/>
      <c r="O71" s="85">
        <v>850</v>
      </c>
      <c r="P71" s="85">
        <v>166.67</v>
      </c>
      <c r="Q71" s="85"/>
      <c r="R71" s="85">
        <v>1100</v>
      </c>
      <c r="S71" s="85">
        <v>166.67</v>
      </c>
      <c r="T71" s="85"/>
      <c r="U71" s="85">
        <v>500</v>
      </c>
      <c r="V71" s="85">
        <v>166.67</v>
      </c>
      <c r="W71" s="86">
        <f>+C71+F71+I71+L71+O71+R71+U71</f>
        <v>4415</v>
      </c>
      <c r="X71" s="86">
        <f>+D71+G71+J71+M71+P71+S71+V71</f>
        <v>1166.6499999999999</v>
      </c>
      <c r="Y71" s="85"/>
      <c r="Z71" s="82">
        <v>2000</v>
      </c>
      <c r="AA71" s="70"/>
      <c r="AB71" s="82"/>
      <c r="AC71" s="82">
        <f>+Z71</f>
        <v>2000</v>
      </c>
      <c r="AD71" s="68"/>
    </row>
    <row r="72" spans="1:30" x14ac:dyDescent="0.2">
      <c r="A72" s="88" t="s">
        <v>395</v>
      </c>
      <c r="B72" s="87" t="s">
        <v>394</v>
      </c>
      <c r="C72" s="85">
        <v>401</v>
      </c>
      <c r="D72" s="85">
        <v>250</v>
      </c>
      <c r="E72" s="85"/>
      <c r="F72" s="85">
        <v>275</v>
      </c>
      <c r="G72" s="85">
        <v>250</v>
      </c>
      <c r="H72" s="85"/>
      <c r="I72" s="85">
        <v>2250</v>
      </c>
      <c r="J72" s="85">
        <v>250</v>
      </c>
      <c r="K72" s="85"/>
      <c r="L72" s="85">
        <v>1595</v>
      </c>
      <c r="M72" s="85">
        <v>250</v>
      </c>
      <c r="N72" s="85"/>
      <c r="O72" s="85">
        <v>0</v>
      </c>
      <c r="P72" s="85">
        <v>250</v>
      </c>
      <c r="Q72" s="85"/>
      <c r="R72" s="85">
        <v>0</v>
      </c>
      <c r="S72" s="85">
        <v>250</v>
      </c>
      <c r="T72" s="85"/>
      <c r="U72" s="85"/>
      <c r="V72" s="85">
        <v>250</v>
      </c>
      <c r="W72" s="86">
        <f>+C72+F72+I72+L72+O72+R72+U72</f>
        <v>4521</v>
      </c>
      <c r="X72" s="86">
        <f>+D72+G72+J72+M72+P72+S72+V72</f>
        <v>1750</v>
      </c>
      <c r="Y72" s="85"/>
      <c r="Z72" s="82">
        <v>3000</v>
      </c>
      <c r="AA72" s="70"/>
      <c r="AB72" s="82"/>
      <c r="AC72" s="82">
        <f>+Z72</f>
        <v>3000</v>
      </c>
      <c r="AD72" s="68"/>
    </row>
    <row r="73" spans="1:30" x14ac:dyDescent="0.2">
      <c r="A73" s="88" t="s">
        <v>393</v>
      </c>
      <c r="B73" s="87" t="s">
        <v>392</v>
      </c>
      <c r="C73" s="85"/>
      <c r="D73" s="85">
        <v>250</v>
      </c>
      <c r="E73" s="85"/>
      <c r="F73" s="85">
        <v>1104</v>
      </c>
      <c r="G73" s="85">
        <v>250</v>
      </c>
      <c r="H73" s="85"/>
      <c r="I73" s="85"/>
      <c r="J73" s="85">
        <v>250</v>
      </c>
      <c r="K73" s="85"/>
      <c r="L73" s="85">
        <v>2225</v>
      </c>
      <c r="M73" s="85">
        <v>250</v>
      </c>
      <c r="N73" s="85"/>
      <c r="O73" s="85">
        <v>2550</v>
      </c>
      <c r="P73" s="85">
        <v>250</v>
      </c>
      <c r="Q73" s="85"/>
      <c r="R73" s="85">
        <v>0</v>
      </c>
      <c r="S73" s="85">
        <v>250</v>
      </c>
      <c r="T73" s="85"/>
      <c r="U73" s="85"/>
      <c r="V73" s="85">
        <v>250</v>
      </c>
      <c r="W73" s="86">
        <f>+C73+F73+I73+L73+O73+R73+U73</f>
        <v>5879</v>
      </c>
      <c r="X73" s="86">
        <f>+D73+G73+J73+M73+P73+S73+V73</f>
        <v>1750</v>
      </c>
      <c r="Y73" s="85"/>
      <c r="Z73" s="82">
        <v>3000</v>
      </c>
      <c r="AA73" s="70"/>
      <c r="AB73" s="82"/>
      <c r="AC73" s="82">
        <f>+Z73</f>
        <v>3000</v>
      </c>
      <c r="AD73" s="68"/>
    </row>
    <row r="74" spans="1:30" x14ac:dyDescent="0.2">
      <c r="A74" s="88"/>
      <c r="B74" s="87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2"/>
      <c r="AA74" s="70"/>
      <c r="AB74" s="82"/>
      <c r="AC74" s="82"/>
      <c r="AD74" s="68"/>
    </row>
    <row r="75" spans="1:30" x14ac:dyDescent="0.2">
      <c r="A75" s="81" t="s">
        <v>105</v>
      </c>
      <c r="B75" s="80" t="s">
        <v>391</v>
      </c>
      <c r="C75" s="79">
        <f>SUM(C71:C74)</f>
        <v>401</v>
      </c>
      <c r="D75" s="79">
        <f>SUM(D71:D74)</f>
        <v>666.66</v>
      </c>
      <c r="E75" s="76"/>
      <c r="F75" s="79">
        <f>SUM(F71:F74)</f>
        <v>1379</v>
      </c>
      <c r="G75" s="79">
        <f>SUM(G71:G74)</f>
        <v>666.66</v>
      </c>
      <c r="H75" s="76"/>
      <c r="I75" s="79">
        <f>SUM(I71:I74)</f>
        <v>2500</v>
      </c>
      <c r="J75" s="79">
        <f>SUM(J71:J74)</f>
        <v>666.66</v>
      </c>
      <c r="K75" s="76"/>
      <c r="L75" s="79">
        <f>SUM(L71:L74)</f>
        <v>5535</v>
      </c>
      <c r="M75" s="79">
        <f>SUM(M71:M74)</f>
        <v>666.66</v>
      </c>
      <c r="N75" s="76"/>
      <c r="O75" s="79">
        <f>SUM(O71:O74)</f>
        <v>3400</v>
      </c>
      <c r="P75" s="79">
        <f>SUM(P71:P74)</f>
        <v>666.67</v>
      </c>
      <c r="Q75" s="76"/>
      <c r="R75" s="79">
        <f>SUM(R71:R74)</f>
        <v>1100</v>
      </c>
      <c r="S75" s="79">
        <f>SUM(S71:S74)</f>
        <v>666.67</v>
      </c>
      <c r="T75" s="76"/>
      <c r="U75" s="79">
        <f>SUM(U71:U74)</f>
        <v>500</v>
      </c>
      <c r="V75" s="79">
        <f>SUM(V71:V74)</f>
        <v>666.67</v>
      </c>
      <c r="W75" s="79">
        <f>SUM(W71:W74)</f>
        <v>14815</v>
      </c>
      <c r="X75" s="79">
        <f>SUM(X71:X74)</f>
        <v>4666.6499999999996</v>
      </c>
      <c r="Y75" s="76"/>
      <c r="Z75" s="79">
        <f>SUM(Z71:Z74)</f>
        <v>8000</v>
      </c>
      <c r="AA75" s="70"/>
      <c r="AB75" s="79">
        <f>SUM(AB71:AB74)</f>
        <v>0</v>
      </c>
      <c r="AC75" s="79">
        <f>SUM(AC71:AC74)</f>
        <v>8000</v>
      </c>
      <c r="AD75" s="68"/>
    </row>
    <row r="76" spans="1:30" x14ac:dyDescent="0.2"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70"/>
      <c r="AB76" s="67"/>
      <c r="AC76" s="74"/>
      <c r="AD76" s="68"/>
    </row>
    <row r="77" spans="1:30" x14ac:dyDescent="0.2">
      <c r="A77" s="91" t="s">
        <v>390</v>
      </c>
      <c r="B77" s="90" t="s">
        <v>386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67"/>
      <c r="AA77" s="70"/>
      <c r="AB77" s="67"/>
      <c r="AC77" s="74"/>
      <c r="AD77" s="68"/>
    </row>
    <row r="78" spans="1:30" x14ac:dyDescent="0.2">
      <c r="A78" s="88" t="s">
        <v>389</v>
      </c>
      <c r="B78" s="87" t="s">
        <v>388</v>
      </c>
      <c r="C78" s="85">
        <v>28743.07</v>
      </c>
      <c r="D78" s="85">
        <v>22166.66</v>
      </c>
      <c r="E78" s="85"/>
      <c r="F78" s="85">
        <v>22963.22</v>
      </c>
      <c r="G78" s="85">
        <v>22166.66</v>
      </c>
      <c r="H78" s="85"/>
      <c r="I78" s="85">
        <v>38583.21</v>
      </c>
      <c r="J78" s="85">
        <v>22166.66</v>
      </c>
      <c r="K78" s="85"/>
      <c r="L78" s="85">
        <v>31404.16</v>
      </c>
      <c r="M78" s="85">
        <v>22166.66</v>
      </c>
      <c r="N78" s="85"/>
      <c r="O78" s="85">
        <v>31580.99</v>
      </c>
      <c r="P78" s="85">
        <v>22166.67</v>
      </c>
      <c r="Q78" s="85"/>
      <c r="R78" s="85">
        <v>33087.58</v>
      </c>
      <c r="S78" s="85">
        <v>22166.67</v>
      </c>
      <c r="T78" s="85"/>
      <c r="U78" s="85">
        <v>31376.26</v>
      </c>
      <c r="V78" s="85">
        <v>22166.67</v>
      </c>
      <c r="W78" s="86">
        <f>+C78+F78+I78+L78+O78+R78+U78</f>
        <v>217738.49</v>
      </c>
      <c r="X78" s="86">
        <f>+D78+G78+J78+M78+P78+S78+V78</f>
        <v>155166.64999999997</v>
      </c>
      <c r="Y78" s="85"/>
      <c r="Z78" s="82">
        <v>266000</v>
      </c>
      <c r="AA78" s="70"/>
      <c r="AB78" s="82">
        <f>+Z78</f>
        <v>266000</v>
      </c>
      <c r="AC78" s="82">
        <v>0</v>
      </c>
      <c r="AD78" s="68"/>
    </row>
    <row r="79" spans="1:30" x14ac:dyDescent="0.2">
      <c r="A79" s="88" t="s">
        <v>387</v>
      </c>
      <c r="B79" s="87" t="s">
        <v>386</v>
      </c>
      <c r="C79" s="85">
        <v>18472.009999999998</v>
      </c>
      <c r="D79" s="85"/>
      <c r="E79" s="85"/>
      <c r="F79" s="85">
        <v>4038.69</v>
      </c>
      <c r="G79" s="85"/>
      <c r="H79" s="85"/>
      <c r="I79" s="85">
        <v>5368.52</v>
      </c>
      <c r="J79" s="85"/>
      <c r="K79" s="85"/>
      <c r="L79" s="85">
        <v>5475.28</v>
      </c>
      <c r="M79" s="85"/>
      <c r="N79" s="85"/>
      <c r="O79" s="85">
        <v>2663.16</v>
      </c>
      <c r="P79" s="85"/>
      <c r="Q79" s="85"/>
      <c r="R79" s="85">
        <v>11374.71</v>
      </c>
      <c r="S79" s="85">
        <v>0</v>
      </c>
      <c r="T79" s="85"/>
      <c r="U79" s="85">
        <v>5680.11</v>
      </c>
      <c r="V79" s="85"/>
      <c r="W79" s="86">
        <f>+C79+F79+I79+L79+O79+R79+U79</f>
        <v>53072.480000000003</v>
      </c>
      <c r="X79" s="86">
        <f>+D79+G79+J79+M79+P79+S79+V79</f>
        <v>0</v>
      </c>
      <c r="Y79" s="85"/>
      <c r="Z79" s="82">
        <v>0</v>
      </c>
      <c r="AA79" s="70"/>
      <c r="AB79" s="82">
        <v>0</v>
      </c>
      <c r="AC79" s="82">
        <v>0</v>
      </c>
      <c r="AD79" s="68"/>
    </row>
    <row r="80" spans="1:30" x14ac:dyDescent="0.2">
      <c r="A80" s="88"/>
      <c r="B80" s="8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2">
        <v>0</v>
      </c>
      <c r="AA80" s="70"/>
      <c r="AB80" s="82"/>
      <c r="AC80" s="82"/>
      <c r="AD80" s="68"/>
    </row>
    <row r="81" spans="1:30" x14ac:dyDescent="0.2">
      <c r="A81" s="81" t="s">
        <v>105</v>
      </c>
      <c r="B81" s="80" t="s">
        <v>385</v>
      </c>
      <c r="C81" s="79">
        <f>SUM(C78:C80)</f>
        <v>47215.08</v>
      </c>
      <c r="D81" s="79">
        <f>SUM(D78:D80)</f>
        <v>22166.66</v>
      </c>
      <c r="E81" s="76"/>
      <c r="F81" s="79">
        <f>SUM(F78:F80)</f>
        <v>27001.91</v>
      </c>
      <c r="G81" s="79">
        <f>SUM(G78:G80)</f>
        <v>22166.66</v>
      </c>
      <c r="H81" s="76"/>
      <c r="I81" s="79">
        <f>SUM(I78:I80)</f>
        <v>43951.729999999996</v>
      </c>
      <c r="J81" s="79">
        <f>SUM(J78:J80)</f>
        <v>22166.66</v>
      </c>
      <c r="K81" s="76"/>
      <c r="L81" s="79">
        <f>SUM(L78:L80)</f>
        <v>36879.440000000002</v>
      </c>
      <c r="M81" s="79">
        <f>SUM(M78:M80)</f>
        <v>22166.66</v>
      </c>
      <c r="N81" s="76"/>
      <c r="O81" s="79">
        <f>SUM(O78:O80)</f>
        <v>34244.15</v>
      </c>
      <c r="P81" s="79">
        <f>SUM(P78:P80)</f>
        <v>22166.67</v>
      </c>
      <c r="Q81" s="76"/>
      <c r="R81" s="79">
        <f>SUM(R78:R80)</f>
        <v>44462.29</v>
      </c>
      <c r="S81" s="79">
        <f>SUM(S78:S80)</f>
        <v>22166.67</v>
      </c>
      <c r="T81" s="76"/>
      <c r="U81" s="79">
        <f>SUM(U78:U80)</f>
        <v>37056.369999999995</v>
      </c>
      <c r="V81" s="79">
        <f>SUM(V78:V80)</f>
        <v>22166.67</v>
      </c>
      <c r="W81" s="79">
        <f>SUM(W78:W80)</f>
        <v>270810.96999999997</v>
      </c>
      <c r="X81" s="79">
        <f>SUM(X78:X80)</f>
        <v>155166.64999999997</v>
      </c>
      <c r="Y81" s="76"/>
      <c r="Z81" s="79">
        <f>SUM(Z78:Z80)</f>
        <v>266000</v>
      </c>
      <c r="AA81" s="70"/>
      <c r="AB81" s="79">
        <f>SUM(AB78:AB80)</f>
        <v>266000</v>
      </c>
      <c r="AC81" s="79">
        <f>SUM(AC78:AC80)</f>
        <v>0</v>
      </c>
      <c r="AD81" s="68"/>
    </row>
    <row r="82" spans="1:30" x14ac:dyDescent="0.2"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70"/>
      <c r="AB82" s="67"/>
      <c r="AC82" s="74"/>
      <c r="AD82" s="68"/>
    </row>
    <row r="83" spans="1:30" x14ac:dyDescent="0.2">
      <c r="A83" s="91" t="s">
        <v>384</v>
      </c>
      <c r="B83" s="90" t="s">
        <v>383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67"/>
      <c r="AA83" s="70"/>
      <c r="AB83" s="67"/>
      <c r="AC83" s="74"/>
      <c r="AD83" s="68"/>
    </row>
    <row r="84" spans="1:30" x14ac:dyDescent="0.2">
      <c r="A84" s="88" t="s">
        <v>382</v>
      </c>
      <c r="B84" s="87" t="s">
        <v>381</v>
      </c>
      <c r="C84" s="85">
        <v>35380.83</v>
      </c>
      <c r="D84" s="85"/>
      <c r="E84" s="85"/>
      <c r="F84" s="85"/>
      <c r="G84" s="85"/>
      <c r="H84" s="85"/>
      <c r="I84" s="85"/>
      <c r="J84" s="85"/>
      <c r="K84" s="85"/>
      <c r="L84" s="85">
        <v>1077.51</v>
      </c>
      <c r="M84" s="85"/>
      <c r="N84" s="85"/>
      <c r="O84" s="85">
        <v>4152.96</v>
      </c>
      <c r="P84" s="85"/>
      <c r="Q84" s="85"/>
      <c r="R84" s="85">
        <v>-9415.4500000000007</v>
      </c>
      <c r="S84" s="85">
        <v>0</v>
      </c>
      <c r="T84" s="85"/>
      <c r="U84" s="85">
        <v>-18189.240000000002</v>
      </c>
      <c r="V84" s="85"/>
      <c r="W84" s="86">
        <f>+C84+F84+I84+L84+O84+R84+U84</f>
        <v>13006.61</v>
      </c>
      <c r="X84" s="86">
        <f>+D84+G84+J84+M84+P84+S84+V84</f>
        <v>0</v>
      </c>
      <c r="Y84" s="85"/>
      <c r="Z84" s="82"/>
      <c r="AA84" s="70"/>
      <c r="AB84" s="82">
        <v>0</v>
      </c>
      <c r="AC84" s="82">
        <v>0</v>
      </c>
      <c r="AD84" s="68"/>
    </row>
    <row r="85" spans="1:30" x14ac:dyDescent="0.2">
      <c r="A85" s="88">
        <v>4050400</v>
      </c>
      <c r="B85" s="87" t="s">
        <v>380</v>
      </c>
      <c r="C85" s="85">
        <v>-67112.539999999994</v>
      </c>
      <c r="D85" s="85"/>
      <c r="E85" s="85"/>
      <c r="F85" s="85">
        <v>974.99</v>
      </c>
      <c r="G85" s="85"/>
      <c r="H85" s="85"/>
      <c r="I85" s="85">
        <v>3344.2</v>
      </c>
      <c r="J85" s="85"/>
      <c r="K85" s="85"/>
      <c r="L85" s="85"/>
      <c r="M85" s="85"/>
      <c r="N85" s="85"/>
      <c r="O85" s="85"/>
      <c r="P85" s="85"/>
      <c r="Q85" s="85"/>
      <c r="R85" s="85">
        <v>0</v>
      </c>
      <c r="S85" s="85">
        <v>0</v>
      </c>
      <c r="T85" s="85"/>
      <c r="U85" s="85"/>
      <c r="V85" s="85"/>
      <c r="W85" s="86">
        <f>+C85+F85+I85+L85+O85+R85+U85</f>
        <v>-62793.349999999991</v>
      </c>
      <c r="X85" s="86">
        <f>+D85+G85+J85+M85+P85+S85+V85</f>
        <v>0</v>
      </c>
      <c r="Y85" s="85"/>
      <c r="Z85" s="82"/>
      <c r="AA85" s="70"/>
      <c r="AB85" s="82"/>
      <c r="AC85" s="82"/>
      <c r="AD85" s="68"/>
    </row>
    <row r="86" spans="1:30" x14ac:dyDescent="0.2">
      <c r="A86" s="88"/>
      <c r="B86" s="87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2"/>
      <c r="AA86" s="70"/>
      <c r="AB86" s="82"/>
      <c r="AC86" s="82"/>
      <c r="AD86" s="68"/>
    </row>
    <row r="87" spans="1:30" x14ac:dyDescent="0.2">
      <c r="A87" s="81" t="s">
        <v>105</v>
      </c>
      <c r="B87" s="80" t="s">
        <v>379</v>
      </c>
      <c r="C87" s="79">
        <f>SUM(C84:C86)</f>
        <v>-31731.709999999992</v>
      </c>
      <c r="D87" s="79">
        <f>SUM(D84:D86)</f>
        <v>0</v>
      </c>
      <c r="E87" s="76"/>
      <c r="F87" s="79">
        <f>SUM(F84:F86)</f>
        <v>974.99</v>
      </c>
      <c r="G87" s="79">
        <f>SUM(G84:G86)</f>
        <v>0</v>
      </c>
      <c r="H87" s="76"/>
      <c r="I87" s="79">
        <f>SUM(I84:I86)</f>
        <v>3344.2</v>
      </c>
      <c r="J87" s="79">
        <f>SUM(J84:J86)</f>
        <v>0</v>
      </c>
      <c r="K87" s="76"/>
      <c r="L87" s="79">
        <f>SUM(L84:L86)</f>
        <v>1077.51</v>
      </c>
      <c r="M87" s="79">
        <f>SUM(M84:M86)</f>
        <v>0</v>
      </c>
      <c r="N87" s="76"/>
      <c r="O87" s="79">
        <f>SUM(O84:O86)</f>
        <v>4152.96</v>
      </c>
      <c r="P87" s="79">
        <f>SUM(P84:P86)</f>
        <v>0</v>
      </c>
      <c r="Q87" s="76"/>
      <c r="R87" s="79">
        <f>SUM(R84:R86)</f>
        <v>-9415.4500000000007</v>
      </c>
      <c r="S87" s="79">
        <f>SUM(S84:S86)</f>
        <v>0</v>
      </c>
      <c r="T87" s="76"/>
      <c r="U87" s="79">
        <f>SUM(U84:U86)</f>
        <v>-18189.240000000002</v>
      </c>
      <c r="V87" s="79">
        <f>SUM(V84:V86)</f>
        <v>0</v>
      </c>
      <c r="W87" s="79">
        <f>SUM(W84:W86)</f>
        <v>-49786.739999999991</v>
      </c>
      <c r="X87" s="79">
        <f>SUM(X84:X86)</f>
        <v>0</v>
      </c>
      <c r="Y87" s="76"/>
      <c r="Z87" s="79">
        <f>SUM(Z84:Z86)</f>
        <v>0</v>
      </c>
      <c r="AA87" s="70"/>
      <c r="AB87" s="79">
        <f>SUM(AB84:AB86)</f>
        <v>0</v>
      </c>
      <c r="AC87" s="79">
        <f>SUM(AC84:AC86)</f>
        <v>0</v>
      </c>
      <c r="AD87" s="68"/>
    </row>
    <row r="88" spans="1:30" x14ac:dyDescent="0.2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70"/>
      <c r="AB88" s="67"/>
      <c r="AC88" s="74"/>
      <c r="AD88" s="68"/>
    </row>
    <row r="89" spans="1:30" x14ac:dyDescent="0.2">
      <c r="A89" s="91" t="s">
        <v>378</v>
      </c>
      <c r="B89" s="90" t="s">
        <v>377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67"/>
      <c r="AA89" s="70"/>
      <c r="AB89" s="67"/>
      <c r="AC89" s="74"/>
      <c r="AD89" s="68"/>
    </row>
    <row r="90" spans="1:30" x14ac:dyDescent="0.2">
      <c r="A90" s="88" t="s">
        <v>376</v>
      </c>
      <c r="B90" s="87" t="s">
        <v>375</v>
      </c>
      <c r="C90" s="85">
        <v>750</v>
      </c>
      <c r="D90" s="85">
        <v>125</v>
      </c>
      <c r="E90" s="85"/>
      <c r="F90" s="85"/>
      <c r="G90" s="85">
        <v>125</v>
      </c>
      <c r="H90" s="85"/>
      <c r="I90" s="85"/>
      <c r="J90" s="85">
        <v>125</v>
      </c>
      <c r="K90" s="85"/>
      <c r="L90" s="85">
        <v>1000</v>
      </c>
      <c r="M90" s="85">
        <v>125</v>
      </c>
      <c r="N90" s="85"/>
      <c r="O90" s="85"/>
      <c r="P90" s="85">
        <v>125</v>
      </c>
      <c r="Q90" s="85"/>
      <c r="R90" s="85">
        <v>0</v>
      </c>
      <c r="S90" s="85">
        <v>125</v>
      </c>
      <c r="T90" s="85"/>
      <c r="U90" s="85">
        <v>1750</v>
      </c>
      <c r="V90" s="85">
        <v>125</v>
      </c>
      <c r="W90" s="86">
        <f>+C90+F90+I90+L90+O90+R90+U90</f>
        <v>3500</v>
      </c>
      <c r="X90" s="86">
        <f>+D90+G90+J90+M90+P90+S90+V90</f>
        <v>875</v>
      </c>
      <c r="Y90" s="85"/>
      <c r="Z90" s="82">
        <v>1500</v>
      </c>
      <c r="AA90" s="70"/>
      <c r="AB90" s="82">
        <f>+Z90</f>
        <v>1500</v>
      </c>
      <c r="AC90" s="82"/>
      <c r="AD90" s="68"/>
    </row>
    <row r="91" spans="1:30" x14ac:dyDescent="0.2">
      <c r="A91" s="88" t="s">
        <v>374</v>
      </c>
      <c r="B91" s="87" t="s">
        <v>373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>
        <v>0</v>
      </c>
      <c r="S91" s="85">
        <v>0</v>
      </c>
      <c r="T91" s="85"/>
      <c r="U91" s="85"/>
      <c r="V91" s="85"/>
      <c r="W91" s="86">
        <f>+C91+F91+I91+L91+O91+R91+U91</f>
        <v>0</v>
      </c>
      <c r="X91" s="86">
        <f>+D91+G91+J91+M91+P91+S91+V91</f>
        <v>0</v>
      </c>
      <c r="Y91" s="85"/>
      <c r="Z91" s="82"/>
      <c r="AA91" s="70"/>
      <c r="AB91" s="82">
        <f>+Z91</f>
        <v>0</v>
      </c>
      <c r="AC91" s="82">
        <f>+Z91</f>
        <v>0</v>
      </c>
      <c r="AD91" s="68"/>
    </row>
    <row r="92" spans="1:30" x14ac:dyDescent="0.2">
      <c r="A92" s="88" t="s">
        <v>372</v>
      </c>
      <c r="B92" s="87" t="s">
        <v>112</v>
      </c>
      <c r="C92" s="85">
        <v>6332.73</v>
      </c>
      <c r="D92" s="85">
        <v>208.34</v>
      </c>
      <c r="E92" s="85"/>
      <c r="F92" s="85">
        <v>513</v>
      </c>
      <c r="G92" s="85">
        <v>208.34</v>
      </c>
      <c r="H92" s="85"/>
      <c r="I92" s="85">
        <v>1678.45</v>
      </c>
      <c r="J92" s="85">
        <v>208.34</v>
      </c>
      <c r="K92" s="85"/>
      <c r="L92" s="85">
        <v>6097.75</v>
      </c>
      <c r="M92" s="85">
        <v>208.34</v>
      </c>
      <c r="N92" s="85"/>
      <c r="O92" s="85">
        <v>3499.26</v>
      </c>
      <c r="P92" s="85">
        <v>208.33</v>
      </c>
      <c r="Q92" s="85"/>
      <c r="R92" s="85">
        <v>2531.4499999999998</v>
      </c>
      <c r="S92" s="85">
        <v>208.33</v>
      </c>
      <c r="T92" s="85"/>
      <c r="U92" s="85">
        <v>3420.15</v>
      </c>
      <c r="V92" s="85">
        <v>208.33</v>
      </c>
      <c r="W92" s="86">
        <f>+C92+F92+I92+L92+O92+R92+U92</f>
        <v>24072.790000000005</v>
      </c>
      <c r="X92" s="86">
        <f>+D92+G92+J92+M92+P92+S92+V92</f>
        <v>1458.35</v>
      </c>
      <c r="Y92" s="85"/>
      <c r="Z92" s="82">
        <v>2500</v>
      </c>
      <c r="AA92" s="70"/>
      <c r="AB92" s="82">
        <v>2500</v>
      </c>
      <c r="AC92" s="82">
        <f>+Z92-AB92</f>
        <v>0</v>
      </c>
      <c r="AD92" s="68"/>
    </row>
    <row r="93" spans="1:30" x14ac:dyDescent="0.2">
      <c r="A93" s="88" t="s">
        <v>371</v>
      </c>
      <c r="B93" s="87" t="s">
        <v>370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>
        <v>0</v>
      </c>
      <c r="S93" s="85">
        <v>0</v>
      </c>
      <c r="T93" s="85"/>
      <c r="U93" s="85"/>
      <c r="V93" s="85"/>
      <c r="W93" s="86">
        <f>+C93+F93+I93+L93+O93+R93+U93</f>
        <v>0</v>
      </c>
      <c r="X93" s="86">
        <f>+D93+G93+J93+M93+P93+S93+V93</f>
        <v>0</v>
      </c>
      <c r="Y93" s="85"/>
      <c r="Z93" s="82">
        <v>0</v>
      </c>
      <c r="AA93" s="70"/>
      <c r="AB93" s="82">
        <f>+Z93</f>
        <v>0</v>
      </c>
      <c r="AC93" s="82">
        <v>0</v>
      </c>
      <c r="AD93" s="68"/>
    </row>
    <row r="94" spans="1:30" x14ac:dyDescent="0.2">
      <c r="A94" s="88" t="s">
        <v>369</v>
      </c>
      <c r="B94" s="87" t="s">
        <v>368</v>
      </c>
      <c r="C94" s="85"/>
      <c r="D94" s="85"/>
      <c r="E94" s="85"/>
      <c r="F94" s="85">
        <v>12312</v>
      </c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>
        <v>0</v>
      </c>
      <c r="S94" s="85">
        <v>0</v>
      </c>
      <c r="T94" s="85"/>
      <c r="U94" s="85">
        <v>0</v>
      </c>
      <c r="V94" s="85">
        <v>500000</v>
      </c>
      <c r="W94" s="86">
        <f>+C94+F94+I94+L94+O94+R94+U94</f>
        <v>12312</v>
      </c>
      <c r="X94" s="86">
        <f>+D94+G94+J94+M94+P94+S94+V94</f>
        <v>500000</v>
      </c>
      <c r="Y94" s="85"/>
      <c r="Z94" s="82">
        <v>2000000</v>
      </c>
      <c r="AA94" s="70"/>
      <c r="AB94" s="82"/>
      <c r="AC94" s="82">
        <f>+Z94</f>
        <v>2000000</v>
      </c>
      <c r="AD94" s="68"/>
    </row>
    <row r="95" spans="1:30" x14ac:dyDescent="0.2">
      <c r="A95" s="88" t="s">
        <v>367</v>
      </c>
      <c r="B95" s="87" t="s">
        <v>366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>
        <v>0</v>
      </c>
      <c r="S95" s="85">
        <v>0</v>
      </c>
      <c r="T95" s="85"/>
      <c r="U95" s="85"/>
      <c r="V95" s="85"/>
      <c r="W95" s="86">
        <f>+C95+F95+I95+L95+O95+R95+U95</f>
        <v>0</v>
      </c>
      <c r="X95" s="86">
        <f>+D95+G95+J95+M95+P95+S95+V95</f>
        <v>0</v>
      </c>
      <c r="Y95" s="85"/>
      <c r="Z95" s="82"/>
      <c r="AA95" s="70"/>
      <c r="AB95" s="82"/>
      <c r="AC95" s="82"/>
      <c r="AD95" s="68"/>
    </row>
    <row r="96" spans="1:30" x14ac:dyDescent="0.2">
      <c r="A96" s="88" t="s">
        <v>365</v>
      </c>
      <c r="B96" s="87" t="s">
        <v>364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>
        <v>0</v>
      </c>
      <c r="S96" s="85">
        <v>0</v>
      </c>
      <c r="T96" s="85"/>
      <c r="U96" s="85"/>
      <c r="V96" s="85"/>
      <c r="W96" s="86">
        <f>+C96+F96+I96+L96+O96+R96+U96</f>
        <v>0</v>
      </c>
      <c r="X96" s="86">
        <f>+D96+G96+J96+M96+P96+S96+V96</f>
        <v>0</v>
      </c>
      <c r="Y96" s="85"/>
      <c r="Z96" s="82">
        <v>50000</v>
      </c>
      <c r="AA96" s="70"/>
      <c r="AB96" s="82">
        <f>+Z96</f>
        <v>50000</v>
      </c>
      <c r="AC96" s="82"/>
      <c r="AD96" s="68"/>
    </row>
    <row r="97" spans="1:30" x14ac:dyDescent="0.2">
      <c r="A97" s="84"/>
      <c r="B97" s="83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70"/>
      <c r="AB97" s="82"/>
      <c r="AC97" s="82"/>
      <c r="AD97" s="68"/>
    </row>
    <row r="98" spans="1:30" x14ac:dyDescent="0.2">
      <c r="A98" s="81" t="s">
        <v>105</v>
      </c>
      <c r="B98" s="80" t="s">
        <v>363</v>
      </c>
      <c r="C98" s="79">
        <f>SUM(C90:C97)</f>
        <v>7082.73</v>
      </c>
      <c r="D98" s="79">
        <f>SUM(D90:D97)</f>
        <v>333.34000000000003</v>
      </c>
      <c r="E98" s="76"/>
      <c r="F98" s="79">
        <f>SUM(F90:F97)</f>
        <v>12825</v>
      </c>
      <c r="G98" s="79">
        <f>SUM(G90:G97)</f>
        <v>333.34000000000003</v>
      </c>
      <c r="H98" s="76"/>
      <c r="I98" s="79">
        <f>SUM(I90:I97)</f>
        <v>1678.45</v>
      </c>
      <c r="J98" s="79">
        <f>SUM(J90:J97)</f>
        <v>333.34000000000003</v>
      </c>
      <c r="K98" s="76"/>
      <c r="L98" s="79">
        <f>SUM(L90:L97)</f>
        <v>7097.75</v>
      </c>
      <c r="M98" s="79">
        <f>SUM(M90:M97)</f>
        <v>333.34000000000003</v>
      </c>
      <c r="N98" s="76"/>
      <c r="O98" s="79">
        <f>SUM(O90:O97)</f>
        <v>3499.26</v>
      </c>
      <c r="P98" s="79">
        <f>SUM(P90:P97)</f>
        <v>333.33000000000004</v>
      </c>
      <c r="Q98" s="76"/>
      <c r="R98" s="79">
        <f>SUM(R90:R97)</f>
        <v>2531.4499999999998</v>
      </c>
      <c r="S98" s="79">
        <f>SUM(S90:S97)</f>
        <v>333.33000000000004</v>
      </c>
      <c r="T98" s="76"/>
      <c r="U98" s="79">
        <f>SUM(U90:U97)</f>
        <v>5170.1499999999996</v>
      </c>
      <c r="V98" s="79">
        <f>SUM(V90:V97)</f>
        <v>500333.33</v>
      </c>
      <c r="W98" s="79">
        <f>SUM(W90:W97)</f>
        <v>39884.790000000008</v>
      </c>
      <c r="X98" s="79">
        <f>SUM(X90:X97)</f>
        <v>502333.35</v>
      </c>
      <c r="Y98" s="76"/>
      <c r="Z98" s="79">
        <f>SUM(Z90:Z97)</f>
        <v>2054000</v>
      </c>
      <c r="AA98" s="70"/>
      <c r="AB98" s="79">
        <f>SUM(AB90:AB97)</f>
        <v>54000</v>
      </c>
      <c r="AC98" s="79">
        <f>SUM(AC90:AC97)</f>
        <v>2000000</v>
      </c>
      <c r="AD98" s="68"/>
    </row>
    <row r="99" spans="1:30" x14ac:dyDescent="0.2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70"/>
      <c r="AB99" s="67"/>
      <c r="AC99" s="74"/>
      <c r="AD99" s="68"/>
    </row>
    <row r="100" spans="1:30" ht="12" thickBot="1" x14ac:dyDescent="0.25">
      <c r="A100" s="78"/>
      <c r="B100" s="77" t="s">
        <v>362</v>
      </c>
      <c r="C100" s="75">
        <f>+C98+C87+C81+C75+C68+C59+C45+C34+C19</f>
        <v>430696.54000000004</v>
      </c>
      <c r="D100" s="75">
        <f>+D98+D87+D81+D75+D68+D59+D45+D34+D19</f>
        <v>445549.19</v>
      </c>
      <c r="E100" s="76"/>
      <c r="F100" s="75">
        <f>+F98+F87+F81+F75+F68+F59+F45+F34+F19</f>
        <v>829028.17</v>
      </c>
      <c r="G100" s="75">
        <f>+G98+G87+G81+G75+G68+G59+G45+G34+G19</f>
        <v>711231.52999999991</v>
      </c>
      <c r="H100" s="76"/>
      <c r="I100" s="75">
        <f>+I98+I87+I81+I75+I68+I59+I45+I34+I19</f>
        <v>633487.51</v>
      </c>
      <c r="J100" s="75">
        <f>+J98+J87+J81+J75+J68+J59+J45+J34+J19</f>
        <v>502534.51</v>
      </c>
      <c r="K100" s="76"/>
      <c r="L100" s="75">
        <f>+L98+L87+L81+L75+L68+L59+L45+L34+L19</f>
        <v>872675.59</v>
      </c>
      <c r="M100" s="75">
        <f>+M98+M87+M81+M75+M68+M59+M45+M34+M19</f>
        <v>724637.29</v>
      </c>
      <c r="N100" s="76"/>
      <c r="O100" s="75">
        <f>+O98+O87+O81+O75+O68+O59+O45+O34+O19</f>
        <v>959993.09000000008</v>
      </c>
      <c r="P100" s="75">
        <f>+P98+P87+P81+P75+P68+P59+P45+P34+P19</f>
        <v>758679.6</v>
      </c>
      <c r="Q100" s="76"/>
      <c r="R100" s="75">
        <f>+R98+R87+R81+R75+R68+R59+R45+R34+R19</f>
        <v>781441.53</v>
      </c>
      <c r="S100" s="75">
        <f>+S98+S87+S81+S75+S68+S59+S45+S34+S19</f>
        <v>679844.37</v>
      </c>
      <c r="T100" s="76"/>
      <c r="U100" s="75">
        <f>+U98+U87+U81+U75+U68+U59+U45+U34+U19</f>
        <v>1166026.4100000001</v>
      </c>
      <c r="V100" s="75">
        <f>+V98+V87+V81+V75+V68+V59+V45+V34+V19</f>
        <v>1521687.2</v>
      </c>
      <c r="W100" s="75">
        <f>+W98+W87+W81+W75+W68+W59+W45+W34+W19</f>
        <v>5673348.8399999999</v>
      </c>
      <c r="X100" s="75">
        <f>+X98+X87+X81+X75+X68+X59+X45+X34+X19</f>
        <v>5344163.6900000004</v>
      </c>
      <c r="Y100" s="76"/>
      <c r="Z100" s="75">
        <f>+Z98+Z87+Z81+Z75+Z68+Z59+Z45+Z34+Z19</f>
        <v>8092005</v>
      </c>
      <c r="AA100" s="70"/>
      <c r="AB100" s="75">
        <f>+AB98+AB87+AB81+AB75+AB68+AB59+AB45+AB34+AB19</f>
        <v>5335133.9000000004</v>
      </c>
      <c r="AC100" s="75">
        <f>+AC98+AC87+AC81+AC75+AC68+AC59+AC45+AC34+AC19</f>
        <v>2756871.1</v>
      </c>
      <c r="AD100" s="68"/>
    </row>
    <row r="101" spans="1:30" ht="12" thickTop="1" x14ac:dyDescent="0.2"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70"/>
      <c r="AB101" s="67"/>
      <c r="AC101" s="74"/>
      <c r="AD101" s="68"/>
    </row>
    <row r="102" spans="1:30" x14ac:dyDescent="0.2">
      <c r="A102" s="102" t="s">
        <v>361</v>
      </c>
      <c r="B102" s="101" t="s">
        <v>360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67"/>
      <c r="AA102" s="70"/>
      <c r="AB102" s="67"/>
      <c r="AC102" s="74"/>
      <c r="AD102" s="68"/>
    </row>
    <row r="103" spans="1:30" x14ac:dyDescent="0.2">
      <c r="A103" s="91" t="s">
        <v>359</v>
      </c>
      <c r="B103" s="90" t="s">
        <v>358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67"/>
      <c r="AA103" s="70"/>
      <c r="AB103" s="67"/>
      <c r="AC103" s="74"/>
      <c r="AD103" s="68"/>
    </row>
    <row r="104" spans="1:30" x14ac:dyDescent="0.2">
      <c r="A104" s="88" t="s">
        <v>357</v>
      </c>
      <c r="B104" s="87" t="s">
        <v>356</v>
      </c>
      <c r="C104" s="85">
        <v>1333.18</v>
      </c>
      <c r="D104" s="85">
        <v>5000</v>
      </c>
      <c r="E104" s="85"/>
      <c r="F104" s="85">
        <v>3822.17</v>
      </c>
      <c r="G104" s="85">
        <v>5000</v>
      </c>
      <c r="H104" s="85"/>
      <c r="I104" s="85">
        <v>29336.720000000001</v>
      </c>
      <c r="J104" s="85">
        <v>5000</v>
      </c>
      <c r="K104" s="85"/>
      <c r="L104" s="85">
        <v>39901.199999999997</v>
      </c>
      <c r="M104" s="85">
        <v>5000</v>
      </c>
      <c r="N104" s="85"/>
      <c r="O104" s="85">
        <v>44780.86</v>
      </c>
      <c r="P104" s="85">
        <v>5000</v>
      </c>
      <c r="Q104" s="85"/>
      <c r="R104" s="85">
        <v>39068.51</v>
      </c>
      <c r="S104" s="85">
        <v>5000</v>
      </c>
      <c r="T104" s="85"/>
      <c r="U104" s="85">
        <v>16450.13</v>
      </c>
      <c r="V104" s="85">
        <v>5000</v>
      </c>
      <c r="W104" s="86">
        <f>+C104+F104+I104+L104+O104+R104+U104</f>
        <v>174692.77</v>
      </c>
      <c r="X104" s="86">
        <f>+D104+G104+J104+M104+P104+S104+V104</f>
        <v>35000</v>
      </c>
      <c r="Y104" s="85"/>
      <c r="Z104" s="82">
        <v>60000</v>
      </c>
      <c r="AA104" s="70"/>
      <c r="AB104" s="82">
        <f>+Z104</f>
        <v>60000</v>
      </c>
      <c r="AC104" s="82"/>
      <c r="AD104" s="68"/>
    </row>
    <row r="105" spans="1:30" x14ac:dyDescent="0.2">
      <c r="A105" s="88" t="s">
        <v>355</v>
      </c>
      <c r="B105" s="87" t="s">
        <v>354</v>
      </c>
      <c r="C105" s="85"/>
      <c r="D105" s="85"/>
      <c r="E105" s="85"/>
      <c r="F105" s="85">
        <v>1016.1</v>
      </c>
      <c r="G105" s="85">
        <v>450</v>
      </c>
      <c r="H105" s="85"/>
      <c r="I105" s="85">
        <v>1592.78</v>
      </c>
      <c r="J105" s="85">
        <v>550</v>
      </c>
      <c r="K105" s="85"/>
      <c r="L105" s="85">
        <v>910.73</v>
      </c>
      <c r="M105" s="85">
        <v>350</v>
      </c>
      <c r="N105" s="85"/>
      <c r="O105" s="85">
        <v>964.95</v>
      </c>
      <c r="P105" s="85">
        <v>400</v>
      </c>
      <c r="Q105" s="85"/>
      <c r="R105" s="85">
        <v>597.6</v>
      </c>
      <c r="S105" s="85">
        <v>250</v>
      </c>
      <c r="T105" s="85"/>
      <c r="U105" s="85">
        <v>776.46</v>
      </c>
      <c r="V105" s="85">
        <v>550</v>
      </c>
      <c r="W105" s="86">
        <f>+C105+F105+I105+L105+O105+R105+U105</f>
        <v>5858.6200000000008</v>
      </c>
      <c r="X105" s="86">
        <f>+D105+G105+J105+M105+P105+S105+V105</f>
        <v>2550</v>
      </c>
      <c r="Y105" s="85"/>
      <c r="Z105" s="82">
        <f>+Z13*0.01</f>
        <v>5000</v>
      </c>
      <c r="AA105" s="70"/>
      <c r="AB105" s="82">
        <f>+Z105</f>
        <v>5000</v>
      </c>
      <c r="AC105" s="82"/>
      <c r="AD105" s="68"/>
    </row>
    <row r="106" spans="1:30" x14ac:dyDescent="0.2">
      <c r="A106" s="88" t="s">
        <v>353</v>
      </c>
      <c r="B106" s="87" t="s">
        <v>352</v>
      </c>
      <c r="C106" s="85">
        <v>1013.02</v>
      </c>
      <c r="D106" s="85"/>
      <c r="E106" s="85"/>
      <c r="F106" s="85"/>
      <c r="G106" s="85"/>
      <c r="H106" s="85"/>
      <c r="I106" s="85"/>
      <c r="J106" s="85"/>
      <c r="K106" s="85"/>
      <c r="L106" s="85">
        <v>1011.73</v>
      </c>
      <c r="M106" s="85"/>
      <c r="N106" s="85"/>
      <c r="O106" s="85"/>
      <c r="P106" s="85"/>
      <c r="Q106" s="85"/>
      <c r="R106" s="85">
        <v>0</v>
      </c>
      <c r="S106" s="85">
        <v>0</v>
      </c>
      <c r="T106" s="85"/>
      <c r="U106" s="85">
        <v>1024.06</v>
      </c>
      <c r="V106" s="85">
        <v>0</v>
      </c>
      <c r="W106" s="86">
        <f>+C106+F106+I106+L106+O106+R106+U106</f>
        <v>3048.81</v>
      </c>
      <c r="X106" s="86">
        <f>+D106+G106+J106+M106+P106+S106+V106</f>
        <v>0</v>
      </c>
      <c r="Y106" s="85"/>
      <c r="Z106" s="82"/>
      <c r="AA106" s="70"/>
      <c r="AB106" s="82">
        <f>+Z106</f>
        <v>0</v>
      </c>
      <c r="AC106" s="82"/>
      <c r="AD106" s="68"/>
    </row>
    <row r="107" spans="1:30" x14ac:dyDescent="0.2">
      <c r="A107" s="88" t="s">
        <v>351</v>
      </c>
      <c r="B107" s="87" t="s">
        <v>350</v>
      </c>
      <c r="C107" s="85"/>
      <c r="D107" s="85"/>
      <c r="E107" s="85"/>
      <c r="F107" s="85"/>
      <c r="G107" s="85"/>
      <c r="H107" s="85"/>
      <c r="I107" s="85">
        <v>70</v>
      </c>
      <c r="J107" s="85"/>
      <c r="K107" s="85"/>
      <c r="L107" s="85">
        <v>325.25</v>
      </c>
      <c r="M107" s="85"/>
      <c r="N107" s="85"/>
      <c r="O107" s="85">
        <v>377.85</v>
      </c>
      <c r="P107" s="85"/>
      <c r="Q107" s="85"/>
      <c r="R107" s="85">
        <v>356.75</v>
      </c>
      <c r="S107" s="85">
        <v>0</v>
      </c>
      <c r="T107" s="85"/>
      <c r="U107" s="85">
        <f>1275.21-776.46</f>
        <v>498.75</v>
      </c>
      <c r="V107" s="85">
        <v>0</v>
      </c>
      <c r="W107" s="86">
        <f>+C107+F107+I107+L107+O107+R107+U107</f>
        <v>1628.6</v>
      </c>
      <c r="X107" s="86">
        <f>+D107+G107+J107+M107+P107+S107+V107</f>
        <v>0</v>
      </c>
      <c r="Y107" s="85"/>
      <c r="Z107" s="82">
        <v>0</v>
      </c>
      <c r="AA107" s="70"/>
      <c r="AB107" s="82">
        <f>+Z107</f>
        <v>0</v>
      </c>
      <c r="AC107" s="82"/>
      <c r="AD107" s="68"/>
    </row>
    <row r="108" spans="1:30" x14ac:dyDescent="0.2">
      <c r="A108" s="88" t="s">
        <v>349</v>
      </c>
      <c r="B108" s="87" t="s">
        <v>348</v>
      </c>
      <c r="C108" s="85">
        <v>2024</v>
      </c>
      <c r="D108" s="85">
        <v>250</v>
      </c>
      <c r="E108" s="85"/>
      <c r="F108" s="85">
        <v>171.32</v>
      </c>
      <c r="G108" s="85">
        <v>250</v>
      </c>
      <c r="H108" s="85"/>
      <c r="I108" s="85"/>
      <c r="J108" s="85">
        <v>250</v>
      </c>
      <c r="K108" s="85"/>
      <c r="L108" s="85">
        <v>230</v>
      </c>
      <c r="M108" s="85">
        <v>250</v>
      </c>
      <c r="N108" s="85"/>
      <c r="O108" s="85">
        <v>251.98</v>
      </c>
      <c r="P108" s="85">
        <v>250</v>
      </c>
      <c r="Q108" s="85"/>
      <c r="R108" s="85">
        <v>85</v>
      </c>
      <c r="S108" s="85">
        <v>250</v>
      </c>
      <c r="T108" s="85"/>
      <c r="U108" s="85">
        <v>38</v>
      </c>
      <c r="V108" s="85">
        <v>250</v>
      </c>
      <c r="W108" s="86">
        <f>+C108+F108+I108+L108+O108+R108+U108</f>
        <v>2800.3</v>
      </c>
      <c r="X108" s="86">
        <f>+D108+G108+J108+M108+P108+S108+V108</f>
        <v>1750</v>
      </c>
      <c r="Y108" s="85"/>
      <c r="Z108" s="82">
        <v>3000</v>
      </c>
      <c r="AA108" s="70"/>
      <c r="AB108" s="82">
        <f>+Z108</f>
        <v>3000</v>
      </c>
      <c r="AC108" s="82"/>
      <c r="AD108" s="68"/>
    </row>
    <row r="109" spans="1:30" x14ac:dyDescent="0.2">
      <c r="A109" s="88" t="s">
        <v>347</v>
      </c>
      <c r="B109" s="87" t="s">
        <v>346</v>
      </c>
      <c r="C109" s="85"/>
      <c r="D109" s="85"/>
      <c r="E109" s="85"/>
      <c r="F109" s="85"/>
      <c r="G109" s="85"/>
      <c r="H109" s="85"/>
      <c r="I109" s="85">
        <v>239</v>
      </c>
      <c r="J109" s="85"/>
      <c r="K109" s="85"/>
      <c r="L109" s="85"/>
      <c r="M109" s="85">
        <v>1250</v>
      </c>
      <c r="N109" s="85"/>
      <c r="O109" s="85"/>
      <c r="P109" s="85">
        <v>1250</v>
      </c>
      <c r="Q109" s="85"/>
      <c r="R109" s="85">
        <v>0</v>
      </c>
      <c r="S109" s="85">
        <v>1250</v>
      </c>
      <c r="T109" s="85"/>
      <c r="U109" s="85">
        <v>0</v>
      </c>
      <c r="V109" s="85">
        <v>1250</v>
      </c>
      <c r="W109" s="86">
        <f>+C109+F109+I109+L109+O109+R109+U109</f>
        <v>239</v>
      </c>
      <c r="X109" s="86">
        <f>+D109+G109+J109+M109+P109+S109+V109</f>
        <v>5000</v>
      </c>
      <c r="Y109" s="85"/>
      <c r="Z109" s="82">
        <v>5000</v>
      </c>
      <c r="AA109" s="70"/>
      <c r="AB109" s="82">
        <f>+Z109</f>
        <v>5000</v>
      </c>
      <c r="AC109" s="82"/>
      <c r="AD109" s="68"/>
    </row>
    <row r="110" spans="1:30" x14ac:dyDescent="0.2">
      <c r="A110" s="88" t="s">
        <v>345</v>
      </c>
      <c r="B110" s="87" t="s">
        <v>344</v>
      </c>
      <c r="C110" s="85"/>
      <c r="D110" s="85">
        <v>416.66</v>
      </c>
      <c r="E110" s="85"/>
      <c r="F110" s="85"/>
      <c r="G110" s="85">
        <v>416.66</v>
      </c>
      <c r="H110" s="85"/>
      <c r="I110" s="85"/>
      <c r="J110" s="85">
        <v>416.66</v>
      </c>
      <c r="K110" s="85"/>
      <c r="L110" s="85"/>
      <c r="M110" s="85">
        <v>416.66</v>
      </c>
      <c r="N110" s="85"/>
      <c r="O110" s="85"/>
      <c r="P110" s="85">
        <v>416.67</v>
      </c>
      <c r="Q110" s="85"/>
      <c r="R110" s="85">
        <v>11650</v>
      </c>
      <c r="S110" s="85">
        <v>416.67</v>
      </c>
      <c r="T110" s="85"/>
      <c r="U110" s="85">
        <v>0</v>
      </c>
      <c r="V110" s="85">
        <v>416.67</v>
      </c>
      <c r="W110" s="86">
        <f>+C110+F110+I110+L110+O110+R110+U110</f>
        <v>11650</v>
      </c>
      <c r="X110" s="86">
        <f>+D110+G110+J110+M110+P110+S110+V110</f>
        <v>2916.65</v>
      </c>
      <c r="Y110" s="85"/>
      <c r="Z110" s="82">
        <v>5000</v>
      </c>
      <c r="AA110" s="70"/>
      <c r="AB110" s="82">
        <f>+Z110</f>
        <v>5000</v>
      </c>
      <c r="AC110" s="82"/>
      <c r="AD110" s="68"/>
    </row>
    <row r="111" spans="1:30" x14ac:dyDescent="0.2">
      <c r="A111" s="88" t="s">
        <v>343</v>
      </c>
      <c r="B111" s="87" t="s">
        <v>342</v>
      </c>
      <c r="C111" s="85"/>
      <c r="D111" s="85"/>
      <c r="E111" s="85"/>
      <c r="F111" s="85"/>
      <c r="G111" s="85">
        <v>5000</v>
      </c>
      <c r="H111" s="85"/>
      <c r="I111" s="85">
        <v>4340</v>
      </c>
      <c r="J111" s="85"/>
      <c r="K111" s="85"/>
      <c r="L111" s="85"/>
      <c r="M111" s="85"/>
      <c r="N111" s="85"/>
      <c r="O111" s="85"/>
      <c r="P111" s="85"/>
      <c r="Q111" s="85"/>
      <c r="R111" s="85">
        <v>4600</v>
      </c>
      <c r="S111" s="85">
        <v>0</v>
      </c>
      <c r="T111" s="85"/>
      <c r="U111" s="85">
        <v>0</v>
      </c>
      <c r="V111" s="85">
        <v>0</v>
      </c>
      <c r="W111" s="86">
        <f>+C111+F111+I111+L111+O111+R111+U111</f>
        <v>8940</v>
      </c>
      <c r="X111" s="86">
        <f>+D111+G111+J111+M111+P111+S111+V111</f>
        <v>5000</v>
      </c>
      <c r="Y111" s="85"/>
      <c r="Z111" s="82">
        <v>5000</v>
      </c>
      <c r="AA111" s="70"/>
      <c r="AB111" s="82">
        <f>+Z111</f>
        <v>5000</v>
      </c>
      <c r="AC111" s="82"/>
      <c r="AD111" s="68"/>
    </row>
    <row r="112" spans="1:30" x14ac:dyDescent="0.2">
      <c r="A112" s="88" t="s">
        <v>341</v>
      </c>
      <c r="B112" s="87" t="s">
        <v>340</v>
      </c>
      <c r="C112" s="85">
        <v>4829</v>
      </c>
      <c r="D112" s="85">
        <v>8333.34</v>
      </c>
      <c r="E112" s="85"/>
      <c r="F112" s="85">
        <v>11991.25</v>
      </c>
      <c r="G112" s="85">
        <v>8333.34</v>
      </c>
      <c r="H112" s="85"/>
      <c r="I112" s="85">
        <v>15289.5</v>
      </c>
      <c r="J112" s="85">
        <v>8333.34</v>
      </c>
      <c r="K112" s="85"/>
      <c r="L112" s="85">
        <v>12302.16</v>
      </c>
      <c r="M112" s="85">
        <v>8333.34</v>
      </c>
      <c r="N112" s="85"/>
      <c r="O112" s="85">
        <v>4278</v>
      </c>
      <c r="P112" s="85">
        <v>8333.33</v>
      </c>
      <c r="Q112" s="85"/>
      <c r="R112" s="85">
        <v>4060.5</v>
      </c>
      <c r="S112" s="85">
        <v>8333.33</v>
      </c>
      <c r="T112" s="85"/>
      <c r="U112" s="85">
        <v>2182.5</v>
      </c>
      <c r="V112" s="85">
        <v>8333.33</v>
      </c>
      <c r="W112" s="86">
        <f>+C112+F112+I112+L112+O112+R112+U112</f>
        <v>54932.91</v>
      </c>
      <c r="X112" s="86">
        <f>+D112+G112+J112+M112+P112+S112+V112</f>
        <v>58333.350000000006</v>
      </c>
      <c r="Y112" s="85"/>
      <c r="Z112" s="82">
        <v>100000</v>
      </c>
      <c r="AA112" s="70"/>
      <c r="AB112" s="82">
        <f>+Z112</f>
        <v>100000</v>
      </c>
      <c r="AC112" s="82"/>
      <c r="AD112" s="68"/>
    </row>
    <row r="113" spans="1:30" x14ac:dyDescent="0.2">
      <c r="A113" s="88" t="s">
        <v>339</v>
      </c>
      <c r="B113" s="87" t="s">
        <v>338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>
        <v>0</v>
      </c>
      <c r="S113" s="85">
        <v>0</v>
      </c>
      <c r="T113" s="85"/>
      <c r="U113" s="85">
        <v>0</v>
      </c>
      <c r="V113" s="85">
        <v>0</v>
      </c>
      <c r="W113" s="86">
        <f>+C113+F113+I113+L113+O113+R113+U113</f>
        <v>0</v>
      </c>
      <c r="X113" s="86">
        <f>+D113+G113+J113+M113+P113+S113+V113</f>
        <v>0</v>
      </c>
      <c r="Y113" s="85"/>
      <c r="Z113" s="82"/>
      <c r="AA113" s="70"/>
      <c r="AB113" s="82">
        <f>+Z113</f>
        <v>0</v>
      </c>
      <c r="AC113" s="82"/>
      <c r="AD113" s="68"/>
    </row>
    <row r="114" spans="1:30" x14ac:dyDescent="0.2">
      <c r="A114" s="88" t="s">
        <v>337</v>
      </c>
      <c r="B114" s="87" t="s">
        <v>336</v>
      </c>
      <c r="C114" s="85"/>
      <c r="D114" s="85"/>
      <c r="E114" s="85"/>
      <c r="F114" s="85">
        <v>30000</v>
      </c>
      <c r="G114" s="85">
        <v>30000</v>
      </c>
      <c r="H114" s="85"/>
      <c r="I114" s="85">
        <v>3000</v>
      </c>
      <c r="J114" s="85"/>
      <c r="K114" s="85"/>
      <c r="L114" s="85"/>
      <c r="M114" s="85"/>
      <c r="N114" s="85"/>
      <c r="O114" s="85">
        <v>34393</v>
      </c>
      <c r="P114" s="85">
        <v>30000</v>
      </c>
      <c r="Q114" s="85"/>
      <c r="R114" s="85">
        <v>0</v>
      </c>
      <c r="S114" s="85">
        <v>0</v>
      </c>
      <c r="T114" s="85"/>
      <c r="U114" s="85">
        <v>0</v>
      </c>
      <c r="V114" s="85">
        <v>0</v>
      </c>
      <c r="W114" s="86">
        <f>+C114+F114+I114+L114+O114+R114+U114</f>
        <v>67393</v>
      </c>
      <c r="X114" s="86">
        <f>+D114+G114+J114+M114+P114+S114+V114</f>
        <v>60000</v>
      </c>
      <c r="Y114" s="85"/>
      <c r="Z114" s="82">
        <v>60000</v>
      </c>
      <c r="AA114" s="70"/>
      <c r="AB114" s="82">
        <f>+Z114</f>
        <v>60000</v>
      </c>
      <c r="AC114" s="82"/>
      <c r="AD114" s="68"/>
    </row>
    <row r="115" spans="1:30" x14ac:dyDescent="0.2">
      <c r="A115" s="88" t="s">
        <v>335</v>
      </c>
      <c r="B115" s="87" t="s">
        <v>334</v>
      </c>
      <c r="C115" s="85"/>
      <c r="D115" s="85">
        <v>166.66</v>
      </c>
      <c r="E115" s="85"/>
      <c r="F115" s="85"/>
      <c r="G115" s="85">
        <v>166.66</v>
      </c>
      <c r="H115" s="85"/>
      <c r="I115" s="85"/>
      <c r="J115" s="85">
        <v>166.66</v>
      </c>
      <c r="K115" s="85"/>
      <c r="L115" s="85"/>
      <c r="M115" s="85">
        <v>166.66</v>
      </c>
      <c r="N115" s="85"/>
      <c r="O115" s="85"/>
      <c r="P115" s="85">
        <v>166.67</v>
      </c>
      <c r="Q115" s="85"/>
      <c r="R115" s="85">
        <v>0</v>
      </c>
      <c r="S115" s="85">
        <v>166.67</v>
      </c>
      <c r="T115" s="85"/>
      <c r="U115" s="85">
        <v>0</v>
      </c>
      <c r="V115" s="85">
        <v>166.67</v>
      </c>
      <c r="W115" s="86">
        <f>+C115+F115+I115+L115+O115+R115+U115</f>
        <v>0</v>
      </c>
      <c r="X115" s="86">
        <f>+D115+G115+J115+M115+P115+S115+V115</f>
        <v>1166.6499999999999</v>
      </c>
      <c r="Y115" s="85"/>
      <c r="Z115" s="82">
        <v>2000</v>
      </c>
      <c r="AA115" s="70"/>
      <c r="AB115" s="82">
        <f>+Z115</f>
        <v>2000</v>
      </c>
      <c r="AC115" s="82"/>
      <c r="AD115" s="68"/>
    </row>
    <row r="116" spans="1:30" x14ac:dyDescent="0.2">
      <c r="A116" s="88" t="s">
        <v>333</v>
      </c>
      <c r="B116" s="87" t="s">
        <v>332</v>
      </c>
      <c r="C116" s="85"/>
      <c r="D116" s="85">
        <v>250</v>
      </c>
      <c r="E116" s="85"/>
      <c r="F116" s="85"/>
      <c r="G116" s="85">
        <v>250</v>
      </c>
      <c r="H116" s="85"/>
      <c r="I116" s="85">
        <v>750</v>
      </c>
      <c r="J116" s="85">
        <v>250</v>
      </c>
      <c r="K116" s="85"/>
      <c r="L116" s="85">
        <v>477.5</v>
      </c>
      <c r="M116" s="85">
        <v>250</v>
      </c>
      <c r="N116" s="85"/>
      <c r="O116" s="85">
        <v>1942.5</v>
      </c>
      <c r="P116" s="85">
        <v>250</v>
      </c>
      <c r="Q116" s="85"/>
      <c r="R116" s="85">
        <v>0</v>
      </c>
      <c r="S116" s="85">
        <v>250</v>
      </c>
      <c r="T116" s="85"/>
      <c r="U116" s="85">
        <v>0</v>
      </c>
      <c r="V116" s="85">
        <v>250</v>
      </c>
      <c r="W116" s="86">
        <f>+C116+F116+I116+L116+O116+R116+U116</f>
        <v>3170</v>
      </c>
      <c r="X116" s="86">
        <f>+D116+G116+J116+M116+P116+S116+V116</f>
        <v>1750</v>
      </c>
      <c r="Y116" s="85"/>
      <c r="Z116" s="82">
        <v>3000</v>
      </c>
      <c r="AA116" s="70"/>
      <c r="AB116" s="82">
        <f>+Z116</f>
        <v>3000</v>
      </c>
      <c r="AC116" s="82"/>
      <c r="AD116" s="68"/>
    </row>
    <row r="117" spans="1:30" x14ac:dyDescent="0.2">
      <c r="A117" s="88">
        <v>6010850</v>
      </c>
      <c r="B117" s="87" t="s">
        <v>331</v>
      </c>
      <c r="C117" s="85"/>
      <c r="D117" s="85">
        <v>416.66</v>
      </c>
      <c r="E117" s="85"/>
      <c r="F117" s="85">
        <v>1380</v>
      </c>
      <c r="G117" s="85">
        <v>416.66</v>
      </c>
      <c r="H117" s="85"/>
      <c r="I117" s="85">
        <v>2769.92</v>
      </c>
      <c r="J117" s="85">
        <v>416.66</v>
      </c>
      <c r="K117" s="85"/>
      <c r="L117" s="85">
        <v>3519</v>
      </c>
      <c r="M117" s="85">
        <v>416.66</v>
      </c>
      <c r="N117" s="85"/>
      <c r="O117" s="85"/>
      <c r="P117" s="85">
        <v>416.67</v>
      </c>
      <c r="Q117" s="85"/>
      <c r="R117" s="85">
        <v>0</v>
      </c>
      <c r="S117" s="85">
        <v>416.67</v>
      </c>
      <c r="T117" s="85"/>
      <c r="U117" s="85">
        <v>0</v>
      </c>
      <c r="V117" s="85">
        <v>416.67</v>
      </c>
      <c r="W117" s="86">
        <f>+C117+F117+I117+L117+O117+R117+U117</f>
        <v>7668.92</v>
      </c>
      <c r="X117" s="86">
        <f>+D117+G117+J117+M117+P117+S117+V117</f>
        <v>2916.65</v>
      </c>
      <c r="Y117" s="85"/>
      <c r="Z117" s="82">
        <f>+Z63</f>
        <v>5000</v>
      </c>
      <c r="AA117" s="70"/>
      <c r="AB117" s="82"/>
      <c r="AC117" s="82">
        <f>+Z117</f>
        <v>5000</v>
      </c>
      <c r="AD117" s="68"/>
    </row>
    <row r="118" spans="1:30" x14ac:dyDescent="0.2">
      <c r="A118" s="88" t="s">
        <v>330</v>
      </c>
      <c r="B118" s="87" t="s">
        <v>329</v>
      </c>
      <c r="C118" s="85">
        <v>3959.76</v>
      </c>
      <c r="D118" s="85">
        <v>7083.34</v>
      </c>
      <c r="E118" s="85"/>
      <c r="F118" s="85">
        <v>3579.06</v>
      </c>
      <c r="G118" s="85">
        <v>7083.34</v>
      </c>
      <c r="H118" s="85"/>
      <c r="I118" s="85">
        <v>3660.35</v>
      </c>
      <c r="J118" s="85">
        <v>7083.34</v>
      </c>
      <c r="K118" s="85"/>
      <c r="L118" s="85">
        <v>6402.39</v>
      </c>
      <c r="M118" s="85">
        <v>7083.34</v>
      </c>
      <c r="N118" s="85"/>
      <c r="O118" s="85">
        <v>8804.18</v>
      </c>
      <c r="P118" s="85">
        <v>7083.33</v>
      </c>
      <c r="Q118" s="85"/>
      <c r="R118" s="85">
        <v>8030.86</v>
      </c>
      <c r="S118" s="85">
        <v>7083.33</v>
      </c>
      <c r="T118" s="85"/>
      <c r="U118" s="85">
        <v>7221.14</v>
      </c>
      <c r="V118" s="85">
        <v>7083.33</v>
      </c>
      <c r="W118" s="86">
        <f>+C118+F118+I118+L118+O118+R118+U118</f>
        <v>41657.74</v>
      </c>
      <c r="X118" s="86">
        <f>+D118+G118+J118+M118+P118+S118+V118</f>
        <v>49583.350000000006</v>
      </c>
      <c r="Y118" s="85"/>
      <c r="Z118" s="82">
        <v>85000</v>
      </c>
      <c r="AA118" s="70"/>
      <c r="AB118" s="82">
        <f>+Z118</f>
        <v>85000</v>
      </c>
      <c r="AC118" s="82"/>
      <c r="AD118" s="68"/>
    </row>
    <row r="119" spans="1:30" x14ac:dyDescent="0.2">
      <c r="A119" s="88">
        <v>6010950</v>
      </c>
      <c r="B119" s="87" t="s">
        <v>328</v>
      </c>
      <c r="C119" s="85"/>
      <c r="D119" s="85">
        <v>4166.66</v>
      </c>
      <c r="E119" s="85"/>
      <c r="F119" s="85">
        <v>5415.35</v>
      </c>
      <c r="G119" s="85">
        <v>4166.66</v>
      </c>
      <c r="H119" s="85"/>
      <c r="I119" s="85">
        <v>11938.5</v>
      </c>
      <c r="J119" s="85">
        <v>4166.66</v>
      </c>
      <c r="K119" s="85"/>
      <c r="L119" s="85"/>
      <c r="M119" s="85">
        <v>4166.66</v>
      </c>
      <c r="N119" s="85"/>
      <c r="O119" s="85"/>
      <c r="P119" s="85">
        <v>4166.67</v>
      </c>
      <c r="Q119" s="85"/>
      <c r="R119" s="85">
        <v>599</v>
      </c>
      <c r="S119" s="85">
        <v>4166.67</v>
      </c>
      <c r="T119" s="85"/>
      <c r="U119" s="85">
        <v>0</v>
      </c>
      <c r="V119" s="85">
        <v>4166.67</v>
      </c>
      <c r="W119" s="86">
        <f>+C119+F119+I119+L119+O119+R119+U119</f>
        <v>17952.849999999999</v>
      </c>
      <c r="X119" s="86">
        <f>+D119+G119+J119+M119+P119+S119+V119</f>
        <v>29166.649999999994</v>
      </c>
      <c r="Y119" s="85"/>
      <c r="Z119" s="82">
        <v>50000</v>
      </c>
      <c r="AA119" s="70"/>
      <c r="AB119" s="82">
        <f>+Z119</f>
        <v>50000</v>
      </c>
      <c r="AC119" s="82"/>
      <c r="AD119" s="68"/>
    </row>
    <row r="120" spans="1:30" x14ac:dyDescent="0.2">
      <c r="A120" s="88" t="s">
        <v>327</v>
      </c>
      <c r="B120" s="87" t="s">
        <v>153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>
        <v>0</v>
      </c>
      <c r="S120" s="85">
        <v>0</v>
      </c>
      <c r="T120" s="85"/>
      <c r="U120" s="85"/>
      <c r="V120" s="85"/>
      <c r="W120" s="86">
        <f>+C120+F120+I120+L120+O120+R120+U120</f>
        <v>0</v>
      </c>
      <c r="X120" s="86">
        <f>+D120+G120+J120+M120+P120+S120+V120</f>
        <v>0</v>
      </c>
      <c r="Y120" s="85"/>
      <c r="Z120" s="82"/>
      <c r="AA120" s="70"/>
      <c r="AB120" s="82">
        <f>+Z120</f>
        <v>0</v>
      </c>
      <c r="AC120" s="82"/>
      <c r="AD120" s="68"/>
    </row>
    <row r="121" spans="1:30" x14ac:dyDescent="0.2">
      <c r="A121" s="88" t="s">
        <v>326</v>
      </c>
      <c r="B121" s="87" t="s">
        <v>325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>
        <v>0</v>
      </c>
      <c r="M121" s="85">
        <v>0</v>
      </c>
      <c r="N121" s="85"/>
      <c r="O121" s="85">
        <v>3300</v>
      </c>
      <c r="P121" s="85">
        <v>3000</v>
      </c>
      <c r="Q121" s="85"/>
      <c r="R121" s="85">
        <v>1100</v>
      </c>
      <c r="S121" s="85">
        <v>0</v>
      </c>
      <c r="T121" s="85"/>
      <c r="U121" s="85">
        <v>2000</v>
      </c>
      <c r="V121" s="85">
        <v>0</v>
      </c>
      <c r="W121" s="86">
        <f>+C121+F121+I121+L121+O121+R121+U121</f>
        <v>6400</v>
      </c>
      <c r="X121" s="86">
        <f>+D121+G121+J121+M121+P121+S121+V121</f>
        <v>3000</v>
      </c>
      <c r="Y121" s="85"/>
      <c r="Z121" s="82">
        <v>15000</v>
      </c>
      <c r="AA121" s="70"/>
      <c r="AB121" s="82">
        <f>+Z121</f>
        <v>15000</v>
      </c>
      <c r="AC121" s="82"/>
      <c r="AD121" s="68"/>
    </row>
    <row r="122" spans="1:30" x14ac:dyDescent="0.2">
      <c r="A122" s="88" t="s">
        <v>324</v>
      </c>
      <c r="B122" s="87" t="s">
        <v>323</v>
      </c>
      <c r="C122" s="85">
        <v>382.43</v>
      </c>
      <c r="D122" s="85">
        <v>750</v>
      </c>
      <c r="E122" s="85"/>
      <c r="F122" s="85">
        <v>630.61</v>
      </c>
      <c r="G122" s="85">
        <v>750</v>
      </c>
      <c r="H122" s="85"/>
      <c r="I122" s="85">
        <v>5373.78</v>
      </c>
      <c r="J122" s="85">
        <v>750</v>
      </c>
      <c r="K122" s="85"/>
      <c r="L122" s="85">
        <v>1002.5</v>
      </c>
      <c r="M122" s="85">
        <v>750</v>
      </c>
      <c r="N122" s="85"/>
      <c r="O122" s="85">
        <v>1455.03</v>
      </c>
      <c r="P122" s="85">
        <v>750</v>
      </c>
      <c r="Q122" s="85"/>
      <c r="R122" s="85">
        <f>+-4734.49+2.48</f>
        <v>-4732.01</v>
      </c>
      <c r="S122" s="85">
        <v>750</v>
      </c>
      <c r="T122" s="85"/>
      <c r="U122" s="85">
        <f>5787.12-2.48</f>
        <v>5784.64</v>
      </c>
      <c r="V122" s="85">
        <v>750</v>
      </c>
      <c r="W122" s="86">
        <f>+C122+F122+I122+L122+O122+R122+U122</f>
        <v>9896.98</v>
      </c>
      <c r="X122" s="86">
        <f>+D122+G122+J122+M122+P122+S122+V122</f>
        <v>5250</v>
      </c>
      <c r="Y122" s="85"/>
      <c r="Z122" s="82">
        <v>9000</v>
      </c>
      <c r="AA122" s="70"/>
      <c r="AB122" s="82">
        <f>+Z122</f>
        <v>9000</v>
      </c>
      <c r="AC122" s="82"/>
      <c r="AD122" s="68"/>
    </row>
    <row r="123" spans="1:30" x14ac:dyDescent="0.2">
      <c r="A123" s="88" t="s">
        <v>322</v>
      </c>
      <c r="B123" s="87" t="s">
        <v>321</v>
      </c>
      <c r="C123" s="85"/>
      <c r="D123" s="85">
        <v>541.65</v>
      </c>
      <c r="E123" s="85"/>
      <c r="F123" s="85"/>
      <c r="G123" s="85">
        <v>541.65</v>
      </c>
      <c r="H123" s="85"/>
      <c r="I123" s="85">
        <v>300</v>
      </c>
      <c r="J123" s="85">
        <v>541.66999999999996</v>
      </c>
      <c r="K123" s="85"/>
      <c r="L123" s="85"/>
      <c r="M123" s="85">
        <v>541.66999999999996</v>
      </c>
      <c r="N123" s="85"/>
      <c r="O123" s="85">
        <v>250</v>
      </c>
      <c r="P123" s="85">
        <v>541.66999999999996</v>
      </c>
      <c r="Q123" s="85"/>
      <c r="R123" s="85">
        <v>1575</v>
      </c>
      <c r="S123" s="85">
        <v>541.66999999999996</v>
      </c>
      <c r="T123" s="85"/>
      <c r="U123" s="85">
        <v>0</v>
      </c>
      <c r="V123" s="85">
        <v>541.66999999999996</v>
      </c>
      <c r="W123" s="86">
        <f>+C123+F123+I123+L123+O123+R123+U123</f>
        <v>2125</v>
      </c>
      <c r="X123" s="86">
        <f>+D123+G123+J123+M123+P123+S123+V123</f>
        <v>3791.65</v>
      </c>
      <c r="Y123" s="85"/>
      <c r="Z123" s="82">
        <v>6500</v>
      </c>
      <c r="AA123" s="70"/>
      <c r="AB123" s="82">
        <f>+Z123</f>
        <v>6500</v>
      </c>
      <c r="AC123" s="82"/>
      <c r="AD123" s="68"/>
    </row>
    <row r="124" spans="1:30" x14ac:dyDescent="0.2">
      <c r="A124" s="88" t="s">
        <v>320</v>
      </c>
      <c r="B124" s="87" t="s">
        <v>319</v>
      </c>
      <c r="C124" s="85"/>
      <c r="D124" s="85">
        <v>625</v>
      </c>
      <c r="E124" s="85"/>
      <c r="F124" s="85">
        <v>-1931.08</v>
      </c>
      <c r="G124" s="85">
        <v>625</v>
      </c>
      <c r="H124" s="85"/>
      <c r="I124" s="85">
        <v>396.48</v>
      </c>
      <c r="J124" s="85">
        <v>625</v>
      </c>
      <c r="K124" s="85"/>
      <c r="L124" s="85">
        <v>204.12</v>
      </c>
      <c r="M124" s="85">
        <v>625</v>
      </c>
      <c r="N124" s="85"/>
      <c r="O124" s="85">
        <v>176.76</v>
      </c>
      <c r="P124" s="85">
        <v>625</v>
      </c>
      <c r="Q124" s="85"/>
      <c r="R124" s="85">
        <v>155.52000000000001</v>
      </c>
      <c r="S124" s="85">
        <v>625</v>
      </c>
      <c r="T124" s="85"/>
      <c r="U124" s="85">
        <v>0</v>
      </c>
      <c r="V124" s="85">
        <v>625</v>
      </c>
      <c r="W124" s="86">
        <f>+C124+F124+I124+L124+O124+R124+U124</f>
        <v>-998.2</v>
      </c>
      <c r="X124" s="86">
        <f>+D124+G124+J124+M124+P124+S124+V124</f>
        <v>4375</v>
      </c>
      <c r="Y124" s="85"/>
      <c r="Z124" s="82">
        <v>7500</v>
      </c>
      <c r="AA124" s="70"/>
      <c r="AB124" s="82">
        <f>+Z124</f>
        <v>7500</v>
      </c>
      <c r="AC124" s="82"/>
      <c r="AD124" s="68"/>
    </row>
    <row r="125" spans="1:30" x14ac:dyDescent="0.2">
      <c r="A125" s="88" t="s">
        <v>318</v>
      </c>
      <c r="B125" s="87" t="s">
        <v>317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>
        <v>0</v>
      </c>
      <c r="S125" s="85">
        <v>0</v>
      </c>
      <c r="T125" s="85"/>
      <c r="U125" s="85">
        <v>0</v>
      </c>
      <c r="V125" s="85">
        <v>0</v>
      </c>
      <c r="W125" s="86">
        <f>+C125+F125+I125+L125+O125+R125+U125</f>
        <v>0</v>
      </c>
      <c r="X125" s="86">
        <f>+D125+G125+J125+M125+P125+S125+V125</f>
        <v>0</v>
      </c>
      <c r="Y125" s="85"/>
      <c r="Z125" s="82"/>
      <c r="AA125" s="70"/>
      <c r="AB125" s="82">
        <f>+Z125</f>
        <v>0</v>
      </c>
      <c r="AC125" s="82"/>
      <c r="AD125" s="68"/>
    </row>
    <row r="126" spans="1:30" x14ac:dyDescent="0.2">
      <c r="A126" s="88" t="s">
        <v>316</v>
      </c>
      <c r="B126" s="87" t="s">
        <v>315</v>
      </c>
      <c r="C126" s="85">
        <v>53441.09</v>
      </c>
      <c r="D126" s="85"/>
      <c r="E126" s="85"/>
      <c r="F126" s="85">
        <v>-4677.75</v>
      </c>
      <c r="G126" s="85"/>
      <c r="H126" s="85"/>
      <c r="I126" s="85">
        <v>19902.689999999999</v>
      </c>
      <c r="J126" s="85"/>
      <c r="K126" s="85"/>
      <c r="L126" s="85">
        <v>-6865.5</v>
      </c>
      <c r="M126" s="85"/>
      <c r="N126" s="85"/>
      <c r="O126" s="85">
        <v>-3230.29</v>
      </c>
      <c r="P126" s="85"/>
      <c r="Q126" s="85"/>
      <c r="R126" s="85">
        <v>-11238.27</v>
      </c>
      <c r="S126" s="85">
        <v>0</v>
      </c>
      <c r="T126" s="85"/>
      <c r="U126" s="85">
        <v>2796.32</v>
      </c>
      <c r="V126" s="85"/>
      <c r="W126" s="86">
        <f>+C126+F126+I126+L126+O126+R126+U126</f>
        <v>50128.29</v>
      </c>
      <c r="X126" s="86">
        <f>+D126+G126+J126+M126+P126+S126+V126</f>
        <v>0</v>
      </c>
      <c r="Y126" s="85"/>
      <c r="Z126" s="82"/>
      <c r="AA126" s="70"/>
      <c r="AB126" s="82">
        <f>+Z126</f>
        <v>0</v>
      </c>
      <c r="AC126" s="82"/>
      <c r="AD126" s="68"/>
    </row>
    <row r="127" spans="1:30" x14ac:dyDescent="0.2">
      <c r="A127" s="88" t="s">
        <v>314</v>
      </c>
      <c r="B127" s="87" t="s">
        <v>313</v>
      </c>
      <c r="C127" s="85">
        <v>5800</v>
      </c>
      <c r="D127" s="85">
        <v>2916.66</v>
      </c>
      <c r="E127" s="85"/>
      <c r="F127" s="85">
        <v>5193.6400000000003</v>
      </c>
      <c r="G127" s="85">
        <v>2916.66</v>
      </c>
      <c r="H127" s="85"/>
      <c r="I127" s="85">
        <v>642.23</v>
      </c>
      <c r="J127" s="85">
        <v>2916.66</v>
      </c>
      <c r="K127" s="85"/>
      <c r="L127" s="85">
        <v>850</v>
      </c>
      <c r="M127" s="85">
        <v>2916.66</v>
      </c>
      <c r="N127" s="85"/>
      <c r="O127" s="85">
        <v>2137.4699999999998</v>
      </c>
      <c r="P127" s="85">
        <v>2916.67</v>
      </c>
      <c r="Q127" s="85"/>
      <c r="R127" s="85">
        <v>0</v>
      </c>
      <c r="S127" s="85">
        <v>2916.67</v>
      </c>
      <c r="T127" s="85"/>
      <c r="U127" s="85">
        <v>8.8000000000000007</v>
      </c>
      <c r="V127" s="85">
        <v>2916.67</v>
      </c>
      <c r="W127" s="86">
        <f>+C127+F127+I127+L127+O127+R127+U127</f>
        <v>14632.139999999998</v>
      </c>
      <c r="X127" s="86">
        <f>+D127+G127+J127+M127+P127+S127+V127</f>
        <v>20416.650000000001</v>
      </c>
      <c r="Y127" s="85"/>
      <c r="Z127" s="82">
        <v>35000</v>
      </c>
      <c r="AA127" s="70"/>
      <c r="AB127" s="82">
        <f>+Z127</f>
        <v>35000</v>
      </c>
      <c r="AC127" s="82"/>
      <c r="AD127" s="68"/>
    </row>
    <row r="128" spans="1:30" x14ac:dyDescent="0.2">
      <c r="A128" s="88" t="s">
        <v>312</v>
      </c>
      <c r="B128" s="87" t="s">
        <v>311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>
        <v>0</v>
      </c>
      <c r="S128" s="85">
        <v>0</v>
      </c>
      <c r="T128" s="85"/>
      <c r="U128" s="85"/>
      <c r="V128" s="85"/>
      <c r="W128" s="86">
        <f>+C128+F128+I128+L128+O128+R128+U128</f>
        <v>0</v>
      </c>
      <c r="X128" s="86">
        <f>+D128+G128+J128+M128+P128+S128+V128</f>
        <v>0</v>
      </c>
      <c r="Y128" s="85"/>
      <c r="Z128" s="82"/>
      <c r="AA128" s="70"/>
      <c r="AB128" s="82">
        <f>+Z128</f>
        <v>0</v>
      </c>
      <c r="AC128" s="82"/>
      <c r="AD128" s="68"/>
    </row>
    <row r="129" spans="1:31" x14ac:dyDescent="0.2">
      <c r="A129" s="88"/>
      <c r="B129" s="87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2"/>
      <c r="AA129" s="70"/>
      <c r="AB129" s="82"/>
      <c r="AC129" s="82"/>
      <c r="AD129" s="68"/>
    </row>
    <row r="130" spans="1:31" s="98" customFormat="1" x14ac:dyDescent="0.2">
      <c r="A130" s="95"/>
      <c r="B130" s="94" t="s">
        <v>310</v>
      </c>
      <c r="C130" s="92">
        <f>SUM(C104:C128)</f>
        <v>72782.48</v>
      </c>
      <c r="D130" s="92">
        <f>SUM(D104:D128)</f>
        <v>30916.63</v>
      </c>
      <c r="E130" s="76"/>
      <c r="F130" s="92">
        <f>SUM(F104:F128)</f>
        <v>56590.669999999991</v>
      </c>
      <c r="G130" s="92">
        <f>SUM(G104:G128)</f>
        <v>66366.63</v>
      </c>
      <c r="H130" s="76"/>
      <c r="I130" s="92">
        <f>SUM(I104:I128)</f>
        <v>99601.949999999983</v>
      </c>
      <c r="J130" s="92">
        <f>SUM(J104:J128)</f>
        <v>31466.649999999998</v>
      </c>
      <c r="K130" s="76"/>
      <c r="L130" s="92">
        <f>SUM(L104:L128)</f>
        <v>60271.08</v>
      </c>
      <c r="M130" s="92">
        <f>SUM(M104:M128)</f>
        <v>32516.649999999998</v>
      </c>
      <c r="N130" s="76"/>
      <c r="O130" s="92">
        <f>SUM(O104:O128)</f>
        <v>99882.290000000008</v>
      </c>
      <c r="P130" s="92">
        <f>SUM(P104:P128)</f>
        <v>65566.679999999993</v>
      </c>
      <c r="Q130" s="76"/>
      <c r="R130" s="92">
        <f>SUM(R104:R128)</f>
        <v>55908.459999999992</v>
      </c>
      <c r="S130" s="92">
        <f>SUM(S104:S128)</f>
        <v>32416.679999999993</v>
      </c>
      <c r="T130" s="76"/>
      <c r="U130" s="92">
        <f>SUM(U104:U128)</f>
        <v>38780.800000000003</v>
      </c>
      <c r="V130" s="92">
        <f>SUM(V104:V128)</f>
        <v>32716.679999999993</v>
      </c>
      <c r="W130" s="92">
        <f>SUM(W104:W128)</f>
        <v>483817.72999999992</v>
      </c>
      <c r="X130" s="92">
        <f>SUM(X104:X128)</f>
        <v>291966.60000000003</v>
      </c>
      <c r="Y130" s="76"/>
      <c r="Z130" s="92">
        <f>SUM(Z104:Z128)</f>
        <v>461000</v>
      </c>
      <c r="AA130" s="93"/>
      <c r="AB130" s="92">
        <f>SUM(AB104:AB128)</f>
        <v>456000</v>
      </c>
      <c r="AC130" s="92">
        <f>SUM(AC104:AC128)</f>
        <v>5000</v>
      </c>
      <c r="AD130" s="99"/>
    </row>
    <row r="131" spans="1:31" s="98" customFormat="1" x14ac:dyDescent="0.2">
      <c r="A131" s="95"/>
      <c r="B131" s="94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96"/>
      <c r="AA131" s="97"/>
      <c r="AB131" s="96"/>
      <c r="AC131" s="96"/>
      <c r="AD131" s="99"/>
    </row>
    <row r="132" spans="1:31" x14ac:dyDescent="0.2">
      <c r="A132" s="88" t="s">
        <v>309</v>
      </c>
      <c r="B132" s="87" t="s">
        <v>147</v>
      </c>
      <c r="C132" s="85">
        <v>-11447.82</v>
      </c>
      <c r="D132" s="85">
        <v>29383.77</v>
      </c>
      <c r="E132" s="85"/>
      <c r="F132" s="85">
        <v>27578.19</v>
      </c>
      <c r="G132" s="85">
        <v>29383.77</v>
      </c>
      <c r="H132" s="85"/>
      <c r="I132" s="85">
        <v>31668.06</v>
      </c>
      <c r="J132" s="85">
        <v>29383.77</v>
      </c>
      <c r="K132" s="85"/>
      <c r="L132" s="85">
        <v>30847.19</v>
      </c>
      <c r="M132" s="85">
        <v>29383.77</v>
      </c>
      <c r="N132" s="85"/>
      <c r="O132" s="85">
        <v>44992.32</v>
      </c>
      <c r="P132" s="85">
        <v>44075.65</v>
      </c>
      <c r="Q132" s="85"/>
      <c r="R132" s="85">
        <v>29430.39</v>
      </c>
      <c r="S132" s="85">
        <v>29383.77</v>
      </c>
      <c r="T132" s="85"/>
      <c r="U132" s="85">
        <v>29172.7</v>
      </c>
      <c r="V132" s="85">
        <v>29383.77</v>
      </c>
      <c r="W132" s="86">
        <f>+C132+F132+I132+L132+O132+R132+U132</f>
        <v>182241.03000000003</v>
      </c>
      <c r="X132" s="86">
        <f>+D132+G132+J132+M132+P132+S132+V132</f>
        <v>220378.27</v>
      </c>
      <c r="Y132" s="85"/>
      <c r="Z132" s="82">
        <v>381989</v>
      </c>
      <c r="AA132" s="70"/>
      <c r="AB132" s="82">
        <f>+Z132</f>
        <v>381989</v>
      </c>
      <c r="AC132" s="82"/>
      <c r="AD132" s="68"/>
    </row>
    <row r="133" spans="1:31" x14ac:dyDescent="0.2">
      <c r="A133" s="88" t="s">
        <v>308</v>
      </c>
      <c r="B133" s="87" t="s">
        <v>145</v>
      </c>
      <c r="C133" s="85">
        <v>2327.7800000000002</v>
      </c>
      <c r="D133" s="85">
        <v>2350.6999999999998</v>
      </c>
      <c r="E133" s="85"/>
      <c r="F133" s="85">
        <v>2303.35</v>
      </c>
      <c r="G133" s="85">
        <v>2350.6999999999998</v>
      </c>
      <c r="H133" s="85"/>
      <c r="I133" s="85">
        <v>1595.97</v>
      </c>
      <c r="J133" s="85">
        <v>2350.69</v>
      </c>
      <c r="K133" s="85"/>
      <c r="L133" s="85">
        <v>2225.89</v>
      </c>
      <c r="M133" s="85">
        <v>2350.69</v>
      </c>
      <c r="N133" s="85"/>
      <c r="O133" s="85">
        <v>3406.98</v>
      </c>
      <c r="P133" s="85">
        <v>3526.04</v>
      </c>
      <c r="Q133" s="85"/>
      <c r="R133" s="85">
        <v>2183.0500000000002</v>
      </c>
      <c r="S133" s="85">
        <v>2350.69</v>
      </c>
      <c r="T133" s="85"/>
      <c r="U133" s="85">
        <v>2311.59</v>
      </c>
      <c r="V133" s="85">
        <v>2350.69</v>
      </c>
      <c r="W133" s="86">
        <f>+C133+F133+I133+L133+O133+R133+U133</f>
        <v>16354.61</v>
      </c>
      <c r="X133" s="86">
        <f>+D133+G133+J133+M133+P133+S133+V133</f>
        <v>17630.2</v>
      </c>
      <c r="Y133" s="85"/>
      <c r="Z133" s="82">
        <v>30559</v>
      </c>
      <c r="AA133" s="70"/>
      <c r="AB133" s="82">
        <f>+Z133</f>
        <v>30559</v>
      </c>
      <c r="AC133" s="82"/>
      <c r="AD133" s="68"/>
    </row>
    <row r="134" spans="1:31" x14ac:dyDescent="0.2">
      <c r="A134" s="88" t="s">
        <v>307</v>
      </c>
      <c r="B134" s="87" t="s">
        <v>143</v>
      </c>
      <c r="C134" s="85">
        <v>5359.99</v>
      </c>
      <c r="D134" s="85">
        <v>6031</v>
      </c>
      <c r="E134" s="85"/>
      <c r="F134" s="85">
        <v>5462.13</v>
      </c>
      <c r="G134" s="85">
        <v>6031</v>
      </c>
      <c r="H134" s="85"/>
      <c r="I134" s="85">
        <v>5535.05</v>
      </c>
      <c r="J134" s="85">
        <v>6031</v>
      </c>
      <c r="K134" s="85"/>
      <c r="L134" s="85">
        <v>6820.07</v>
      </c>
      <c r="M134" s="85">
        <v>6031</v>
      </c>
      <c r="N134" s="85"/>
      <c r="O134" s="85">
        <v>6978.02</v>
      </c>
      <c r="P134" s="85">
        <v>6032</v>
      </c>
      <c r="Q134" s="85"/>
      <c r="R134" s="85">
        <v>6978.04</v>
      </c>
      <c r="S134" s="85">
        <v>6032</v>
      </c>
      <c r="T134" s="85"/>
      <c r="U134" s="85">
        <v>6978.04</v>
      </c>
      <c r="V134" s="85">
        <v>6032</v>
      </c>
      <c r="W134" s="86">
        <f>+C134+F134+I134+L134+O134+R134+U134</f>
        <v>44111.34</v>
      </c>
      <c r="X134" s="86">
        <f>+D134+G134+J134+M134+P134+S134+V134</f>
        <v>42220</v>
      </c>
      <c r="Y134" s="85"/>
      <c r="Z134" s="82">
        <f>67402+3616+1226+136</f>
        <v>72380</v>
      </c>
      <c r="AA134" s="70"/>
      <c r="AB134" s="82">
        <f>+Z134</f>
        <v>72380</v>
      </c>
      <c r="AC134" s="82"/>
      <c r="AD134" s="68"/>
    </row>
    <row r="135" spans="1:31" x14ac:dyDescent="0.2">
      <c r="A135" s="88" t="s">
        <v>306</v>
      </c>
      <c r="B135" s="87" t="s">
        <v>165</v>
      </c>
      <c r="C135" s="85">
        <v>312.52</v>
      </c>
      <c r="D135" s="85">
        <v>316.3</v>
      </c>
      <c r="E135" s="85"/>
      <c r="F135" s="85">
        <v>307.35000000000002</v>
      </c>
      <c r="G135" s="85">
        <v>316.3</v>
      </c>
      <c r="H135" s="85"/>
      <c r="I135" s="85">
        <v>307.33999999999997</v>
      </c>
      <c r="J135" s="85">
        <v>316.31</v>
      </c>
      <c r="K135" s="85"/>
      <c r="L135" s="85">
        <v>315.97000000000003</v>
      </c>
      <c r="M135" s="85">
        <v>316.31</v>
      </c>
      <c r="N135" s="85"/>
      <c r="O135" s="85">
        <v>468.66</v>
      </c>
      <c r="P135" s="85">
        <v>474.46</v>
      </c>
      <c r="Q135" s="85"/>
      <c r="R135" s="85">
        <v>315.51</v>
      </c>
      <c r="S135" s="85">
        <v>316.31</v>
      </c>
      <c r="T135" s="85"/>
      <c r="U135" s="85">
        <v>313.58999999999997</v>
      </c>
      <c r="V135" s="85">
        <v>316.31</v>
      </c>
      <c r="W135" s="86">
        <f>+C135+F135+I135+L135+O135+R135+U135</f>
        <v>2340.94</v>
      </c>
      <c r="X135" s="86">
        <f>+D135+G135+J135+M135+P135+S135+V135</f>
        <v>2372.3000000000002</v>
      </c>
      <c r="Y135" s="85"/>
      <c r="Z135" s="82">
        <v>4112</v>
      </c>
      <c r="AA135" s="70"/>
      <c r="AB135" s="82">
        <f>+Z135</f>
        <v>4112</v>
      </c>
      <c r="AC135" s="82"/>
      <c r="AD135" s="68"/>
    </row>
    <row r="136" spans="1:31" x14ac:dyDescent="0.2">
      <c r="A136" s="88" t="s">
        <v>305</v>
      </c>
      <c r="B136" s="87" t="s">
        <v>141</v>
      </c>
      <c r="C136" s="85">
        <v>1206.79</v>
      </c>
      <c r="D136" s="85">
        <v>41.34</v>
      </c>
      <c r="E136" s="85"/>
      <c r="F136" s="85">
        <v>1206.79</v>
      </c>
      <c r="G136" s="85">
        <v>41.34</v>
      </c>
      <c r="H136" s="85"/>
      <c r="I136" s="85">
        <v>1206.79</v>
      </c>
      <c r="J136" s="85">
        <v>41.34</v>
      </c>
      <c r="K136" s="85"/>
      <c r="L136" s="85">
        <v>1206.79</v>
      </c>
      <c r="M136" s="85">
        <v>41.34</v>
      </c>
      <c r="N136" s="85"/>
      <c r="O136" s="85">
        <v>1206.79</v>
      </c>
      <c r="P136" s="85">
        <v>41.33</v>
      </c>
      <c r="Q136" s="85"/>
      <c r="R136" s="85">
        <v>40.44</v>
      </c>
      <c r="S136" s="85">
        <v>41.33</v>
      </c>
      <c r="T136" s="85"/>
      <c r="U136" s="85">
        <v>100.42</v>
      </c>
      <c r="V136" s="85">
        <v>41.33</v>
      </c>
      <c r="W136" s="86">
        <f>+C136+F136+I136+L136+O136+R136+U136</f>
        <v>6174.8099999999995</v>
      </c>
      <c r="X136" s="86">
        <f>+D136+G136+J136+M136+P136+S136+V136</f>
        <v>289.34999999999997</v>
      </c>
      <c r="Y136" s="85"/>
      <c r="Z136" s="82">
        <v>496</v>
      </c>
      <c r="AA136" s="70"/>
      <c r="AB136" s="82">
        <f>+Z136</f>
        <v>496</v>
      </c>
      <c r="AC136" s="82"/>
      <c r="AD136" s="68"/>
      <c r="AE136" s="68"/>
    </row>
    <row r="137" spans="1:31" x14ac:dyDescent="0.2">
      <c r="A137" s="88" t="s">
        <v>304</v>
      </c>
      <c r="B137" s="87" t="s">
        <v>140</v>
      </c>
      <c r="C137" s="85">
        <v>183.2</v>
      </c>
      <c r="D137" s="85">
        <v>555.55999999999995</v>
      </c>
      <c r="E137" s="85"/>
      <c r="F137" s="85">
        <v>335.84</v>
      </c>
      <c r="G137" s="85"/>
      <c r="H137" s="85"/>
      <c r="I137" s="85">
        <v>612.32000000000005</v>
      </c>
      <c r="J137" s="85">
        <v>1111.1099999999999</v>
      </c>
      <c r="K137" s="85"/>
      <c r="L137" s="85">
        <v>738.88</v>
      </c>
      <c r="M137" s="85">
        <v>1111.1099999999999</v>
      </c>
      <c r="N137" s="85"/>
      <c r="O137" s="85">
        <v>961.6</v>
      </c>
      <c r="P137" s="85">
        <v>1666.67</v>
      </c>
      <c r="Q137" s="85"/>
      <c r="R137" s="85">
        <v>545.12</v>
      </c>
      <c r="S137" s="85">
        <v>555.54999999999995</v>
      </c>
      <c r="T137" s="85"/>
      <c r="U137" s="85">
        <v>0</v>
      </c>
      <c r="V137" s="85">
        <v>0</v>
      </c>
      <c r="W137" s="86">
        <f>+C137+F137+I137+L137+O137+R137+U137</f>
        <v>3376.96</v>
      </c>
      <c r="X137" s="86">
        <f>+D137+G137+J137+M137+P137+S137+V137</f>
        <v>5000</v>
      </c>
      <c r="Y137" s="85"/>
      <c r="Z137" s="82">
        <v>5000</v>
      </c>
      <c r="AA137" s="70"/>
      <c r="AB137" s="82">
        <f>+Z137</f>
        <v>5000</v>
      </c>
      <c r="AC137" s="82"/>
      <c r="AD137" s="68"/>
    </row>
    <row r="138" spans="1:31" x14ac:dyDescent="0.2">
      <c r="A138" s="88" t="s">
        <v>303</v>
      </c>
      <c r="B138" s="87" t="s">
        <v>139</v>
      </c>
      <c r="C138" s="85">
        <v>16.21</v>
      </c>
      <c r="D138" s="85">
        <v>50</v>
      </c>
      <c r="E138" s="85"/>
      <c r="F138" s="85">
        <v>17.45</v>
      </c>
      <c r="G138" s="85"/>
      <c r="H138" s="85"/>
      <c r="I138" s="85">
        <v>48.46</v>
      </c>
      <c r="J138" s="85">
        <v>100</v>
      </c>
      <c r="K138" s="85"/>
      <c r="L138" s="85">
        <v>65.38</v>
      </c>
      <c r="M138" s="85">
        <v>100</v>
      </c>
      <c r="N138" s="85"/>
      <c r="O138" s="85">
        <v>99.36</v>
      </c>
      <c r="P138" s="85">
        <v>150</v>
      </c>
      <c r="Q138" s="85"/>
      <c r="R138" s="85">
        <v>46.32</v>
      </c>
      <c r="S138" s="85">
        <v>50</v>
      </c>
      <c r="T138" s="85"/>
      <c r="U138" s="85">
        <v>0</v>
      </c>
      <c r="V138" s="85">
        <v>0</v>
      </c>
      <c r="W138" s="86">
        <f>+C138+F138+I138+L138+O138+R138+U138</f>
        <v>293.18</v>
      </c>
      <c r="X138" s="86">
        <f>+D138+G138+J138+M138+P138+S138+V138</f>
        <v>450</v>
      </c>
      <c r="Y138" s="85"/>
      <c r="Z138" s="82">
        <v>450</v>
      </c>
      <c r="AA138" s="70"/>
      <c r="AB138" s="82">
        <f>+Z138</f>
        <v>450</v>
      </c>
      <c r="AC138" s="82"/>
      <c r="AD138" s="68"/>
    </row>
    <row r="139" spans="1:31" x14ac:dyDescent="0.2">
      <c r="A139" s="88" t="s">
        <v>302</v>
      </c>
      <c r="B139" s="87" t="s">
        <v>136</v>
      </c>
      <c r="C139" s="85">
        <v>-48.94</v>
      </c>
      <c r="D139" s="85">
        <v>1.25</v>
      </c>
      <c r="E139" s="85"/>
      <c r="F139" s="85">
        <v>-48.94</v>
      </c>
      <c r="G139" s="85">
        <v>1.25</v>
      </c>
      <c r="H139" s="85"/>
      <c r="I139" s="85">
        <v>-48.94</v>
      </c>
      <c r="J139" s="85">
        <v>1.25</v>
      </c>
      <c r="K139" s="85"/>
      <c r="L139" s="85">
        <v>-48.94</v>
      </c>
      <c r="M139" s="85">
        <v>1.25</v>
      </c>
      <c r="N139" s="85"/>
      <c r="O139" s="85">
        <v>-48.94</v>
      </c>
      <c r="P139" s="85">
        <v>1.25</v>
      </c>
      <c r="Q139" s="85"/>
      <c r="R139" s="85">
        <v>1.22</v>
      </c>
      <c r="S139" s="85">
        <v>1.25</v>
      </c>
      <c r="T139" s="85"/>
      <c r="U139" s="85">
        <v>3.05</v>
      </c>
      <c r="V139" s="85">
        <v>1.25</v>
      </c>
      <c r="W139" s="86">
        <f>+C139+F139+I139+L139+O139+R139+U139</f>
        <v>-240.42999999999998</v>
      </c>
      <c r="X139" s="86">
        <f>+D139+G139+J139+M139+P139+S139+V139</f>
        <v>8.75</v>
      </c>
      <c r="Y139" s="85"/>
      <c r="Z139" s="82">
        <v>15</v>
      </c>
      <c r="AA139" s="70"/>
      <c r="AB139" s="82">
        <f>+Z139</f>
        <v>15</v>
      </c>
      <c r="AC139" s="82"/>
      <c r="AD139" s="68"/>
      <c r="AE139" s="68"/>
    </row>
    <row r="140" spans="1:31" x14ac:dyDescent="0.2">
      <c r="A140" s="88" t="s">
        <v>301</v>
      </c>
      <c r="B140" s="87" t="s">
        <v>134</v>
      </c>
      <c r="C140" s="85">
        <v>2319.94</v>
      </c>
      <c r="D140" s="85">
        <v>2500</v>
      </c>
      <c r="E140" s="85"/>
      <c r="F140" s="85">
        <v>2956.65</v>
      </c>
      <c r="G140" s="85">
        <v>2500</v>
      </c>
      <c r="H140" s="85"/>
      <c r="I140" s="85">
        <v>2874.3</v>
      </c>
      <c r="J140" s="85">
        <v>2500</v>
      </c>
      <c r="K140" s="85"/>
      <c r="L140" s="85">
        <v>2466.91</v>
      </c>
      <c r="M140" s="85">
        <v>2500</v>
      </c>
      <c r="N140" s="85"/>
      <c r="O140" s="85">
        <v>3793.87</v>
      </c>
      <c r="P140" s="85">
        <v>2500</v>
      </c>
      <c r="Q140" s="85"/>
      <c r="R140" s="85">
        <v>2646.19</v>
      </c>
      <c r="S140" s="85">
        <v>2500</v>
      </c>
      <c r="T140" s="85"/>
      <c r="U140" s="85">
        <v>2477.33</v>
      </c>
      <c r="V140" s="85">
        <v>2500</v>
      </c>
      <c r="W140" s="86">
        <f>+C140+F140+I140+L140+O140+R140+U140</f>
        <v>19535.189999999995</v>
      </c>
      <c r="X140" s="86">
        <f>+D140+G140+J140+M140+P140+S140+V140</f>
        <v>17500</v>
      </c>
      <c r="Y140" s="85"/>
      <c r="Z140" s="82">
        <v>30000</v>
      </c>
      <c r="AA140" s="70"/>
      <c r="AB140" s="82">
        <f>+Z140</f>
        <v>30000</v>
      </c>
      <c r="AC140" s="82"/>
      <c r="AD140" s="68"/>
    </row>
    <row r="141" spans="1:31" x14ac:dyDescent="0.2">
      <c r="A141" s="88" t="s">
        <v>300</v>
      </c>
      <c r="B141" s="87" t="s">
        <v>132</v>
      </c>
      <c r="C141" s="85">
        <v>600</v>
      </c>
      <c r="D141" s="85">
        <v>242</v>
      </c>
      <c r="E141" s="85"/>
      <c r="F141" s="85"/>
      <c r="G141" s="85">
        <v>241</v>
      </c>
      <c r="H141" s="85"/>
      <c r="I141" s="85">
        <v>815</v>
      </c>
      <c r="J141" s="85">
        <v>242</v>
      </c>
      <c r="K141" s="85"/>
      <c r="L141" s="85">
        <v>600</v>
      </c>
      <c r="M141" s="85">
        <v>241</v>
      </c>
      <c r="N141" s="85"/>
      <c r="O141" s="85"/>
      <c r="P141" s="85">
        <v>242</v>
      </c>
      <c r="Q141" s="85"/>
      <c r="R141" s="85">
        <v>659</v>
      </c>
      <c r="S141" s="85">
        <v>241</v>
      </c>
      <c r="T141" s="85"/>
      <c r="U141" s="85">
        <v>0</v>
      </c>
      <c r="V141" s="85">
        <v>242</v>
      </c>
      <c r="W141" s="86">
        <f>+C141+F141+I141+L141+O141+R141+U141</f>
        <v>2674</v>
      </c>
      <c r="X141" s="86">
        <f>+D141+G141+J141+M141+P141+S141+V141</f>
        <v>1691</v>
      </c>
      <c r="Y141" s="85"/>
      <c r="Z141" s="82">
        <v>2900</v>
      </c>
      <c r="AA141" s="70"/>
      <c r="AB141" s="82">
        <f>+Z141</f>
        <v>2900</v>
      </c>
      <c r="AC141" s="82"/>
      <c r="AD141" s="68"/>
    </row>
    <row r="142" spans="1:31" x14ac:dyDescent="0.2">
      <c r="A142" s="88" t="s">
        <v>299</v>
      </c>
      <c r="B142" s="87" t="s">
        <v>209</v>
      </c>
      <c r="C142" s="85"/>
      <c r="D142" s="85"/>
      <c r="E142" s="85"/>
      <c r="F142" s="85"/>
      <c r="G142" s="85"/>
      <c r="H142" s="85"/>
      <c r="I142" s="85">
        <v>441</v>
      </c>
      <c r="J142" s="85">
        <v>250</v>
      </c>
      <c r="K142" s="85"/>
      <c r="L142" s="85"/>
      <c r="M142" s="85"/>
      <c r="N142" s="85"/>
      <c r="O142" s="85"/>
      <c r="P142" s="85"/>
      <c r="Q142" s="85"/>
      <c r="R142" s="85">
        <v>0</v>
      </c>
      <c r="S142" s="85">
        <v>0</v>
      </c>
      <c r="T142" s="85"/>
      <c r="U142" s="85">
        <v>0</v>
      </c>
      <c r="V142" s="85">
        <v>0</v>
      </c>
      <c r="W142" s="86">
        <f>+C142+F142+I142+L142+O142+R142+U142</f>
        <v>441</v>
      </c>
      <c r="X142" s="86">
        <f>+D142+G142+J142+M142+P142+S142+V142</f>
        <v>250</v>
      </c>
      <c r="Y142" s="85"/>
      <c r="Z142" s="82">
        <v>500</v>
      </c>
      <c r="AA142" s="70"/>
      <c r="AB142" s="82">
        <f>+Z142</f>
        <v>500</v>
      </c>
      <c r="AC142" s="82"/>
      <c r="AD142" s="68"/>
    </row>
    <row r="143" spans="1:31" x14ac:dyDescent="0.2">
      <c r="A143" s="88" t="s">
        <v>298</v>
      </c>
      <c r="B143" s="87" t="s">
        <v>130</v>
      </c>
      <c r="C143" s="85">
        <v>99.52</v>
      </c>
      <c r="D143" s="85">
        <v>210</v>
      </c>
      <c r="E143" s="85"/>
      <c r="F143" s="85">
        <v>543.65</v>
      </c>
      <c r="G143" s="85">
        <v>200</v>
      </c>
      <c r="H143" s="85"/>
      <c r="I143" s="85">
        <v>1356</v>
      </c>
      <c r="J143" s="85">
        <v>210</v>
      </c>
      <c r="K143" s="85"/>
      <c r="L143" s="85">
        <v>984.6</v>
      </c>
      <c r="M143" s="85">
        <v>210</v>
      </c>
      <c r="N143" s="85"/>
      <c r="O143" s="85">
        <v>150</v>
      </c>
      <c r="P143" s="85">
        <v>200</v>
      </c>
      <c r="Q143" s="85"/>
      <c r="R143" s="85">
        <v>251.06</v>
      </c>
      <c r="S143" s="85">
        <v>210</v>
      </c>
      <c r="T143" s="85"/>
      <c r="U143" s="85">
        <v>590</v>
      </c>
      <c r="V143" s="85">
        <v>210</v>
      </c>
      <c r="W143" s="86">
        <f>+C143+F143+I143+L143+O143+R143+U143</f>
        <v>3974.83</v>
      </c>
      <c r="X143" s="86">
        <f>+D143+G143+J143+M143+P143+S143+V143</f>
        <v>1450</v>
      </c>
      <c r="Y143" s="85"/>
      <c r="Z143" s="82">
        <v>2500</v>
      </c>
      <c r="AA143" s="70"/>
      <c r="AB143" s="82">
        <f>+Z143</f>
        <v>2500</v>
      </c>
      <c r="AC143" s="82"/>
      <c r="AD143" s="68"/>
    </row>
    <row r="144" spans="1:31" x14ac:dyDescent="0.2">
      <c r="A144" s="88" t="s">
        <v>297</v>
      </c>
      <c r="B144" s="87" t="s">
        <v>206</v>
      </c>
      <c r="C144" s="85">
        <v>415</v>
      </c>
      <c r="D144" s="85">
        <v>580</v>
      </c>
      <c r="E144" s="85"/>
      <c r="F144" s="85">
        <v>415</v>
      </c>
      <c r="G144" s="85">
        <v>585</v>
      </c>
      <c r="H144" s="85"/>
      <c r="I144" s="85">
        <v>580.58000000000004</v>
      </c>
      <c r="J144" s="85">
        <v>580</v>
      </c>
      <c r="K144" s="85"/>
      <c r="L144" s="85">
        <v>415</v>
      </c>
      <c r="M144" s="85">
        <v>585</v>
      </c>
      <c r="N144" s="85"/>
      <c r="O144" s="85">
        <v>622.5</v>
      </c>
      <c r="P144" s="85">
        <v>580</v>
      </c>
      <c r="Q144" s="85"/>
      <c r="R144" s="85">
        <v>415</v>
      </c>
      <c r="S144" s="85">
        <v>585</v>
      </c>
      <c r="T144" s="85"/>
      <c r="U144" s="85">
        <v>415</v>
      </c>
      <c r="V144" s="85">
        <v>580</v>
      </c>
      <c r="W144" s="86">
        <f>+C144+F144+I144+L144+O144+R144+U144</f>
        <v>3278.08</v>
      </c>
      <c r="X144" s="86">
        <f>+D144+G144+J144+M144+P144+S144+V144</f>
        <v>4075</v>
      </c>
      <c r="Y144" s="85"/>
      <c r="Z144" s="82">
        <v>7000</v>
      </c>
      <c r="AA144" s="70"/>
      <c r="AB144" s="82">
        <f>+Z144</f>
        <v>7000</v>
      </c>
      <c r="AC144" s="82"/>
      <c r="AD144" s="68"/>
    </row>
    <row r="145" spans="1:30" x14ac:dyDescent="0.2">
      <c r="A145" s="88" t="s">
        <v>296</v>
      </c>
      <c r="B145" s="87" t="s">
        <v>295</v>
      </c>
      <c r="C145" s="85">
        <v>2116.65</v>
      </c>
      <c r="D145" s="85">
        <v>1000</v>
      </c>
      <c r="E145" s="85"/>
      <c r="F145" s="85">
        <v>798.36</v>
      </c>
      <c r="G145" s="85">
        <v>1000</v>
      </c>
      <c r="H145" s="85"/>
      <c r="I145" s="85">
        <v>413.06</v>
      </c>
      <c r="J145" s="85">
        <v>1000</v>
      </c>
      <c r="K145" s="85"/>
      <c r="L145" s="85">
        <v>1009.75</v>
      </c>
      <c r="M145" s="85">
        <v>1000</v>
      </c>
      <c r="N145" s="85"/>
      <c r="O145" s="85">
        <v>2219.75</v>
      </c>
      <c r="P145" s="85">
        <v>1000</v>
      </c>
      <c r="Q145" s="85"/>
      <c r="R145" s="85">
        <v>121.37</v>
      </c>
      <c r="S145" s="85">
        <v>1000</v>
      </c>
      <c r="T145" s="85"/>
      <c r="U145" s="85">
        <v>2024.75</v>
      </c>
      <c r="V145" s="85">
        <v>1000</v>
      </c>
      <c r="W145" s="86">
        <f>+C145+F145+I145+L145+O145+R145+U145</f>
        <v>8703.6899999999987</v>
      </c>
      <c r="X145" s="86">
        <f>+D145+G145+J145+M145+P145+S145+V145</f>
        <v>7000</v>
      </c>
      <c r="Y145" s="85"/>
      <c r="Z145" s="82">
        <v>12000</v>
      </c>
      <c r="AA145" s="70"/>
      <c r="AB145" s="82">
        <f>+Z145</f>
        <v>12000</v>
      </c>
      <c r="AC145" s="82"/>
      <c r="AD145" s="68"/>
    </row>
    <row r="146" spans="1:30" x14ac:dyDescent="0.2">
      <c r="A146" s="88" t="s">
        <v>294</v>
      </c>
      <c r="B146" s="87" t="s">
        <v>203</v>
      </c>
      <c r="C146" s="85">
        <v>5550.65</v>
      </c>
      <c r="D146" s="85">
        <v>12500</v>
      </c>
      <c r="E146" s="85"/>
      <c r="F146" s="85">
        <v>4051.9</v>
      </c>
      <c r="G146" s="85">
        <v>12500</v>
      </c>
      <c r="H146" s="85"/>
      <c r="I146" s="85">
        <v>3917.09</v>
      </c>
      <c r="J146" s="85">
        <v>12500</v>
      </c>
      <c r="K146" s="85"/>
      <c r="L146" s="85">
        <v>4021.9</v>
      </c>
      <c r="M146" s="85">
        <v>12500</v>
      </c>
      <c r="N146" s="85"/>
      <c r="O146" s="85">
        <v>4837.8999999999996</v>
      </c>
      <c r="P146" s="85">
        <v>12500</v>
      </c>
      <c r="Q146" s="85"/>
      <c r="R146" s="85">
        <v>3651.15</v>
      </c>
      <c r="S146" s="85">
        <v>12500</v>
      </c>
      <c r="T146" s="85"/>
      <c r="U146" s="85">
        <v>5739.4</v>
      </c>
      <c r="V146" s="85">
        <v>12500</v>
      </c>
      <c r="W146" s="86">
        <f>+C146+F146+I146+L146+O146+R146+U146</f>
        <v>31769.990000000005</v>
      </c>
      <c r="X146" s="86">
        <f>+D146+G146+J146+M146+P146+S146+V146</f>
        <v>87500</v>
      </c>
      <c r="Y146" s="85"/>
      <c r="Z146" s="82">
        <v>150000</v>
      </c>
      <c r="AA146" s="70"/>
      <c r="AB146" s="82">
        <v>75000</v>
      </c>
      <c r="AC146" s="82">
        <f>+Z146-AB146</f>
        <v>75000</v>
      </c>
      <c r="AD146" s="68"/>
    </row>
    <row r="147" spans="1:30" x14ac:dyDescent="0.2">
      <c r="A147" s="88" t="s">
        <v>293</v>
      </c>
      <c r="B147" s="87" t="s">
        <v>122</v>
      </c>
      <c r="C147" s="85">
        <v>5517.76</v>
      </c>
      <c r="D147" s="85">
        <v>5833.34</v>
      </c>
      <c r="E147" s="85"/>
      <c r="F147" s="85">
        <v>7232.11</v>
      </c>
      <c r="G147" s="85">
        <v>5833.34</v>
      </c>
      <c r="H147" s="85"/>
      <c r="I147" s="85">
        <v>5517.76</v>
      </c>
      <c r="J147" s="85">
        <v>5833.34</v>
      </c>
      <c r="K147" s="85"/>
      <c r="L147" s="85">
        <v>5517.76</v>
      </c>
      <c r="M147" s="85">
        <v>5833.34</v>
      </c>
      <c r="N147" s="85"/>
      <c r="O147" s="85">
        <v>5517.76</v>
      </c>
      <c r="P147" s="85">
        <v>5833.33</v>
      </c>
      <c r="Q147" s="85"/>
      <c r="R147" s="85">
        <v>5517.76</v>
      </c>
      <c r="S147" s="85">
        <v>5833.33</v>
      </c>
      <c r="T147" s="85"/>
      <c r="U147" s="85">
        <v>5517.76</v>
      </c>
      <c r="V147" s="85">
        <v>5833.33</v>
      </c>
      <c r="W147" s="86">
        <f>+C147+F147+I147+L147+O147+R147+U147</f>
        <v>40338.670000000006</v>
      </c>
      <c r="X147" s="86">
        <f>+D147+G147+J147+M147+P147+S147+V147</f>
        <v>40833.350000000006</v>
      </c>
      <c r="Y147" s="85"/>
      <c r="Z147" s="82">
        <v>70000</v>
      </c>
      <c r="AA147" s="70"/>
      <c r="AB147" s="82">
        <f>+Z147</f>
        <v>70000</v>
      </c>
      <c r="AC147" s="82"/>
      <c r="AD147" s="68"/>
    </row>
    <row r="148" spans="1:30" x14ac:dyDescent="0.2">
      <c r="A148" s="88" t="s">
        <v>292</v>
      </c>
      <c r="B148" s="87" t="s">
        <v>120</v>
      </c>
      <c r="C148" s="85">
        <v>2563</v>
      </c>
      <c r="D148" s="85">
        <v>210</v>
      </c>
      <c r="E148" s="85"/>
      <c r="F148" s="85">
        <v>179</v>
      </c>
      <c r="G148" s="85">
        <v>210</v>
      </c>
      <c r="H148" s="85"/>
      <c r="I148" s="85"/>
      <c r="J148" s="85">
        <v>210</v>
      </c>
      <c r="K148" s="85"/>
      <c r="L148" s="85"/>
      <c r="M148" s="85">
        <v>200</v>
      </c>
      <c r="N148" s="85"/>
      <c r="O148" s="85"/>
      <c r="P148" s="85">
        <v>200</v>
      </c>
      <c r="Q148" s="85"/>
      <c r="R148" s="85">
        <v>0</v>
      </c>
      <c r="S148" s="85">
        <v>210</v>
      </c>
      <c r="T148" s="85"/>
      <c r="U148" s="85">
        <v>0</v>
      </c>
      <c r="V148" s="85">
        <v>210</v>
      </c>
      <c r="W148" s="86">
        <f>+C148+F148+I148+L148+O148+R148+U148</f>
        <v>2742</v>
      </c>
      <c r="X148" s="86">
        <f>+D148+G148+J148+M148+P148+S148+V148</f>
        <v>1450</v>
      </c>
      <c r="Y148" s="85"/>
      <c r="Z148" s="82">
        <v>2500</v>
      </c>
      <c r="AA148" s="70"/>
      <c r="AB148" s="82">
        <f>+Z148</f>
        <v>2500</v>
      </c>
      <c r="AC148" s="82"/>
      <c r="AD148" s="68"/>
    </row>
    <row r="149" spans="1:30" x14ac:dyDescent="0.2">
      <c r="A149" s="88" t="s">
        <v>291</v>
      </c>
      <c r="B149" s="87" t="s">
        <v>118</v>
      </c>
      <c r="C149" s="85">
        <v>370</v>
      </c>
      <c r="D149" s="85">
        <v>625</v>
      </c>
      <c r="E149" s="85"/>
      <c r="F149" s="85">
        <v>1341.62</v>
      </c>
      <c r="G149" s="85">
        <v>625</v>
      </c>
      <c r="H149" s="85"/>
      <c r="I149" s="85">
        <v>173</v>
      </c>
      <c r="J149" s="85">
        <v>625</v>
      </c>
      <c r="K149" s="85"/>
      <c r="L149" s="85"/>
      <c r="M149" s="85">
        <v>625</v>
      </c>
      <c r="N149" s="85"/>
      <c r="O149" s="85">
        <v>659</v>
      </c>
      <c r="P149" s="85">
        <v>625</v>
      </c>
      <c r="Q149" s="85"/>
      <c r="R149" s="85">
        <v>605.98</v>
      </c>
      <c r="S149" s="85">
        <v>625</v>
      </c>
      <c r="T149" s="85"/>
      <c r="U149" s="85">
        <v>0</v>
      </c>
      <c r="V149" s="85">
        <v>625</v>
      </c>
      <c r="W149" s="86">
        <f>+C149+F149+I149+L149+O149+R149+U149</f>
        <v>3149.6</v>
      </c>
      <c r="X149" s="86">
        <f>+D149+G149+J149+M149+P149+S149+V149</f>
        <v>4375</v>
      </c>
      <c r="Y149" s="85"/>
      <c r="Z149" s="82">
        <v>7500</v>
      </c>
      <c r="AA149" s="70"/>
      <c r="AB149" s="82">
        <f>+Z149</f>
        <v>7500</v>
      </c>
      <c r="AC149" s="82"/>
      <c r="AD149" s="68"/>
    </row>
    <row r="150" spans="1:30" x14ac:dyDescent="0.2">
      <c r="A150" s="88" t="s">
        <v>290</v>
      </c>
      <c r="B150" s="87" t="s">
        <v>116</v>
      </c>
      <c r="C150" s="85">
        <v>665.85</v>
      </c>
      <c r="D150" s="85">
        <v>833.34</v>
      </c>
      <c r="E150" s="85"/>
      <c r="F150" s="85">
        <v>1218.07</v>
      </c>
      <c r="G150" s="85">
        <v>833.34</v>
      </c>
      <c r="H150" s="85"/>
      <c r="I150" s="85">
        <v>883.1</v>
      </c>
      <c r="J150" s="85">
        <v>833.34</v>
      </c>
      <c r="K150" s="85"/>
      <c r="L150" s="85">
        <v>370.77</v>
      </c>
      <c r="M150" s="85">
        <v>833.34</v>
      </c>
      <c r="N150" s="85"/>
      <c r="O150" s="85">
        <v>2104.59</v>
      </c>
      <c r="P150" s="85">
        <v>833.33</v>
      </c>
      <c r="Q150" s="85"/>
      <c r="R150" s="85">
        <v>3083.93</v>
      </c>
      <c r="S150" s="85">
        <v>833.33</v>
      </c>
      <c r="T150" s="85"/>
      <c r="U150" s="85">
        <v>267.02999999999997</v>
      </c>
      <c r="V150" s="85">
        <v>833.33</v>
      </c>
      <c r="W150" s="86">
        <f>+C150+F150+I150+L150+O150+R150+U150</f>
        <v>8593.34</v>
      </c>
      <c r="X150" s="86">
        <f>+D150+G150+J150+M150+P150+S150+V150</f>
        <v>5833.35</v>
      </c>
      <c r="Y150" s="85"/>
      <c r="Z150" s="82">
        <v>10000</v>
      </c>
      <c r="AA150" s="70"/>
      <c r="AB150" s="82">
        <f>+Z150</f>
        <v>10000</v>
      </c>
      <c r="AC150" s="82"/>
      <c r="AD150" s="68"/>
    </row>
    <row r="151" spans="1:30" x14ac:dyDescent="0.2">
      <c r="A151" s="88" t="s">
        <v>289</v>
      </c>
      <c r="B151" s="87" t="s">
        <v>114</v>
      </c>
      <c r="C151" s="85"/>
      <c r="D151" s="85">
        <v>166.66</v>
      </c>
      <c r="E151" s="85"/>
      <c r="F151" s="85"/>
      <c r="G151" s="85">
        <v>166.66</v>
      </c>
      <c r="H151" s="85"/>
      <c r="I151" s="85"/>
      <c r="J151" s="85">
        <v>166.66</v>
      </c>
      <c r="K151" s="85"/>
      <c r="L151" s="85"/>
      <c r="M151" s="85">
        <v>166.66</v>
      </c>
      <c r="N151" s="85"/>
      <c r="O151" s="85"/>
      <c r="P151" s="85">
        <v>166.67</v>
      </c>
      <c r="Q151" s="85"/>
      <c r="R151" s="85">
        <v>0</v>
      </c>
      <c r="S151" s="85">
        <v>166.67</v>
      </c>
      <c r="T151" s="85"/>
      <c r="U151" s="85">
        <v>0</v>
      </c>
      <c r="V151" s="85">
        <v>166.67</v>
      </c>
      <c r="W151" s="86">
        <f>+C151+F151+I151+L151+O151+R151+U151</f>
        <v>0</v>
      </c>
      <c r="X151" s="86">
        <f>+D151+G151+J151+M151+P151+S151+V151</f>
        <v>1166.6499999999999</v>
      </c>
      <c r="Y151" s="85"/>
      <c r="Z151" s="82">
        <v>2000</v>
      </c>
      <c r="AA151" s="70"/>
      <c r="AB151" s="82">
        <f>+Z151</f>
        <v>2000</v>
      </c>
      <c r="AC151" s="82"/>
      <c r="AD151" s="68"/>
    </row>
    <row r="152" spans="1:30" x14ac:dyDescent="0.2">
      <c r="A152" s="88" t="s">
        <v>288</v>
      </c>
      <c r="B152" s="87" t="s">
        <v>112</v>
      </c>
      <c r="C152" s="85">
        <v>198.48</v>
      </c>
      <c r="D152" s="85">
        <v>416.66</v>
      </c>
      <c r="E152" s="85"/>
      <c r="F152" s="85">
        <v>100</v>
      </c>
      <c r="G152" s="85">
        <v>416.66</v>
      </c>
      <c r="H152" s="85"/>
      <c r="I152" s="85">
        <v>997.27</v>
      </c>
      <c r="J152" s="85">
        <v>416.66</v>
      </c>
      <c r="K152" s="85"/>
      <c r="L152" s="85"/>
      <c r="M152" s="85">
        <v>416.66</v>
      </c>
      <c r="N152" s="85"/>
      <c r="O152" s="85">
        <v>2</v>
      </c>
      <c r="P152" s="85">
        <v>416.67</v>
      </c>
      <c r="Q152" s="85"/>
      <c r="R152" s="85">
        <v>20.95</v>
      </c>
      <c r="S152" s="85">
        <v>416.67</v>
      </c>
      <c r="T152" s="85"/>
      <c r="U152" s="85">
        <v>0</v>
      </c>
      <c r="V152" s="85">
        <v>416.67</v>
      </c>
      <c r="W152" s="86">
        <f>+C152+F152+I152+L152+O152+R152+U152</f>
        <v>1318.7</v>
      </c>
      <c r="X152" s="86">
        <f>+D152+G152+J152+M152+P152+S152+V152</f>
        <v>2916.65</v>
      </c>
      <c r="Y152" s="85"/>
      <c r="Z152" s="82">
        <v>5000</v>
      </c>
      <c r="AA152" s="70"/>
      <c r="AB152" s="82">
        <f>+Z152</f>
        <v>5000</v>
      </c>
      <c r="AC152" s="82"/>
      <c r="AD152" s="68"/>
    </row>
    <row r="153" spans="1:30" x14ac:dyDescent="0.2">
      <c r="A153" s="88">
        <v>6022050</v>
      </c>
      <c r="B153" s="87" t="s">
        <v>106</v>
      </c>
      <c r="C153" s="85">
        <v>35169.39</v>
      </c>
      <c r="D153" s="85"/>
      <c r="E153" s="85"/>
      <c r="F153" s="85">
        <v>32968.589999999997</v>
      </c>
      <c r="G153" s="85"/>
      <c r="H153" s="85"/>
      <c r="I153" s="85">
        <v>33719.120000000003</v>
      </c>
      <c r="J153" s="85"/>
      <c r="K153" s="85"/>
      <c r="L153" s="85">
        <v>37740.870000000003</v>
      </c>
      <c r="M153" s="85"/>
      <c r="N153" s="85"/>
      <c r="O153" s="85">
        <v>17859.2</v>
      </c>
      <c r="P153" s="85"/>
      <c r="Q153" s="85"/>
      <c r="R153" s="85">
        <v>14744.34</v>
      </c>
      <c r="S153" s="85">
        <v>0</v>
      </c>
      <c r="T153" s="85"/>
      <c r="U153" s="85">
        <v>7835.08</v>
      </c>
      <c r="V153" s="85">
        <v>0</v>
      </c>
      <c r="W153" s="86">
        <f>+C153+F153+I153+L153+O153+R153+U153</f>
        <v>180036.59</v>
      </c>
      <c r="X153" s="86">
        <f>+D153+G153+J153+M153+P153+S153+V153</f>
        <v>0</v>
      </c>
      <c r="Y153" s="85"/>
      <c r="Z153" s="82"/>
      <c r="AA153" s="70"/>
      <c r="AB153" s="82">
        <f>+Z153</f>
        <v>0</v>
      </c>
      <c r="AC153" s="82"/>
      <c r="AD153" s="68"/>
    </row>
    <row r="154" spans="1:30" x14ac:dyDescent="0.2">
      <c r="A154" s="88"/>
      <c r="B154" s="87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2"/>
      <c r="AA154" s="70"/>
      <c r="AB154" s="82"/>
      <c r="AC154" s="82"/>
      <c r="AD154" s="68"/>
    </row>
    <row r="155" spans="1:30" x14ac:dyDescent="0.2">
      <c r="A155" s="95"/>
      <c r="B155" s="94" t="s">
        <v>62</v>
      </c>
      <c r="C155" s="92">
        <f>SUM(C132:C153)</f>
        <v>53495.97</v>
      </c>
      <c r="D155" s="92">
        <f>SUM(D132:D153)</f>
        <v>63846.92</v>
      </c>
      <c r="E155" s="76"/>
      <c r="F155" s="92">
        <f>SUM(F132:F153)</f>
        <v>88967.109999999986</v>
      </c>
      <c r="G155" s="92">
        <f>SUM(G132:G153)</f>
        <v>63235.360000000001</v>
      </c>
      <c r="H155" s="76"/>
      <c r="I155" s="92">
        <f>SUM(I132:I153)</f>
        <v>92612.33</v>
      </c>
      <c r="J155" s="92">
        <f>SUM(J132:J153)</f>
        <v>64702.47</v>
      </c>
      <c r="K155" s="76"/>
      <c r="L155" s="92">
        <f>SUM(L132:L153)</f>
        <v>95298.790000000008</v>
      </c>
      <c r="M155" s="92">
        <f>SUM(M132:M153)</f>
        <v>64446.47</v>
      </c>
      <c r="N155" s="76"/>
      <c r="O155" s="92">
        <f>SUM(O132:O153)</f>
        <v>95831.360000000001</v>
      </c>
      <c r="P155" s="92">
        <f>SUM(P132:P153)</f>
        <v>81064.399999999994</v>
      </c>
      <c r="Q155" s="76"/>
      <c r="R155" s="92">
        <f>SUM(R132:R153)</f>
        <v>71256.820000000007</v>
      </c>
      <c r="S155" s="92">
        <f>SUM(S132:S153)</f>
        <v>63851.9</v>
      </c>
      <c r="T155" s="76"/>
      <c r="U155" s="92">
        <f>SUM(U132:U153)</f>
        <v>63745.740000000005</v>
      </c>
      <c r="V155" s="92">
        <f>SUM(V132:V153)</f>
        <v>63242.35</v>
      </c>
      <c r="W155" s="92">
        <f>SUM(W132:W153)</f>
        <v>561208.12</v>
      </c>
      <c r="X155" s="92">
        <f>SUM(X132:X153)</f>
        <v>464389.87</v>
      </c>
      <c r="Y155" s="76"/>
      <c r="Z155" s="92">
        <f>SUM(Z132:Z153)</f>
        <v>796901</v>
      </c>
      <c r="AA155" s="93"/>
      <c r="AB155" s="92">
        <f>SUM(AB132:AB153)</f>
        <v>721901</v>
      </c>
      <c r="AC155" s="92">
        <f>SUM(AC132:AC153)</f>
        <v>75000</v>
      </c>
      <c r="AD155" s="68"/>
    </row>
    <row r="156" spans="1:30" x14ac:dyDescent="0.2">
      <c r="A156" s="95"/>
      <c r="B156" s="94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96"/>
      <c r="AA156" s="97"/>
      <c r="AB156" s="96"/>
      <c r="AC156" s="96"/>
      <c r="AD156" s="68"/>
    </row>
    <row r="157" spans="1:30" x14ac:dyDescent="0.2">
      <c r="A157" s="88" t="s">
        <v>287</v>
      </c>
      <c r="B157" s="87" t="s">
        <v>147</v>
      </c>
      <c r="C157" s="85">
        <v>5972.88</v>
      </c>
      <c r="D157" s="85">
        <v>5685.96</v>
      </c>
      <c r="E157" s="85"/>
      <c r="F157" s="85">
        <v>6459.46</v>
      </c>
      <c r="G157" s="85">
        <v>5685.92</v>
      </c>
      <c r="H157" s="85"/>
      <c r="I157" s="85">
        <v>5716.59</v>
      </c>
      <c r="J157" s="85">
        <v>5685.92</v>
      </c>
      <c r="K157" s="85"/>
      <c r="L157" s="85">
        <v>6419.16</v>
      </c>
      <c r="M157" s="85">
        <v>5685.92</v>
      </c>
      <c r="N157" s="85"/>
      <c r="O157" s="85">
        <v>9773.69</v>
      </c>
      <c r="P157" s="85">
        <v>8528.8799999999992</v>
      </c>
      <c r="Q157" s="85"/>
      <c r="R157" s="85">
        <v>7291.99</v>
      </c>
      <c r="S157" s="85">
        <v>5685.92</v>
      </c>
      <c r="T157" s="85"/>
      <c r="U157" s="85">
        <v>6042.44</v>
      </c>
      <c r="V157" s="85">
        <v>5685.92</v>
      </c>
      <c r="W157" s="86">
        <f>+C157+F157+I157+L157+O157+R157+U157</f>
        <v>47676.21</v>
      </c>
      <c r="X157" s="86">
        <f>+D157+G157+J157+M157+P157+S157+V157</f>
        <v>42644.439999999995</v>
      </c>
      <c r="Y157" s="85"/>
      <c r="Z157" s="82">
        <v>73917</v>
      </c>
      <c r="AA157" s="70"/>
      <c r="AB157" s="82">
        <f>+Z157</f>
        <v>73917</v>
      </c>
      <c r="AC157" s="82"/>
      <c r="AD157" s="68"/>
    </row>
    <row r="158" spans="1:30" x14ac:dyDescent="0.2">
      <c r="A158" s="88" t="s">
        <v>286</v>
      </c>
      <c r="B158" s="87" t="s">
        <v>145</v>
      </c>
      <c r="C158" s="85">
        <v>449.05</v>
      </c>
      <c r="D158" s="85">
        <v>454.85</v>
      </c>
      <c r="E158" s="85"/>
      <c r="F158" s="85">
        <v>520.12</v>
      </c>
      <c r="G158" s="85">
        <v>454.85</v>
      </c>
      <c r="H158" s="85"/>
      <c r="I158" s="85">
        <v>488.13</v>
      </c>
      <c r="J158" s="85">
        <v>454.85</v>
      </c>
      <c r="K158" s="85"/>
      <c r="L158" s="85">
        <v>470.42</v>
      </c>
      <c r="M158" s="85">
        <v>454.85</v>
      </c>
      <c r="N158" s="85"/>
      <c r="O158" s="85">
        <v>740.65</v>
      </c>
      <c r="P158" s="85">
        <v>682.25</v>
      </c>
      <c r="Q158" s="85"/>
      <c r="R158" s="85">
        <v>526.9</v>
      </c>
      <c r="S158" s="85">
        <v>454.85</v>
      </c>
      <c r="T158" s="85"/>
      <c r="U158" s="85">
        <v>458.81</v>
      </c>
      <c r="V158" s="85">
        <v>454.85</v>
      </c>
      <c r="W158" s="86">
        <f>+C158+F158+I158+L158+O158+R158+U158</f>
        <v>3654.0800000000004</v>
      </c>
      <c r="X158" s="86">
        <f>+D158+G158+J158+M158+P158+S158+V158</f>
        <v>3411.35</v>
      </c>
      <c r="Y158" s="85"/>
      <c r="Z158" s="82">
        <f>539+5374</f>
        <v>5913</v>
      </c>
      <c r="AA158" s="70"/>
      <c r="AB158" s="82">
        <f>+Z158</f>
        <v>5913</v>
      </c>
      <c r="AC158" s="82"/>
      <c r="AD158" s="68"/>
    </row>
    <row r="159" spans="1:30" x14ac:dyDescent="0.2">
      <c r="A159" s="88" t="s">
        <v>285</v>
      </c>
      <c r="B159" s="87" t="s">
        <v>143</v>
      </c>
      <c r="C159" s="85">
        <v>2735.58</v>
      </c>
      <c r="D159" s="85">
        <v>3063.1</v>
      </c>
      <c r="E159" s="85"/>
      <c r="F159" s="85">
        <v>2769.52</v>
      </c>
      <c r="G159" s="85">
        <v>3063.1</v>
      </c>
      <c r="H159" s="85"/>
      <c r="I159" s="85">
        <v>2806.7</v>
      </c>
      <c r="J159" s="85">
        <v>3063.08</v>
      </c>
      <c r="K159" s="85"/>
      <c r="L159" s="85">
        <v>3462.66</v>
      </c>
      <c r="M159" s="85">
        <v>3063.08</v>
      </c>
      <c r="N159" s="85"/>
      <c r="O159" s="85">
        <v>3462.62</v>
      </c>
      <c r="P159" s="85">
        <v>3063.08</v>
      </c>
      <c r="Q159" s="85"/>
      <c r="R159" s="85">
        <v>3462.64</v>
      </c>
      <c r="S159" s="85">
        <v>3063.08</v>
      </c>
      <c r="T159" s="85"/>
      <c r="U159" s="85">
        <v>3462.64</v>
      </c>
      <c r="V159" s="85">
        <v>3063.08</v>
      </c>
      <c r="W159" s="86">
        <f>+C159+F159+I159+L159+O159+R159+U159</f>
        <v>22162.359999999997</v>
      </c>
      <c r="X159" s="86">
        <f>+D159+G159+J159+M159+P159+S159+V159</f>
        <v>21441.599999999999</v>
      </c>
      <c r="Y159" s="85"/>
      <c r="Z159" s="82">
        <f>34404+1502+407+443</f>
        <v>36756</v>
      </c>
      <c r="AA159" s="70"/>
      <c r="AB159" s="82">
        <f>+Z159</f>
        <v>36756</v>
      </c>
      <c r="AC159" s="82"/>
      <c r="AD159" s="68"/>
    </row>
    <row r="160" spans="1:30" x14ac:dyDescent="0.2">
      <c r="A160" s="88" t="s">
        <v>284</v>
      </c>
      <c r="B160" s="87" t="s">
        <v>165</v>
      </c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>
        <v>0</v>
      </c>
      <c r="S160" s="85">
        <v>0</v>
      </c>
      <c r="T160" s="85"/>
      <c r="U160" s="85">
        <v>0</v>
      </c>
      <c r="V160" s="85">
        <v>0</v>
      </c>
      <c r="W160" s="86">
        <f>+C160+F160+I160+L160+O160+R160+U160</f>
        <v>0</v>
      </c>
      <c r="X160" s="86">
        <f>+D160+G160+J160+M160+P160+S160+V160</f>
        <v>0</v>
      </c>
      <c r="Y160" s="85"/>
      <c r="Z160" s="82"/>
      <c r="AA160" s="70"/>
      <c r="AB160" s="82">
        <f>+Z160</f>
        <v>0</v>
      </c>
      <c r="AC160" s="82"/>
      <c r="AD160" s="68"/>
    </row>
    <row r="161" spans="1:31" x14ac:dyDescent="0.2">
      <c r="A161" s="88" t="s">
        <v>283</v>
      </c>
      <c r="B161" s="87" t="s">
        <v>163</v>
      </c>
      <c r="C161" s="85">
        <v>284.5</v>
      </c>
      <c r="D161" s="85"/>
      <c r="E161" s="85"/>
      <c r="F161" s="85"/>
      <c r="G161" s="85">
        <v>500</v>
      </c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>
        <v>0</v>
      </c>
      <c r="V161" s="85">
        <v>0</v>
      </c>
      <c r="W161" s="86">
        <f>+C161+F161+I161+L161+O161+R161+U161</f>
        <v>284.5</v>
      </c>
      <c r="X161" s="86">
        <f>+D161+G161+J161+M161+P161+S161+V161</f>
        <v>500</v>
      </c>
      <c r="Y161" s="85"/>
      <c r="Z161" s="82">
        <v>500</v>
      </c>
      <c r="AA161" s="70"/>
      <c r="AB161" s="82">
        <f>+Z161</f>
        <v>500</v>
      </c>
      <c r="AC161" s="82"/>
      <c r="AD161" s="68"/>
    </row>
    <row r="162" spans="1:31" x14ac:dyDescent="0.2">
      <c r="A162" s="88" t="s">
        <v>282</v>
      </c>
      <c r="B162" s="87" t="s">
        <v>141</v>
      </c>
      <c r="C162" s="85">
        <v>162.01</v>
      </c>
      <c r="D162" s="85">
        <v>27.09</v>
      </c>
      <c r="E162" s="85"/>
      <c r="F162" s="85">
        <v>162.01</v>
      </c>
      <c r="G162" s="85">
        <v>27.09</v>
      </c>
      <c r="H162" s="85"/>
      <c r="I162" s="85">
        <v>162.01</v>
      </c>
      <c r="J162" s="85">
        <v>27.09</v>
      </c>
      <c r="K162" s="85"/>
      <c r="L162" s="85">
        <v>162.01</v>
      </c>
      <c r="M162" s="85">
        <v>27.09</v>
      </c>
      <c r="N162" s="85"/>
      <c r="O162" s="85">
        <v>162.01</v>
      </c>
      <c r="P162" s="85">
        <v>27.08</v>
      </c>
      <c r="Q162" s="85"/>
      <c r="R162" s="85">
        <v>26.49</v>
      </c>
      <c r="S162" s="85">
        <v>27.08</v>
      </c>
      <c r="T162" s="85"/>
      <c r="U162" s="85">
        <v>66.25</v>
      </c>
      <c r="V162" s="85">
        <v>27.08</v>
      </c>
      <c r="W162" s="86">
        <f>+C162+F162+I162+L162+O162+R162+U162</f>
        <v>902.79</v>
      </c>
      <c r="X162" s="86">
        <f>+D162+G162+J162+M162+P162+S162+V162</f>
        <v>189.59999999999997</v>
      </c>
      <c r="Y162" s="85"/>
      <c r="Z162" s="82">
        <f>296+30</f>
        <v>326</v>
      </c>
      <c r="AA162" s="70"/>
      <c r="AB162" s="82">
        <f>+Z162</f>
        <v>326</v>
      </c>
      <c r="AC162" s="82"/>
      <c r="AD162" s="68"/>
      <c r="AE162" s="68"/>
    </row>
    <row r="163" spans="1:31" x14ac:dyDescent="0.2">
      <c r="A163" s="88" t="s">
        <v>281</v>
      </c>
      <c r="B163" s="87" t="s">
        <v>140</v>
      </c>
      <c r="C163" s="85"/>
      <c r="D163" s="85"/>
      <c r="E163" s="85"/>
      <c r="F163" s="85">
        <v>3683.21</v>
      </c>
      <c r="G163" s="85">
        <v>8325</v>
      </c>
      <c r="H163" s="85"/>
      <c r="I163" s="85">
        <v>19675.48</v>
      </c>
      <c r="J163" s="85">
        <v>16650</v>
      </c>
      <c r="K163" s="85"/>
      <c r="L163" s="85">
        <v>21149.07</v>
      </c>
      <c r="M163" s="85">
        <v>16650</v>
      </c>
      <c r="N163" s="85"/>
      <c r="O163" s="85">
        <v>33084.36</v>
      </c>
      <c r="P163" s="85">
        <v>24975</v>
      </c>
      <c r="Q163" s="85"/>
      <c r="R163" s="85">
        <v>13386.21</v>
      </c>
      <c r="S163" s="85">
        <v>16650</v>
      </c>
      <c r="T163" s="85"/>
      <c r="U163" s="85">
        <v>75.08</v>
      </c>
      <c r="V163" s="85">
        <v>0</v>
      </c>
      <c r="W163" s="86">
        <f>+C163+F163+I163+L163+O163+R163+U163</f>
        <v>91053.409999999989</v>
      </c>
      <c r="X163" s="86">
        <f>+D163+G163+J163+M163+P163+S163+V163</f>
        <v>83250</v>
      </c>
      <c r="Y163" s="85"/>
      <c r="Z163" s="82">
        <v>83250</v>
      </c>
      <c r="AA163" s="70"/>
      <c r="AB163" s="82">
        <f>+Z163</f>
        <v>83250</v>
      </c>
      <c r="AC163" s="82"/>
      <c r="AD163" s="68"/>
    </row>
    <row r="164" spans="1:31" x14ac:dyDescent="0.2">
      <c r="A164" s="88" t="s">
        <v>280</v>
      </c>
      <c r="B164" s="87" t="s">
        <v>139</v>
      </c>
      <c r="C164" s="85"/>
      <c r="D164" s="85"/>
      <c r="E164" s="85"/>
      <c r="F164" s="85">
        <v>338.24</v>
      </c>
      <c r="G164" s="85">
        <v>832.5</v>
      </c>
      <c r="H164" s="85"/>
      <c r="I164" s="85">
        <v>1748.93</v>
      </c>
      <c r="J164" s="85">
        <v>1665</v>
      </c>
      <c r="K164" s="85"/>
      <c r="L164" s="85">
        <v>1635.22</v>
      </c>
      <c r="M164" s="85">
        <v>1665</v>
      </c>
      <c r="N164" s="85"/>
      <c r="O164" s="85">
        <v>2495.7399999999998</v>
      </c>
      <c r="P164" s="85">
        <v>2497.5</v>
      </c>
      <c r="Q164" s="85"/>
      <c r="R164" s="85">
        <v>585.66</v>
      </c>
      <c r="S164" s="85">
        <v>1665</v>
      </c>
      <c r="T164" s="85"/>
      <c r="U164" s="85">
        <v>5.75</v>
      </c>
      <c r="V164" s="85">
        <v>0</v>
      </c>
      <c r="W164" s="86">
        <f>+C164+F164+I164+L164+O164+R164+U164</f>
        <v>6809.54</v>
      </c>
      <c r="X164" s="86">
        <f>+D164+G164+J164+M164+P164+S164+V164</f>
        <v>8325</v>
      </c>
      <c r="Y164" s="85"/>
      <c r="Z164" s="82">
        <v>8325</v>
      </c>
      <c r="AA164" s="70"/>
      <c r="AB164" s="82">
        <f>+Z164</f>
        <v>8325</v>
      </c>
      <c r="AC164" s="82"/>
      <c r="AD164" s="68"/>
    </row>
    <row r="165" spans="1:31" x14ac:dyDescent="0.2">
      <c r="A165" s="88" t="s">
        <v>279</v>
      </c>
      <c r="B165" s="87" t="s">
        <v>137</v>
      </c>
      <c r="C165" s="85">
        <v>2874.49</v>
      </c>
      <c r="D165" s="85">
        <v>3000</v>
      </c>
      <c r="E165" s="85"/>
      <c r="F165" s="85">
        <v>84</v>
      </c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>
        <v>0</v>
      </c>
      <c r="S165" s="85">
        <v>0</v>
      </c>
      <c r="T165" s="85"/>
      <c r="U165" s="85">
        <v>0</v>
      </c>
      <c r="V165" s="85">
        <v>0</v>
      </c>
      <c r="W165" s="86">
        <f>+C165+F165+I165+L165+O165+R165+U165</f>
        <v>2958.49</v>
      </c>
      <c r="X165" s="86">
        <f>+D165+G165+J165+M165+P165+S165+V165</f>
        <v>3000</v>
      </c>
      <c r="Y165" s="85"/>
      <c r="Z165" s="82">
        <v>3000</v>
      </c>
      <c r="AA165" s="70"/>
      <c r="AB165" s="82">
        <f>+Z165</f>
        <v>3000</v>
      </c>
      <c r="AC165" s="82"/>
      <c r="AD165" s="68"/>
    </row>
    <row r="166" spans="1:31" x14ac:dyDescent="0.2">
      <c r="A166" s="88" t="s">
        <v>278</v>
      </c>
      <c r="B166" s="87" t="s">
        <v>136</v>
      </c>
      <c r="C166" s="85">
        <v>-492.7</v>
      </c>
      <c r="D166" s="85">
        <v>30.5</v>
      </c>
      <c r="E166" s="85"/>
      <c r="F166" s="85">
        <v>-492.7</v>
      </c>
      <c r="G166" s="85">
        <v>30.5</v>
      </c>
      <c r="H166" s="85"/>
      <c r="I166" s="85">
        <v>-492.7</v>
      </c>
      <c r="J166" s="85">
        <v>30.53</v>
      </c>
      <c r="K166" s="85"/>
      <c r="L166" s="85">
        <v>-492.7</v>
      </c>
      <c r="M166" s="85">
        <v>30.53</v>
      </c>
      <c r="N166" s="85"/>
      <c r="O166" s="85">
        <v>-492.7</v>
      </c>
      <c r="P166" s="85">
        <v>30.53</v>
      </c>
      <c r="Q166" s="85"/>
      <c r="R166" s="85">
        <v>29.86</v>
      </c>
      <c r="S166" s="85">
        <v>30.53</v>
      </c>
      <c r="T166" s="85"/>
      <c r="U166" s="85">
        <v>74.53</v>
      </c>
      <c r="V166" s="85">
        <v>30.53</v>
      </c>
      <c r="W166" s="86">
        <f>+C166+F166+I166+L166+O166+R166+U166</f>
        <v>-2359.1099999999997</v>
      </c>
      <c r="X166" s="86">
        <f>+D166+G166+J166+M166+P166+S166+V166</f>
        <v>213.65</v>
      </c>
      <c r="Y166" s="85"/>
      <c r="Z166" s="82">
        <v>366.3</v>
      </c>
      <c r="AA166" s="70"/>
      <c r="AB166" s="82">
        <f>+Z166</f>
        <v>366.3</v>
      </c>
      <c r="AC166" s="82"/>
      <c r="AD166" s="68"/>
      <c r="AE166" s="68"/>
    </row>
    <row r="167" spans="1:31" x14ac:dyDescent="0.2">
      <c r="A167" s="88" t="s">
        <v>277</v>
      </c>
      <c r="B167" s="87" t="s">
        <v>134</v>
      </c>
      <c r="C167" s="85">
        <v>810.93</v>
      </c>
      <c r="D167" s="85">
        <v>927.5</v>
      </c>
      <c r="E167" s="85"/>
      <c r="F167" s="85">
        <v>1067.77</v>
      </c>
      <c r="G167" s="85">
        <v>927.5</v>
      </c>
      <c r="H167" s="85"/>
      <c r="I167" s="85">
        <v>447.54</v>
      </c>
      <c r="J167" s="85">
        <v>927.5</v>
      </c>
      <c r="K167" s="85"/>
      <c r="L167" s="85">
        <v>1055.21</v>
      </c>
      <c r="M167" s="85">
        <v>927.5</v>
      </c>
      <c r="N167" s="85"/>
      <c r="O167" s="85">
        <v>767.89</v>
      </c>
      <c r="P167" s="85">
        <v>927.5</v>
      </c>
      <c r="Q167" s="85"/>
      <c r="R167" s="85">
        <v>1091.73</v>
      </c>
      <c r="S167" s="85">
        <v>927.5</v>
      </c>
      <c r="T167" s="85"/>
      <c r="U167" s="85">
        <v>429.55</v>
      </c>
      <c r="V167" s="85">
        <v>927.5</v>
      </c>
      <c r="W167" s="86">
        <f>+C167+F167+I167+L167+O167+R167+U167</f>
        <v>5670.62</v>
      </c>
      <c r="X167" s="86">
        <f>+D167+G167+J167+M167+P167+S167+V167</f>
        <v>6492.5</v>
      </c>
      <c r="Y167" s="85"/>
      <c r="Z167" s="82">
        <v>11130</v>
      </c>
      <c r="AA167" s="70"/>
      <c r="AB167" s="82">
        <f>+Z167</f>
        <v>11130</v>
      </c>
      <c r="AC167" s="82"/>
      <c r="AD167" s="68"/>
    </row>
    <row r="168" spans="1:31" x14ac:dyDescent="0.2">
      <c r="A168" s="88" t="s">
        <v>276</v>
      </c>
      <c r="B168" s="87" t="s">
        <v>132</v>
      </c>
      <c r="C168" s="85">
        <v>300</v>
      </c>
      <c r="D168" s="85">
        <v>240</v>
      </c>
      <c r="E168" s="85"/>
      <c r="F168" s="85"/>
      <c r="G168" s="85">
        <v>240</v>
      </c>
      <c r="H168" s="85"/>
      <c r="I168" s="85">
        <v>415</v>
      </c>
      <c r="J168" s="85">
        <v>240</v>
      </c>
      <c r="K168" s="85"/>
      <c r="L168" s="85">
        <v>300</v>
      </c>
      <c r="M168" s="85">
        <v>240</v>
      </c>
      <c r="N168" s="85"/>
      <c r="O168" s="85"/>
      <c r="P168" s="85">
        <v>240</v>
      </c>
      <c r="Q168" s="85"/>
      <c r="R168" s="85">
        <v>513</v>
      </c>
      <c r="S168" s="85">
        <v>240</v>
      </c>
      <c r="T168" s="85"/>
      <c r="U168" s="85">
        <v>0</v>
      </c>
      <c r="V168" s="85">
        <v>240</v>
      </c>
      <c r="W168" s="86">
        <f>+C168+F168+I168+L168+O168+R168+U168</f>
        <v>1528</v>
      </c>
      <c r="X168" s="86">
        <f>+D168+G168+J168+M168+P168+S168+V168</f>
        <v>1680</v>
      </c>
      <c r="Y168" s="85"/>
      <c r="Z168" s="82">
        <v>2880</v>
      </c>
      <c r="AA168" s="70"/>
      <c r="AB168" s="82">
        <f>+Z168</f>
        <v>2880</v>
      </c>
      <c r="AC168" s="82"/>
      <c r="AD168" s="68"/>
    </row>
    <row r="169" spans="1:31" x14ac:dyDescent="0.2">
      <c r="A169" s="88" t="s">
        <v>275</v>
      </c>
      <c r="B169" s="87" t="s">
        <v>209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>
        <v>0</v>
      </c>
      <c r="S169" s="85">
        <v>0</v>
      </c>
      <c r="T169" s="85"/>
      <c r="U169" s="85">
        <v>0</v>
      </c>
      <c r="V169" s="85">
        <v>0</v>
      </c>
      <c r="W169" s="86">
        <f>+C169+F169+I169+L169+O169+R169+U169</f>
        <v>0</v>
      </c>
      <c r="X169" s="86">
        <f>+D169+G169+J169+M169+P169+S169+V169</f>
        <v>0</v>
      </c>
      <c r="Y169" s="85"/>
      <c r="Z169" s="82"/>
      <c r="AA169" s="70"/>
      <c r="AB169" s="82">
        <f>+Z169</f>
        <v>0</v>
      </c>
      <c r="AC169" s="82"/>
      <c r="AD169" s="68"/>
    </row>
    <row r="170" spans="1:31" x14ac:dyDescent="0.2">
      <c r="A170" s="88" t="s">
        <v>274</v>
      </c>
      <c r="B170" s="87" t="s">
        <v>130</v>
      </c>
      <c r="C170" s="85"/>
      <c r="D170" s="85"/>
      <c r="E170" s="85"/>
      <c r="F170" s="85">
        <v>1658</v>
      </c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>
        <v>0</v>
      </c>
      <c r="S170" s="85">
        <v>0</v>
      </c>
      <c r="T170" s="85"/>
      <c r="U170" s="85">
        <v>6</v>
      </c>
      <c r="V170" s="85">
        <v>0</v>
      </c>
      <c r="W170" s="86">
        <f>+C170+F170+I170+L170+O170+R170+U170</f>
        <v>1664</v>
      </c>
      <c r="X170" s="86">
        <f>+D170+G170+J170+M170+P170+S170+V170</f>
        <v>0</v>
      </c>
      <c r="Y170" s="85"/>
      <c r="Z170" s="82"/>
      <c r="AA170" s="70"/>
      <c r="AB170" s="82">
        <f>+Z170</f>
        <v>0</v>
      </c>
      <c r="AC170" s="82"/>
      <c r="AD170" s="68"/>
    </row>
    <row r="171" spans="1:31" x14ac:dyDescent="0.2">
      <c r="A171" s="88" t="s">
        <v>273</v>
      </c>
      <c r="B171" s="87" t="s">
        <v>126</v>
      </c>
      <c r="C171" s="85"/>
      <c r="D171" s="85">
        <v>16.66</v>
      </c>
      <c r="E171" s="85"/>
      <c r="F171" s="85"/>
      <c r="G171" s="85">
        <v>16.66</v>
      </c>
      <c r="H171" s="85"/>
      <c r="I171" s="85"/>
      <c r="J171" s="85">
        <v>16.66</v>
      </c>
      <c r="K171" s="85"/>
      <c r="L171" s="85"/>
      <c r="M171" s="85">
        <v>16.66</v>
      </c>
      <c r="N171" s="85"/>
      <c r="O171" s="85">
        <v>26.53</v>
      </c>
      <c r="P171" s="85">
        <v>16.670000000000002</v>
      </c>
      <c r="Q171" s="85"/>
      <c r="R171" s="85">
        <v>19.59</v>
      </c>
      <c r="S171" s="85">
        <v>16.670000000000002</v>
      </c>
      <c r="T171" s="85"/>
      <c r="U171" s="85">
        <v>0</v>
      </c>
      <c r="V171" s="85">
        <v>16.670000000000002</v>
      </c>
      <c r="W171" s="86">
        <f>+C171+F171+I171+L171+O171+R171+U171</f>
        <v>46.120000000000005</v>
      </c>
      <c r="X171" s="86">
        <f>+D171+G171+J171+M171+P171+S171+V171</f>
        <v>116.65</v>
      </c>
      <c r="Y171" s="85"/>
      <c r="Z171" s="82">
        <v>200</v>
      </c>
      <c r="AA171" s="70"/>
      <c r="AB171" s="82">
        <f>+Z171</f>
        <v>200</v>
      </c>
      <c r="AC171" s="82"/>
      <c r="AD171" s="68"/>
    </row>
    <row r="172" spans="1:31" x14ac:dyDescent="0.2">
      <c r="A172" s="88" t="s">
        <v>272</v>
      </c>
      <c r="B172" s="87" t="s">
        <v>124</v>
      </c>
      <c r="C172" s="85"/>
      <c r="D172" s="85">
        <v>208.34</v>
      </c>
      <c r="E172" s="85"/>
      <c r="F172" s="85"/>
      <c r="G172" s="85">
        <v>208.34</v>
      </c>
      <c r="H172" s="85"/>
      <c r="I172" s="85"/>
      <c r="J172" s="85">
        <v>208.34</v>
      </c>
      <c r="K172" s="85"/>
      <c r="L172" s="85">
        <v>167.95</v>
      </c>
      <c r="M172" s="85">
        <v>208.34</v>
      </c>
      <c r="N172" s="85"/>
      <c r="O172" s="85">
        <v>216.35</v>
      </c>
      <c r="P172" s="85">
        <v>208.34</v>
      </c>
      <c r="Q172" s="85"/>
      <c r="R172" s="85">
        <v>0</v>
      </c>
      <c r="S172" s="85">
        <v>208.34</v>
      </c>
      <c r="T172" s="85"/>
      <c r="U172" s="85">
        <v>0</v>
      </c>
      <c r="V172" s="85">
        <v>208.34</v>
      </c>
      <c r="W172" s="86">
        <f>+C172+F172+I172+L172+O172+R172+U172</f>
        <v>384.29999999999995</v>
      </c>
      <c r="X172" s="86">
        <f>+D172+G172+J172+M172+P172+S172+V172</f>
        <v>1458.3799999999999</v>
      </c>
      <c r="Y172" s="85"/>
      <c r="Z172" s="82">
        <v>2500</v>
      </c>
      <c r="AA172" s="70"/>
      <c r="AB172" s="82">
        <f>+Z172</f>
        <v>2500</v>
      </c>
      <c r="AC172" s="82"/>
      <c r="AD172" s="68"/>
    </row>
    <row r="173" spans="1:31" x14ac:dyDescent="0.2">
      <c r="A173" s="88" t="s">
        <v>271</v>
      </c>
      <c r="B173" s="87" t="s">
        <v>203</v>
      </c>
      <c r="C173" s="85">
        <v>53.78</v>
      </c>
      <c r="D173" s="85">
        <v>41.66</v>
      </c>
      <c r="E173" s="85"/>
      <c r="F173" s="85">
        <v>26.89</v>
      </c>
      <c r="G173" s="85">
        <v>41.66</v>
      </c>
      <c r="H173" s="85"/>
      <c r="I173" s="85"/>
      <c r="J173" s="85">
        <v>41.66</v>
      </c>
      <c r="K173" s="85"/>
      <c r="L173" s="85"/>
      <c r="M173" s="85">
        <v>41.66</v>
      </c>
      <c r="N173" s="85"/>
      <c r="O173" s="85">
        <v>53.78</v>
      </c>
      <c r="P173" s="85">
        <v>41.67</v>
      </c>
      <c r="Q173" s="85"/>
      <c r="R173" s="85">
        <v>101.89</v>
      </c>
      <c r="S173" s="85">
        <v>41.67</v>
      </c>
      <c r="T173" s="85"/>
      <c r="U173" s="85">
        <v>0</v>
      </c>
      <c r="V173" s="85">
        <v>41.67</v>
      </c>
      <c r="W173" s="86">
        <f>+C173+F173+I173+L173+O173+R173+U173</f>
        <v>236.33999999999997</v>
      </c>
      <c r="X173" s="86">
        <f>+D173+G173+J173+M173+P173+S173+V173</f>
        <v>291.65000000000003</v>
      </c>
      <c r="Y173" s="85"/>
      <c r="Z173" s="82">
        <v>500</v>
      </c>
      <c r="AA173" s="70"/>
      <c r="AB173" s="82">
        <f>+Z173</f>
        <v>500</v>
      </c>
      <c r="AC173" s="82"/>
      <c r="AD173" s="68"/>
    </row>
    <row r="174" spans="1:31" x14ac:dyDescent="0.2">
      <c r="A174" s="88" t="s">
        <v>270</v>
      </c>
      <c r="B174" s="87" t="s">
        <v>120</v>
      </c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>
        <v>0</v>
      </c>
      <c r="S174" s="85">
        <v>0</v>
      </c>
      <c r="T174" s="85"/>
      <c r="U174" s="85">
        <v>0</v>
      </c>
      <c r="V174" s="85">
        <v>0</v>
      </c>
      <c r="W174" s="86">
        <f>+C174+F174+I174+L174+O174+R174+U174</f>
        <v>0</v>
      </c>
      <c r="X174" s="86">
        <f>+D174+G174+J174+M174+P174+S174+V174</f>
        <v>0</v>
      </c>
      <c r="Y174" s="85"/>
      <c r="Z174" s="82"/>
      <c r="AA174" s="70"/>
      <c r="AB174" s="82">
        <f>+Z174</f>
        <v>0</v>
      </c>
      <c r="AC174" s="82"/>
      <c r="AD174" s="68"/>
    </row>
    <row r="175" spans="1:31" x14ac:dyDescent="0.2">
      <c r="A175" s="88" t="s">
        <v>269</v>
      </c>
      <c r="B175" s="87" t="s">
        <v>118</v>
      </c>
      <c r="C175" s="85"/>
      <c r="D175" s="85">
        <v>83.34</v>
      </c>
      <c r="E175" s="85"/>
      <c r="F175" s="85"/>
      <c r="G175" s="85">
        <v>83.34</v>
      </c>
      <c r="H175" s="85"/>
      <c r="I175" s="85"/>
      <c r="J175" s="85">
        <v>83.34</v>
      </c>
      <c r="K175" s="85"/>
      <c r="L175" s="85"/>
      <c r="M175" s="85">
        <v>83.34</v>
      </c>
      <c r="N175" s="85"/>
      <c r="O175" s="85"/>
      <c r="P175" s="85">
        <v>83.33</v>
      </c>
      <c r="Q175" s="85"/>
      <c r="R175" s="85">
        <v>0</v>
      </c>
      <c r="S175" s="85">
        <v>83.33</v>
      </c>
      <c r="T175" s="85"/>
      <c r="U175" s="85">
        <v>0</v>
      </c>
      <c r="V175" s="85">
        <v>83.33</v>
      </c>
      <c r="W175" s="86">
        <f>+C175+F175+I175+L175+O175+R175+U175</f>
        <v>0</v>
      </c>
      <c r="X175" s="86">
        <f>+D175+G175+J175+M175+P175+S175+V175</f>
        <v>583.35</v>
      </c>
      <c r="Y175" s="85"/>
      <c r="Z175" s="82">
        <v>1000</v>
      </c>
      <c r="AA175" s="70"/>
      <c r="AB175" s="82">
        <f>+Z175</f>
        <v>1000</v>
      </c>
      <c r="AC175" s="82"/>
      <c r="AD175" s="68"/>
    </row>
    <row r="176" spans="1:31" x14ac:dyDescent="0.2">
      <c r="A176" s="88" t="s">
        <v>268</v>
      </c>
      <c r="B176" s="87" t="s">
        <v>116</v>
      </c>
      <c r="C176" s="85">
        <v>588.28</v>
      </c>
      <c r="D176" s="85">
        <v>583.34</v>
      </c>
      <c r="E176" s="85"/>
      <c r="F176" s="85">
        <v>320.19</v>
      </c>
      <c r="G176" s="85">
        <v>583.34</v>
      </c>
      <c r="H176" s="85"/>
      <c r="I176" s="85">
        <v>109.37</v>
      </c>
      <c r="J176" s="85">
        <v>583.34</v>
      </c>
      <c r="K176" s="85"/>
      <c r="L176" s="85">
        <v>24.9</v>
      </c>
      <c r="M176" s="85">
        <v>583.34</v>
      </c>
      <c r="N176" s="85"/>
      <c r="O176" s="85">
        <v>250.65</v>
      </c>
      <c r="P176" s="85">
        <v>583.33000000000004</v>
      </c>
      <c r="Q176" s="85"/>
      <c r="R176" s="85">
        <v>174.89</v>
      </c>
      <c r="S176" s="85">
        <v>583.33000000000004</v>
      </c>
      <c r="T176" s="85"/>
      <c r="U176" s="85">
        <v>2</v>
      </c>
      <c r="V176" s="85">
        <v>583.33000000000004</v>
      </c>
      <c r="W176" s="86">
        <f>+C176+F176+I176+L176+O176+R176+U176</f>
        <v>1470.2800000000002</v>
      </c>
      <c r="X176" s="86">
        <f>+D176+G176+J176+M176+P176+S176+V176</f>
        <v>4083.35</v>
      </c>
      <c r="Y176" s="85"/>
      <c r="Z176" s="82">
        <v>7000</v>
      </c>
      <c r="AA176" s="70"/>
      <c r="AB176" s="82">
        <f>+Z176</f>
        <v>7000</v>
      </c>
      <c r="AC176" s="82"/>
      <c r="AD176" s="68"/>
    </row>
    <row r="177" spans="1:31" x14ac:dyDescent="0.2">
      <c r="A177" s="88" t="s">
        <v>267</v>
      </c>
      <c r="B177" s="87" t="s">
        <v>112</v>
      </c>
      <c r="C177" s="85">
        <v>14.99</v>
      </c>
      <c r="D177" s="85">
        <v>125</v>
      </c>
      <c r="E177" s="85"/>
      <c r="F177" s="85"/>
      <c r="G177" s="85">
        <v>125</v>
      </c>
      <c r="H177" s="85"/>
      <c r="I177" s="85"/>
      <c r="J177" s="85">
        <v>125</v>
      </c>
      <c r="K177" s="85"/>
      <c r="L177" s="85">
        <v>29.95</v>
      </c>
      <c r="M177" s="85">
        <v>125</v>
      </c>
      <c r="N177" s="85"/>
      <c r="O177" s="85">
        <v>217.11</v>
      </c>
      <c r="P177" s="85">
        <v>125</v>
      </c>
      <c r="Q177" s="85"/>
      <c r="R177" s="85">
        <v>185.84</v>
      </c>
      <c r="S177" s="85">
        <v>125</v>
      </c>
      <c r="T177" s="85"/>
      <c r="U177" s="85">
        <v>0</v>
      </c>
      <c r="V177" s="85">
        <v>125</v>
      </c>
      <c r="W177" s="86">
        <f>+C177+F177+I177+L177+O177+R177+U177</f>
        <v>447.89</v>
      </c>
      <c r="X177" s="86">
        <f>+D177+G177+J177+M177+P177+S177+V177</f>
        <v>875</v>
      </c>
      <c r="Y177" s="85"/>
      <c r="Z177" s="82">
        <v>1500</v>
      </c>
      <c r="AA177" s="70"/>
      <c r="AB177" s="82">
        <f>+Z177</f>
        <v>1500</v>
      </c>
      <c r="AC177" s="82"/>
      <c r="AD177" s="68"/>
    </row>
    <row r="178" spans="1:31" x14ac:dyDescent="0.2">
      <c r="A178" s="88" t="s">
        <v>266</v>
      </c>
      <c r="B178" s="87" t="s">
        <v>108</v>
      </c>
      <c r="C178" s="85">
        <v>350</v>
      </c>
      <c r="D178" s="85">
        <v>125</v>
      </c>
      <c r="E178" s="85"/>
      <c r="F178" s="85">
        <v>60</v>
      </c>
      <c r="G178" s="85">
        <v>125</v>
      </c>
      <c r="H178" s="85"/>
      <c r="I178" s="85">
        <v>233</v>
      </c>
      <c r="J178" s="85">
        <v>125</v>
      </c>
      <c r="K178" s="85"/>
      <c r="L178" s="85">
        <v>40</v>
      </c>
      <c r="M178" s="85">
        <v>125</v>
      </c>
      <c r="N178" s="85"/>
      <c r="O178" s="85"/>
      <c r="P178" s="85">
        <v>125</v>
      </c>
      <c r="Q178" s="85"/>
      <c r="R178" s="85">
        <v>20</v>
      </c>
      <c r="S178" s="85">
        <v>125</v>
      </c>
      <c r="T178" s="85"/>
      <c r="U178" s="85">
        <v>0</v>
      </c>
      <c r="V178" s="85">
        <v>125</v>
      </c>
      <c r="W178" s="86">
        <f>+C178+F178+I178+L178+O178+R178+U178</f>
        <v>703</v>
      </c>
      <c r="X178" s="86">
        <f>+D178+G178+J178+M178+P178+S178+V178</f>
        <v>875</v>
      </c>
      <c r="Y178" s="85"/>
      <c r="Z178" s="82">
        <v>1500</v>
      </c>
      <c r="AA178" s="70"/>
      <c r="AB178" s="82">
        <f>+Z178</f>
        <v>1500</v>
      </c>
      <c r="AC178" s="82"/>
      <c r="AD178" s="68"/>
    </row>
    <row r="179" spans="1:31" x14ac:dyDescent="0.2">
      <c r="A179" s="88">
        <v>6052000</v>
      </c>
      <c r="B179" s="87" t="s">
        <v>107</v>
      </c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>
        <v>0</v>
      </c>
      <c r="S179" s="85">
        <v>0</v>
      </c>
      <c r="T179" s="85"/>
      <c r="U179" s="85"/>
      <c r="V179" s="85"/>
      <c r="W179" s="86">
        <f>+C179+F179+I179+L179+O179+R179+U179</f>
        <v>0</v>
      </c>
      <c r="X179" s="86">
        <f>+D179+G179+J179+M179+P179+S179+V179</f>
        <v>0</v>
      </c>
      <c r="Y179" s="85"/>
      <c r="Z179" s="82"/>
      <c r="AA179" s="70"/>
      <c r="AB179" s="82">
        <v>0</v>
      </c>
      <c r="AC179" s="82"/>
      <c r="AD179" s="68"/>
    </row>
    <row r="180" spans="1:31" x14ac:dyDescent="0.2">
      <c r="A180" s="88">
        <v>6052050</v>
      </c>
      <c r="B180" s="87" t="s">
        <v>106</v>
      </c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>
        <v>0</v>
      </c>
      <c r="S180" s="85">
        <v>0</v>
      </c>
      <c r="T180" s="85"/>
      <c r="U180" s="85"/>
      <c r="V180" s="85"/>
      <c r="W180" s="86">
        <f>+C180+F180+I180+L180+O180+R180+U180</f>
        <v>0</v>
      </c>
      <c r="X180" s="86">
        <f>+D180+G180+J180+M180+P180+S180+V180</f>
        <v>0</v>
      </c>
      <c r="Y180" s="85"/>
      <c r="Z180" s="82"/>
      <c r="AA180" s="70"/>
      <c r="AB180" s="82"/>
      <c r="AC180" s="82"/>
      <c r="AD180" s="68"/>
    </row>
    <row r="181" spans="1:31" x14ac:dyDescent="0.2">
      <c r="A181" s="88"/>
      <c r="B181" s="87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2"/>
      <c r="AA181" s="70"/>
      <c r="AB181" s="82"/>
      <c r="AC181" s="82"/>
      <c r="AD181" s="68"/>
    </row>
    <row r="182" spans="1:31" x14ac:dyDescent="0.2">
      <c r="A182" s="95"/>
      <c r="B182" s="94" t="s">
        <v>265</v>
      </c>
      <c r="C182" s="92">
        <f>SUM(C157:C179)</f>
        <v>14103.79</v>
      </c>
      <c r="D182" s="92">
        <f>SUM(D157:D179)</f>
        <v>14612.34</v>
      </c>
      <c r="E182" s="76"/>
      <c r="F182" s="92">
        <f>SUM(F157:F179)</f>
        <v>16656.71</v>
      </c>
      <c r="G182" s="92">
        <f>SUM(G157:G179)</f>
        <v>21269.8</v>
      </c>
      <c r="H182" s="76"/>
      <c r="I182" s="92">
        <f>SUM(I157:I179)</f>
        <v>31310.05</v>
      </c>
      <c r="J182" s="92">
        <f>SUM(J157:J179)</f>
        <v>29927.31</v>
      </c>
      <c r="K182" s="76"/>
      <c r="L182" s="92">
        <f>SUM(L157:L179)</f>
        <v>34423.85</v>
      </c>
      <c r="M182" s="92">
        <f>SUM(M157:M179)</f>
        <v>29927.31</v>
      </c>
      <c r="N182" s="76"/>
      <c r="O182" s="92">
        <f>SUM(O157:O179)</f>
        <v>50758.68</v>
      </c>
      <c r="P182" s="92">
        <f>SUM(P157:P179)</f>
        <v>42155.159999999996</v>
      </c>
      <c r="Q182" s="76"/>
      <c r="R182" s="92">
        <f>SUM(R157:R180)</f>
        <v>27416.689999999995</v>
      </c>
      <c r="S182" s="92">
        <f>SUM(S157:S180)</f>
        <v>29927.3</v>
      </c>
      <c r="T182" s="76"/>
      <c r="U182" s="92">
        <f>SUM(U157:U180)</f>
        <v>10623.05</v>
      </c>
      <c r="V182" s="92">
        <f>SUM(V157:V180)</f>
        <v>11612.300000000001</v>
      </c>
      <c r="W182" s="92">
        <f>SUM(W157:W180)</f>
        <v>185292.81999999998</v>
      </c>
      <c r="X182" s="92">
        <f>SUM(X157:X180)</f>
        <v>179431.52</v>
      </c>
      <c r="Y182" s="76"/>
      <c r="Z182" s="92">
        <f>SUM(Z157:Z179)</f>
        <v>240563.3</v>
      </c>
      <c r="AA182" s="93"/>
      <c r="AB182" s="92">
        <f>SUM(AB157:AB179)</f>
        <v>240563.3</v>
      </c>
      <c r="AC182" s="92">
        <f>SUM(AC157:AC179)</f>
        <v>0</v>
      </c>
      <c r="AD182" s="68"/>
    </row>
    <row r="183" spans="1:31" x14ac:dyDescent="0.2">
      <c r="A183" s="95"/>
      <c r="B183" s="94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96"/>
      <c r="AA183" s="97"/>
      <c r="AB183" s="96"/>
      <c r="AC183" s="96"/>
      <c r="AD183" s="68"/>
    </row>
    <row r="184" spans="1:31" x14ac:dyDescent="0.2">
      <c r="A184" s="88" t="s">
        <v>264</v>
      </c>
      <c r="B184" s="87" t="s">
        <v>147</v>
      </c>
      <c r="C184" s="85">
        <v>7813.28</v>
      </c>
      <c r="D184" s="85">
        <v>8506.85</v>
      </c>
      <c r="E184" s="85"/>
      <c r="F184" s="85">
        <v>7409.51</v>
      </c>
      <c r="G184" s="85">
        <v>8506.85</v>
      </c>
      <c r="H184" s="85"/>
      <c r="I184" s="85">
        <v>8547.4500000000007</v>
      </c>
      <c r="J184" s="85">
        <v>8506.85</v>
      </c>
      <c r="K184" s="85"/>
      <c r="L184" s="85">
        <v>8730.84</v>
      </c>
      <c r="M184" s="85">
        <v>8506.85</v>
      </c>
      <c r="N184" s="85"/>
      <c r="O184" s="85">
        <v>11737.85</v>
      </c>
      <c r="P184" s="85">
        <v>12760.25</v>
      </c>
      <c r="Q184" s="85"/>
      <c r="R184" s="85">
        <v>8892.14</v>
      </c>
      <c r="S184" s="85">
        <v>8506.85</v>
      </c>
      <c r="T184" s="85"/>
      <c r="U184" s="85">
        <v>6891.13</v>
      </c>
      <c r="V184" s="85">
        <v>8506.85</v>
      </c>
      <c r="W184" s="86">
        <f>+C184+F184+I184+L184+O184+R184+U184</f>
        <v>60022.2</v>
      </c>
      <c r="X184" s="86">
        <f>+D184+G184+J184+M184+P184+S184+V184</f>
        <v>63801.35</v>
      </c>
      <c r="Y184" s="85"/>
      <c r="Z184" s="82">
        <v>110589</v>
      </c>
      <c r="AA184" s="70"/>
      <c r="AB184" s="82">
        <f>+Z184</f>
        <v>110589</v>
      </c>
      <c r="AC184" s="82"/>
      <c r="AD184" s="68"/>
    </row>
    <row r="185" spans="1:31" x14ac:dyDescent="0.2">
      <c r="A185" s="88" t="s">
        <v>263</v>
      </c>
      <c r="B185" s="87" t="s">
        <v>145</v>
      </c>
      <c r="C185" s="85">
        <v>532.96</v>
      </c>
      <c r="D185" s="85">
        <v>680.54</v>
      </c>
      <c r="E185" s="85"/>
      <c r="F185" s="85">
        <v>545.96</v>
      </c>
      <c r="G185" s="85">
        <v>680.54</v>
      </c>
      <c r="H185" s="85"/>
      <c r="I185" s="85">
        <v>633.20000000000005</v>
      </c>
      <c r="J185" s="85">
        <v>680.54</v>
      </c>
      <c r="K185" s="85"/>
      <c r="L185" s="85">
        <v>641.09</v>
      </c>
      <c r="M185" s="85">
        <v>680.54</v>
      </c>
      <c r="N185" s="85"/>
      <c r="O185" s="85">
        <v>881.6</v>
      </c>
      <c r="P185" s="85">
        <v>1020.8</v>
      </c>
      <c r="Q185" s="85"/>
      <c r="R185" s="85">
        <v>646.69000000000005</v>
      </c>
      <c r="S185" s="85">
        <v>680.54</v>
      </c>
      <c r="T185" s="85"/>
      <c r="U185" s="85">
        <v>637.13</v>
      </c>
      <c r="V185" s="85">
        <v>680.55</v>
      </c>
      <c r="W185" s="86">
        <f>+C185+F185+I185+L185+O185+R185+U185</f>
        <v>4518.63</v>
      </c>
      <c r="X185" s="86">
        <f>+D185+G185+J185+M185+P185+S185+V185</f>
        <v>5104.05</v>
      </c>
      <c r="Y185" s="85"/>
      <c r="Z185" s="82">
        <v>8847</v>
      </c>
      <c r="AA185" s="70"/>
      <c r="AB185" s="82">
        <f>+Z185</f>
        <v>8847</v>
      </c>
      <c r="AC185" s="82"/>
      <c r="AD185" s="68"/>
    </row>
    <row r="186" spans="1:31" x14ac:dyDescent="0.2">
      <c r="A186" s="88" t="s">
        <v>262</v>
      </c>
      <c r="B186" s="87" t="s">
        <v>143</v>
      </c>
      <c r="C186" s="85">
        <v>1192.1300000000001</v>
      </c>
      <c r="D186" s="85">
        <v>1324.25</v>
      </c>
      <c r="E186" s="85"/>
      <c r="F186" s="85">
        <v>1212.77</v>
      </c>
      <c r="G186" s="85">
        <v>1324.25</v>
      </c>
      <c r="H186" s="85"/>
      <c r="I186" s="85">
        <v>1227.1300000000001</v>
      </c>
      <c r="J186" s="85">
        <v>1324.25</v>
      </c>
      <c r="K186" s="85"/>
      <c r="L186" s="85">
        <v>1479.95</v>
      </c>
      <c r="M186" s="85">
        <v>1324.25</v>
      </c>
      <c r="N186" s="85"/>
      <c r="O186" s="85">
        <v>1479.95</v>
      </c>
      <c r="P186" s="85">
        <v>1324.25</v>
      </c>
      <c r="Q186" s="85"/>
      <c r="R186" s="85">
        <v>1479.95</v>
      </c>
      <c r="S186" s="85">
        <v>1324.25</v>
      </c>
      <c r="T186" s="85"/>
      <c r="U186" s="85">
        <v>1479.95</v>
      </c>
      <c r="V186" s="85">
        <v>1324.25</v>
      </c>
      <c r="W186" s="86">
        <f>+C186+F186+I186+L186+O186+R186+U186</f>
        <v>9551.83</v>
      </c>
      <c r="X186" s="86">
        <f>+D186+G186+J186+M186+P186+S186+V186</f>
        <v>9269.75</v>
      </c>
      <c r="Y186" s="85"/>
      <c r="Z186" s="82">
        <v>15891</v>
      </c>
      <c r="AA186" s="70"/>
      <c r="AB186" s="82">
        <f>+Z186</f>
        <v>15891</v>
      </c>
      <c r="AC186" s="82"/>
      <c r="AD186" s="68"/>
    </row>
    <row r="187" spans="1:31" x14ac:dyDescent="0.2">
      <c r="A187" s="88" t="s">
        <v>261</v>
      </c>
      <c r="B187" s="87" t="s">
        <v>165</v>
      </c>
      <c r="C187" s="85">
        <v>147.36000000000001</v>
      </c>
      <c r="D187" s="85">
        <v>150</v>
      </c>
      <c r="E187" s="85"/>
      <c r="F187" s="85">
        <v>150</v>
      </c>
      <c r="G187" s="85">
        <v>150</v>
      </c>
      <c r="H187" s="85"/>
      <c r="I187" s="85">
        <v>150</v>
      </c>
      <c r="J187" s="85">
        <v>150</v>
      </c>
      <c r="K187" s="85"/>
      <c r="L187" s="85">
        <v>150</v>
      </c>
      <c r="M187" s="85">
        <v>150</v>
      </c>
      <c r="N187" s="85"/>
      <c r="O187" s="85">
        <v>225</v>
      </c>
      <c r="P187" s="85">
        <v>225</v>
      </c>
      <c r="Q187" s="85"/>
      <c r="R187" s="85">
        <v>150</v>
      </c>
      <c r="S187" s="85">
        <v>150</v>
      </c>
      <c r="T187" s="85"/>
      <c r="U187" s="85">
        <v>150</v>
      </c>
      <c r="V187" s="85">
        <v>150</v>
      </c>
      <c r="W187" s="86">
        <f>+C187+F187+I187+L187+O187+R187+U187</f>
        <v>1122.3600000000001</v>
      </c>
      <c r="X187" s="86">
        <f>+D187+G187+J187+M187+P187+S187+V187</f>
        <v>1125</v>
      </c>
      <c r="Y187" s="85"/>
      <c r="Z187" s="82">
        <v>1950</v>
      </c>
      <c r="AA187" s="70"/>
      <c r="AB187" s="82">
        <f>+Z187</f>
        <v>1950</v>
      </c>
      <c r="AC187" s="82"/>
      <c r="AD187" s="68"/>
    </row>
    <row r="188" spans="1:31" x14ac:dyDescent="0.2">
      <c r="A188" s="88" t="s">
        <v>260</v>
      </c>
      <c r="B188" s="87" t="s">
        <v>163</v>
      </c>
      <c r="C188" s="85">
        <v>134.38999999999999</v>
      </c>
      <c r="D188" s="85">
        <v>16.66</v>
      </c>
      <c r="E188" s="85"/>
      <c r="F188" s="85"/>
      <c r="G188" s="85">
        <v>16.66</v>
      </c>
      <c r="H188" s="85"/>
      <c r="I188" s="85"/>
      <c r="J188" s="85">
        <v>16.66</v>
      </c>
      <c r="K188" s="85"/>
      <c r="L188" s="85"/>
      <c r="M188" s="85">
        <v>16.66</v>
      </c>
      <c r="N188" s="85"/>
      <c r="O188" s="85"/>
      <c r="P188" s="85">
        <v>16.670000000000002</v>
      </c>
      <c r="Q188" s="85"/>
      <c r="R188" s="85">
        <v>0</v>
      </c>
      <c r="S188" s="85">
        <v>16.670000000000002</v>
      </c>
      <c r="T188" s="85"/>
      <c r="U188" s="85">
        <v>0</v>
      </c>
      <c r="V188" s="85">
        <v>16.670000000000002</v>
      </c>
      <c r="W188" s="86">
        <f>+C188+F188+I188+L188+O188+R188+U188</f>
        <v>134.38999999999999</v>
      </c>
      <c r="X188" s="86">
        <f>+D188+G188+J188+M188+P188+S188+V188</f>
        <v>116.65</v>
      </c>
      <c r="Y188" s="85"/>
      <c r="Z188" s="82">
        <v>200</v>
      </c>
      <c r="AA188" s="70"/>
      <c r="AB188" s="82">
        <f>+Z188</f>
        <v>200</v>
      </c>
      <c r="AC188" s="82"/>
      <c r="AD188" s="68"/>
    </row>
    <row r="189" spans="1:31" x14ac:dyDescent="0.2">
      <c r="A189" s="88" t="s">
        <v>259</v>
      </c>
      <c r="B189" s="87" t="s">
        <v>141</v>
      </c>
      <c r="C189" s="85">
        <v>311.11</v>
      </c>
      <c r="D189" s="85">
        <v>40.590000000000003</v>
      </c>
      <c r="E189" s="85"/>
      <c r="F189" s="85">
        <v>311.11</v>
      </c>
      <c r="G189" s="85">
        <v>40.590000000000003</v>
      </c>
      <c r="H189" s="85"/>
      <c r="I189" s="85">
        <v>311.11</v>
      </c>
      <c r="J189" s="85">
        <v>40.590000000000003</v>
      </c>
      <c r="K189" s="85"/>
      <c r="L189" s="85">
        <v>311.11</v>
      </c>
      <c r="M189" s="85">
        <v>40.590000000000003</v>
      </c>
      <c r="N189" s="85"/>
      <c r="O189" s="85">
        <v>311.11</v>
      </c>
      <c r="P189" s="85">
        <v>40.58</v>
      </c>
      <c r="Q189" s="85"/>
      <c r="R189" s="85">
        <v>39.700000000000003</v>
      </c>
      <c r="S189" s="85">
        <v>40.58</v>
      </c>
      <c r="T189" s="85"/>
      <c r="U189" s="85">
        <v>112.39</v>
      </c>
      <c r="V189" s="85">
        <v>40.58</v>
      </c>
      <c r="W189" s="86">
        <f>+C189+F189+I189+L189+O189+R189+U189</f>
        <v>1707.6400000000003</v>
      </c>
      <c r="X189" s="86">
        <f>+D189+G189+J189+M189+P189+S189+V189</f>
        <v>284.09999999999997</v>
      </c>
      <c r="Y189" s="85"/>
      <c r="Z189" s="82">
        <v>487</v>
      </c>
      <c r="AA189" s="70"/>
      <c r="AB189" s="82">
        <f>+Z189</f>
        <v>487</v>
      </c>
      <c r="AC189" s="82"/>
      <c r="AD189" s="68"/>
      <c r="AE189" s="68"/>
    </row>
    <row r="190" spans="1:31" x14ac:dyDescent="0.2">
      <c r="A190" s="88" t="s">
        <v>258</v>
      </c>
      <c r="B190" s="87" t="s">
        <v>257</v>
      </c>
      <c r="C190" s="85">
        <v>136.19999999999999</v>
      </c>
      <c r="D190" s="85">
        <v>83.34</v>
      </c>
      <c r="E190" s="85"/>
      <c r="F190" s="85">
        <v>136.19999999999999</v>
      </c>
      <c r="G190" s="85">
        <v>83.34</v>
      </c>
      <c r="H190" s="85"/>
      <c r="I190" s="85">
        <v>189.77</v>
      </c>
      <c r="J190" s="85">
        <v>83.34</v>
      </c>
      <c r="K190" s="85"/>
      <c r="L190" s="85">
        <v>176.68</v>
      </c>
      <c r="M190" s="85">
        <v>83.34</v>
      </c>
      <c r="N190" s="85"/>
      <c r="O190" s="85"/>
      <c r="P190" s="85">
        <v>83.33</v>
      </c>
      <c r="Q190" s="85"/>
      <c r="R190" s="85">
        <v>353.48</v>
      </c>
      <c r="S190" s="85">
        <v>83.33</v>
      </c>
      <c r="T190" s="85"/>
      <c r="U190" s="85">
        <v>176.84</v>
      </c>
      <c r="V190" s="85">
        <v>83.33</v>
      </c>
      <c r="W190" s="86">
        <f>+C190+F190+I190+L190+O190+R190+U190</f>
        <v>1169.1699999999998</v>
      </c>
      <c r="X190" s="86">
        <f>+D190+G190+J190+M190+P190+S190+V190</f>
        <v>583.35</v>
      </c>
      <c r="Y190" s="85"/>
      <c r="Z190" s="82">
        <v>1000</v>
      </c>
      <c r="AA190" s="70"/>
      <c r="AB190" s="82">
        <f>+Z190</f>
        <v>1000</v>
      </c>
      <c r="AC190" s="82"/>
      <c r="AD190" s="68"/>
    </row>
    <row r="191" spans="1:31" x14ac:dyDescent="0.2">
      <c r="A191" s="88" t="s">
        <v>256</v>
      </c>
      <c r="B191" s="87" t="s">
        <v>126</v>
      </c>
      <c r="C191" s="85">
        <v>325.82</v>
      </c>
      <c r="D191" s="85">
        <v>208.34</v>
      </c>
      <c r="E191" s="85"/>
      <c r="F191" s="85">
        <v>192.31</v>
      </c>
      <c r="G191" s="85">
        <v>208.34</v>
      </c>
      <c r="H191" s="85"/>
      <c r="I191" s="85">
        <v>223.95</v>
      </c>
      <c r="J191" s="85">
        <v>208.34</v>
      </c>
      <c r="K191" s="85"/>
      <c r="L191" s="85">
        <v>227.66</v>
      </c>
      <c r="M191" s="85">
        <v>208.34</v>
      </c>
      <c r="N191" s="85"/>
      <c r="O191" s="85">
        <v>255.71</v>
      </c>
      <c r="P191" s="85">
        <v>208.33</v>
      </c>
      <c r="Q191" s="85"/>
      <c r="R191" s="85">
        <v>194.33</v>
      </c>
      <c r="S191" s="85">
        <v>208.33</v>
      </c>
      <c r="T191" s="85"/>
      <c r="U191" s="85">
        <v>0</v>
      </c>
      <c r="V191" s="85">
        <v>208.33</v>
      </c>
      <c r="W191" s="86">
        <f>+C191+F191+I191+L191+O191+R191+U191</f>
        <v>1419.7799999999997</v>
      </c>
      <c r="X191" s="86">
        <f>+D191+G191+J191+M191+P191+S191+V191</f>
        <v>1458.35</v>
      </c>
      <c r="Y191" s="85"/>
      <c r="Z191" s="82">
        <v>2500</v>
      </c>
      <c r="AA191" s="70"/>
      <c r="AB191" s="82">
        <f>+Z191</f>
        <v>2500</v>
      </c>
      <c r="AC191" s="82"/>
      <c r="AD191" s="68"/>
    </row>
    <row r="192" spans="1:31" x14ac:dyDescent="0.2">
      <c r="A192" s="88">
        <v>6060610</v>
      </c>
      <c r="B192" s="87" t="s">
        <v>124</v>
      </c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>
        <v>0</v>
      </c>
      <c r="S192" s="85">
        <v>0</v>
      </c>
      <c r="T192" s="85"/>
      <c r="U192" s="85">
        <v>0</v>
      </c>
      <c r="V192" s="85">
        <v>0</v>
      </c>
      <c r="W192" s="86">
        <f>+C192+F192+I192+L192+O192+R192+U192</f>
        <v>0</v>
      </c>
      <c r="X192" s="86">
        <f>+D192+G192+J192+M192+P192+S192+V192</f>
        <v>0</v>
      </c>
      <c r="Y192" s="85"/>
      <c r="Z192" s="82"/>
      <c r="AA192" s="70"/>
      <c r="AB192" s="82"/>
      <c r="AC192" s="82"/>
      <c r="AD192" s="68"/>
    </row>
    <row r="193" spans="1:31" x14ac:dyDescent="0.2">
      <c r="A193" s="88" t="s">
        <v>255</v>
      </c>
      <c r="B193" s="87" t="s">
        <v>120</v>
      </c>
      <c r="C193" s="85"/>
      <c r="D193" s="85">
        <v>41.66</v>
      </c>
      <c r="E193" s="85"/>
      <c r="F193" s="85">
        <v>205</v>
      </c>
      <c r="G193" s="85">
        <v>41.66</v>
      </c>
      <c r="H193" s="85"/>
      <c r="I193" s="85"/>
      <c r="J193" s="85">
        <v>41.66</v>
      </c>
      <c r="K193" s="85"/>
      <c r="L193" s="85"/>
      <c r="M193" s="85">
        <v>41.66</v>
      </c>
      <c r="N193" s="85"/>
      <c r="O193" s="85"/>
      <c r="P193" s="85">
        <v>41.67</v>
      </c>
      <c r="Q193" s="85"/>
      <c r="R193" s="85">
        <v>0</v>
      </c>
      <c r="S193" s="85">
        <v>41.67</v>
      </c>
      <c r="T193" s="85"/>
      <c r="U193" s="85">
        <v>0</v>
      </c>
      <c r="V193" s="85">
        <v>41.67</v>
      </c>
      <c r="W193" s="86">
        <f>+C193+F193+I193+L193+O193+R193+U193</f>
        <v>205</v>
      </c>
      <c r="X193" s="86">
        <f>+D193+G193+J193+M193+P193+S193+V193</f>
        <v>291.65000000000003</v>
      </c>
      <c r="Y193" s="85"/>
      <c r="Z193" s="82">
        <v>500</v>
      </c>
      <c r="AA193" s="70"/>
      <c r="AB193" s="82">
        <f>+Z193</f>
        <v>500</v>
      </c>
      <c r="AC193" s="82"/>
      <c r="AD193" s="68"/>
    </row>
    <row r="194" spans="1:31" x14ac:dyDescent="0.2">
      <c r="A194" s="88" t="s">
        <v>254</v>
      </c>
      <c r="B194" s="87" t="s">
        <v>118</v>
      </c>
      <c r="C194" s="85"/>
      <c r="D194" s="85">
        <v>83.34</v>
      </c>
      <c r="E194" s="85"/>
      <c r="F194" s="85"/>
      <c r="G194" s="85">
        <v>83.34</v>
      </c>
      <c r="H194" s="85"/>
      <c r="I194" s="85"/>
      <c r="J194" s="85">
        <v>83.34</v>
      </c>
      <c r="K194" s="85"/>
      <c r="L194" s="85"/>
      <c r="M194" s="85">
        <v>83.34</v>
      </c>
      <c r="N194" s="85"/>
      <c r="O194" s="85"/>
      <c r="P194" s="85">
        <v>83.33</v>
      </c>
      <c r="Q194" s="85"/>
      <c r="R194" s="85">
        <v>0</v>
      </c>
      <c r="S194" s="85">
        <v>83.33</v>
      </c>
      <c r="T194" s="85"/>
      <c r="U194" s="85">
        <v>20</v>
      </c>
      <c r="V194" s="85">
        <v>83.33</v>
      </c>
      <c r="W194" s="86">
        <f>+C194+F194+I194+L194+O194+R194+U194</f>
        <v>20</v>
      </c>
      <c r="X194" s="86">
        <f>+D194+G194+J194+M194+P194+S194+V194</f>
        <v>583.35</v>
      </c>
      <c r="Y194" s="85"/>
      <c r="Z194" s="82">
        <v>1000</v>
      </c>
      <c r="AA194" s="70"/>
      <c r="AB194" s="82">
        <f>+Z194</f>
        <v>1000</v>
      </c>
      <c r="AC194" s="82"/>
      <c r="AD194" s="68"/>
    </row>
    <row r="195" spans="1:31" x14ac:dyDescent="0.2">
      <c r="A195" s="88" t="s">
        <v>253</v>
      </c>
      <c r="B195" s="87" t="s">
        <v>116</v>
      </c>
      <c r="C195" s="85">
        <v>33.97</v>
      </c>
      <c r="D195" s="85">
        <v>208.34</v>
      </c>
      <c r="E195" s="85"/>
      <c r="F195" s="85">
        <v>120.8</v>
      </c>
      <c r="G195" s="85">
        <v>208.34</v>
      </c>
      <c r="H195" s="85"/>
      <c r="I195" s="85">
        <v>25.87</v>
      </c>
      <c r="J195" s="85">
        <v>208.34</v>
      </c>
      <c r="K195" s="85"/>
      <c r="L195" s="85"/>
      <c r="M195" s="85">
        <v>208.34</v>
      </c>
      <c r="N195" s="85"/>
      <c r="O195" s="85">
        <v>734.26</v>
      </c>
      <c r="P195" s="85">
        <v>208.33</v>
      </c>
      <c r="Q195" s="85"/>
      <c r="R195" s="85">
        <v>428.65</v>
      </c>
      <c r="S195" s="85">
        <v>208.33</v>
      </c>
      <c r="T195" s="85"/>
      <c r="U195" s="85">
        <v>0</v>
      </c>
      <c r="V195" s="85">
        <v>208.33</v>
      </c>
      <c r="W195" s="86">
        <f>+C195+F195+I195+L195+O195+R195+U195</f>
        <v>1343.55</v>
      </c>
      <c r="X195" s="86">
        <f>+D195+G195+J195+M195+P195+S195+V195</f>
        <v>1458.35</v>
      </c>
      <c r="Y195" s="85"/>
      <c r="Z195" s="82">
        <v>2500</v>
      </c>
      <c r="AA195" s="70"/>
      <c r="AB195" s="82">
        <f>+Z195</f>
        <v>2500</v>
      </c>
      <c r="AC195" s="82"/>
      <c r="AD195" s="68"/>
    </row>
    <row r="196" spans="1:31" x14ac:dyDescent="0.2">
      <c r="A196" s="88" t="s">
        <v>252</v>
      </c>
      <c r="B196" s="87" t="s">
        <v>112</v>
      </c>
      <c r="C196" s="85"/>
      <c r="D196" s="85">
        <v>20.84</v>
      </c>
      <c r="E196" s="85"/>
      <c r="F196" s="85"/>
      <c r="G196" s="85">
        <v>20.84</v>
      </c>
      <c r="H196" s="85"/>
      <c r="I196" s="85"/>
      <c r="J196" s="85">
        <v>20.84</v>
      </c>
      <c r="K196" s="85"/>
      <c r="L196" s="85"/>
      <c r="M196" s="85">
        <v>20.84</v>
      </c>
      <c r="N196" s="85"/>
      <c r="O196" s="85"/>
      <c r="P196" s="85">
        <v>20.83</v>
      </c>
      <c r="Q196" s="85"/>
      <c r="R196" s="85">
        <v>0</v>
      </c>
      <c r="S196" s="85">
        <v>20.83</v>
      </c>
      <c r="T196" s="85"/>
      <c r="U196" s="85">
        <v>0</v>
      </c>
      <c r="V196" s="85">
        <v>20.83</v>
      </c>
      <c r="W196" s="86">
        <f>+C196+F196+I196+L196+O196+R196+U196</f>
        <v>0</v>
      </c>
      <c r="X196" s="86">
        <f>+D196+G196+J196+M196+P196+S196+V196</f>
        <v>145.85</v>
      </c>
      <c r="Y196" s="85"/>
      <c r="Z196" s="82">
        <v>250</v>
      </c>
      <c r="AA196" s="70"/>
      <c r="AB196" s="82">
        <f>+Z196</f>
        <v>250</v>
      </c>
      <c r="AC196" s="82"/>
      <c r="AD196" s="68"/>
    </row>
    <row r="197" spans="1:31" x14ac:dyDescent="0.2">
      <c r="A197" s="88"/>
      <c r="B197" s="87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2"/>
      <c r="AA197" s="70"/>
      <c r="AB197" s="82"/>
      <c r="AC197" s="82"/>
      <c r="AD197" s="68"/>
    </row>
    <row r="198" spans="1:31" x14ac:dyDescent="0.2">
      <c r="A198" s="95"/>
      <c r="B198" s="94" t="s">
        <v>251</v>
      </c>
      <c r="C198" s="92">
        <f>SUM(C184:C196)</f>
        <v>10627.22</v>
      </c>
      <c r="D198" s="92">
        <f>SUM(D184:D196)</f>
        <v>11364.75</v>
      </c>
      <c r="E198" s="76"/>
      <c r="F198" s="92">
        <f>SUM(F184:F196)</f>
        <v>10283.66</v>
      </c>
      <c r="G198" s="92">
        <f>SUM(G184:G196)</f>
        <v>11364.75</v>
      </c>
      <c r="H198" s="76"/>
      <c r="I198" s="92">
        <f>SUM(I184:I196)</f>
        <v>11308.480000000005</v>
      </c>
      <c r="J198" s="92">
        <f>SUM(J184:J196)</f>
        <v>11364.75</v>
      </c>
      <c r="K198" s="76"/>
      <c r="L198" s="92">
        <f>SUM(L184:L196)</f>
        <v>11717.330000000002</v>
      </c>
      <c r="M198" s="92">
        <f>SUM(M184:M196)</f>
        <v>11364.75</v>
      </c>
      <c r="N198" s="76"/>
      <c r="O198" s="92">
        <f>SUM(O184:O196)</f>
        <v>15625.480000000001</v>
      </c>
      <c r="P198" s="92">
        <f>SUM(P184:P196)</f>
        <v>16033.369999999999</v>
      </c>
      <c r="Q198" s="76"/>
      <c r="R198" s="92">
        <f>SUM(R184:R196)</f>
        <v>12184.94</v>
      </c>
      <c r="S198" s="92">
        <f>SUM(S184:S196)</f>
        <v>11364.71</v>
      </c>
      <c r="T198" s="76"/>
      <c r="U198" s="92">
        <f>SUM(U184:U196)</f>
        <v>9467.44</v>
      </c>
      <c r="V198" s="92">
        <f>SUM(V184:V196)</f>
        <v>11364.72</v>
      </c>
      <c r="W198" s="92">
        <f>SUM(W184:W196)</f>
        <v>81214.549999999988</v>
      </c>
      <c r="X198" s="92">
        <f>SUM(X184:X196)</f>
        <v>84221.800000000017</v>
      </c>
      <c r="Y198" s="76"/>
      <c r="Z198" s="92">
        <f>SUM(Z184:Z196)</f>
        <v>145714</v>
      </c>
      <c r="AA198" s="93"/>
      <c r="AB198" s="92">
        <f>SUM(AB184:AB196)</f>
        <v>145714</v>
      </c>
      <c r="AC198" s="92">
        <f>SUM(AC184:AC196)</f>
        <v>0</v>
      </c>
      <c r="AD198" s="68"/>
    </row>
    <row r="199" spans="1:31" x14ac:dyDescent="0.2">
      <c r="A199" s="95"/>
      <c r="B199" s="94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96"/>
      <c r="AA199" s="97"/>
      <c r="AB199" s="96"/>
      <c r="AC199" s="96"/>
      <c r="AD199" s="68"/>
    </row>
    <row r="200" spans="1:31" x14ac:dyDescent="0.2">
      <c r="A200" s="88" t="s">
        <v>250</v>
      </c>
      <c r="B200" s="87" t="s">
        <v>147</v>
      </c>
      <c r="C200" s="85">
        <v>2241.5100000000002</v>
      </c>
      <c r="D200" s="85">
        <v>4835.3100000000004</v>
      </c>
      <c r="E200" s="85"/>
      <c r="F200" s="85">
        <v>2433.4499999999998</v>
      </c>
      <c r="G200" s="85">
        <v>4835.3100000000004</v>
      </c>
      <c r="H200" s="85"/>
      <c r="I200" s="85">
        <v>3440.88</v>
      </c>
      <c r="J200" s="85">
        <v>4835.3100000000004</v>
      </c>
      <c r="K200" s="85"/>
      <c r="L200" s="85">
        <v>3254.31</v>
      </c>
      <c r="M200" s="85">
        <v>4835.3100000000004</v>
      </c>
      <c r="N200" s="85"/>
      <c r="O200" s="85">
        <v>4935.33</v>
      </c>
      <c r="P200" s="85">
        <v>7252.95</v>
      </c>
      <c r="Q200" s="85"/>
      <c r="R200" s="85">
        <v>2968.11</v>
      </c>
      <c r="S200" s="85">
        <v>4835.3100000000004</v>
      </c>
      <c r="T200" s="85"/>
      <c r="U200" s="85">
        <v>3362.04</v>
      </c>
      <c r="V200" s="85">
        <v>4835.3100000000004</v>
      </c>
      <c r="W200" s="86">
        <f>+C200+F200+I200+L200+O200+R200+U200</f>
        <v>22635.63</v>
      </c>
      <c r="X200" s="86">
        <f>+D200+G200+J200+M200+P200+S200+V200</f>
        <v>36264.810000000005</v>
      </c>
      <c r="Y200" s="85"/>
      <c r="Z200" s="82">
        <v>62859</v>
      </c>
      <c r="AA200" s="70"/>
      <c r="AB200" s="82">
        <f>+Z200</f>
        <v>62859</v>
      </c>
      <c r="AC200" s="82"/>
      <c r="AD200" s="68"/>
    </row>
    <row r="201" spans="1:31" x14ac:dyDescent="0.2">
      <c r="A201" s="88" t="s">
        <v>249</v>
      </c>
      <c r="B201" s="87" t="s">
        <v>145</v>
      </c>
      <c r="C201" s="85">
        <v>198.36</v>
      </c>
      <c r="D201" s="85">
        <v>386.85</v>
      </c>
      <c r="E201" s="85"/>
      <c r="F201" s="85">
        <v>199.38</v>
      </c>
      <c r="G201" s="85">
        <v>386.85</v>
      </c>
      <c r="H201" s="85"/>
      <c r="I201" s="85">
        <v>263.22000000000003</v>
      </c>
      <c r="J201" s="85">
        <v>386.85</v>
      </c>
      <c r="K201" s="85"/>
      <c r="L201" s="85">
        <v>248.96</v>
      </c>
      <c r="M201" s="85">
        <v>386.85</v>
      </c>
      <c r="N201" s="85"/>
      <c r="O201" s="85">
        <v>385.2</v>
      </c>
      <c r="P201" s="85">
        <v>580.25</v>
      </c>
      <c r="Q201" s="85"/>
      <c r="R201" s="85">
        <v>227.06</v>
      </c>
      <c r="S201" s="85">
        <v>386.85</v>
      </c>
      <c r="T201" s="85"/>
      <c r="U201" s="85">
        <v>257.2</v>
      </c>
      <c r="V201" s="85">
        <v>386.85</v>
      </c>
      <c r="W201" s="86">
        <f>+C201+F201+I201+L201+O201+R201+U201</f>
        <v>1779.38</v>
      </c>
      <c r="X201" s="86">
        <f>+D201+G201+J201+M201+P201+S201+V201</f>
        <v>2901.35</v>
      </c>
      <c r="Y201" s="85"/>
      <c r="Z201" s="82">
        <v>5029</v>
      </c>
      <c r="AA201" s="70"/>
      <c r="AB201" s="82">
        <f>+Z201</f>
        <v>5029</v>
      </c>
      <c r="AC201" s="82"/>
      <c r="AD201" s="68"/>
    </row>
    <row r="202" spans="1:31" x14ac:dyDescent="0.2">
      <c r="A202" s="88" t="s">
        <v>248</v>
      </c>
      <c r="B202" s="87" t="s">
        <v>163</v>
      </c>
      <c r="C202" s="85"/>
      <c r="D202" s="85"/>
      <c r="E202" s="85"/>
      <c r="F202" s="85">
        <v>97.9</v>
      </c>
      <c r="G202" s="85"/>
      <c r="H202" s="85"/>
      <c r="I202" s="85">
        <v>-14.65</v>
      </c>
      <c r="J202" s="85"/>
      <c r="K202" s="85"/>
      <c r="L202" s="85">
        <v>63.88</v>
      </c>
      <c r="M202" s="85"/>
      <c r="N202" s="85"/>
      <c r="O202" s="85">
        <v>177</v>
      </c>
      <c r="P202" s="85"/>
      <c r="Q202" s="85"/>
      <c r="R202" s="85">
        <v>0</v>
      </c>
      <c r="S202" s="85">
        <v>0</v>
      </c>
      <c r="T202" s="85"/>
      <c r="U202" s="85">
        <v>0</v>
      </c>
      <c r="V202" s="85">
        <v>0</v>
      </c>
      <c r="W202" s="86">
        <f>+C202+F202+I202+L202+O202+R202+U202</f>
        <v>324.13</v>
      </c>
      <c r="X202" s="86">
        <f>+D202+G202+J202+M202+P202+S202+V202</f>
        <v>0</v>
      </c>
      <c r="Y202" s="85"/>
      <c r="Z202" s="82"/>
      <c r="AA202" s="70"/>
      <c r="AB202" s="82">
        <f>+Z202</f>
        <v>0</v>
      </c>
      <c r="AC202" s="82"/>
      <c r="AD202" s="68"/>
    </row>
    <row r="203" spans="1:31" x14ac:dyDescent="0.2">
      <c r="A203" s="88" t="s">
        <v>247</v>
      </c>
      <c r="B203" s="87" t="s">
        <v>141</v>
      </c>
      <c r="C203" s="85">
        <v>117.05</v>
      </c>
      <c r="D203" s="85">
        <v>6.84</v>
      </c>
      <c r="E203" s="85"/>
      <c r="F203" s="85">
        <v>117.05</v>
      </c>
      <c r="G203" s="85">
        <v>6.84</v>
      </c>
      <c r="H203" s="85"/>
      <c r="I203" s="85">
        <v>117.05</v>
      </c>
      <c r="J203" s="85">
        <v>6.84</v>
      </c>
      <c r="K203" s="85"/>
      <c r="L203" s="85">
        <v>117.05</v>
      </c>
      <c r="M203" s="85">
        <v>6.84</v>
      </c>
      <c r="N203" s="85"/>
      <c r="O203" s="85">
        <v>117.05</v>
      </c>
      <c r="P203" s="85">
        <v>6.83</v>
      </c>
      <c r="Q203" s="85"/>
      <c r="R203" s="85">
        <v>6.68</v>
      </c>
      <c r="S203" s="85">
        <v>6.83</v>
      </c>
      <c r="T203" s="85"/>
      <c r="U203" s="85">
        <v>11.92</v>
      </c>
      <c r="V203" s="85">
        <v>6.83</v>
      </c>
      <c r="W203" s="86">
        <f>+C203+F203+I203+L203+O203+R203+U203</f>
        <v>603.84999999999991</v>
      </c>
      <c r="X203" s="86">
        <f>+D203+G203+J203+M203+P203+S203+V203</f>
        <v>47.849999999999994</v>
      </c>
      <c r="Y203" s="85"/>
      <c r="Z203" s="82">
        <v>82</v>
      </c>
      <c r="AA203" s="70"/>
      <c r="AB203" s="82">
        <f>+Z203</f>
        <v>82</v>
      </c>
      <c r="AC203" s="82"/>
      <c r="AD203" s="68"/>
      <c r="AE203" s="68"/>
    </row>
    <row r="204" spans="1:31" x14ac:dyDescent="0.2">
      <c r="A204" s="88">
        <v>6071100</v>
      </c>
      <c r="B204" s="87" t="s">
        <v>203</v>
      </c>
      <c r="C204" s="85"/>
      <c r="D204" s="85">
        <v>20.85</v>
      </c>
      <c r="E204" s="85"/>
      <c r="F204" s="85"/>
      <c r="G204" s="85">
        <v>20.85</v>
      </c>
      <c r="H204" s="85"/>
      <c r="I204" s="85"/>
      <c r="J204" s="85">
        <v>20.83</v>
      </c>
      <c r="K204" s="85"/>
      <c r="L204" s="85"/>
      <c r="M204" s="85">
        <v>20.83</v>
      </c>
      <c r="N204" s="85"/>
      <c r="O204" s="85"/>
      <c r="P204" s="85">
        <v>20.83</v>
      </c>
      <c r="Q204" s="85"/>
      <c r="R204" s="85">
        <v>0</v>
      </c>
      <c r="S204" s="85">
        <v>20.83</v>
      </c>
      <c r="T204" s="85"/>
      <c r="U204" s="85">
        <v>0</v>
      </c>
      <c r="V204" s="85">
        <v>20.83</v>
      </c>
      <c r="W204" s="86">
        <f>+C204+F204+I204+L204+O204+R204+U204</f>
        <v>0</v>
      </c>
      <c r="X204" s="86">
        <f>+D204+G204+J204+M204+P204+S204+V204</f>
        <v>145.85</v>
      </c>
      <c r="Y204" s="85"/>
      <c r="Z204" s="82">
        <v>250</v>
      </c>
      <c r="AA204" s="70"/>
      <c r="AB204" s="82">
        <f>+Z204</f>
        <v>250</v>
      </c>
      <c r="AC204" s="82"/>
      <c r="AD204" s="68"/>
    </row>
    <row r="205" spans="1:31" x14ac:dyDescent="0.2">
      <c r="A205" s="88" t="s">
        <v>246</v>
      </c>
      <c r="B205" s="87" t="s">
        <v>116</v>
      </c>
      <c r="C205" s="85">
        <v>314.68</v>
      </c>
      <c r="D205" s="85">
        <v>100</v>
      </c>
      <c r="E205" s="85"/>
      <c r="F205" s="85"/>
      <c r="G205" s="85">
        <v>100</v>
      </c>
      <c r="H205" s="85"/>
      <c r="I205" s="85">
        <v>342.89</v>
      </c>
      <c r="J205" s="85">
        <v>100</v>
      </c>
      <c r="K205" s="85"/>
      <c r="L205" s="85">
        <v>88.95</v>
      </c>
      <c r="M205" s="85">
        <v>100</v>
      </c>
      <c r="N205" s="85"/>
      <c r="O205" s="85">
        <v>88.95</v>
      </c>
      <c r="P205" s="85">
        <v>100</v>
      </c>
      <c r="Q205" s="85"/>
      <c r="R205" s="85">
        <v>0</v>
      </c>
      <c r="S205" s="85">
        <v>100</v>
      </c>
      <c r="T205" s="85"/>
      <c r="U205" s="85">
        <v>32.08</v>
      </c>
      <c r="V205" s="85">
        <v>100</v>
      </c>
      <c r="W205" s="86">
        <f>+C205+F205+I205+L205+O205+R205+U205</f>
        <v>867.55000000000007</v>
      </c>
      <c r="X205" s="86">
        <f>+D205+G205+J205+M205+P205+S205+V205</f>
        <v>700</v>
      </c>
      <c r="Y205" s="85"/>
      <c r="Z205" s="82">
        <v>1200</v>
      </c>
      <c r="AA205" s="70"/>
      <c r="AB205" s="82">
        <f>+Z205</f>
        <v>1200</v>
      </c>
      <c r="AC205" s="82"/>
      <c r="AD205" s="68"/>
    </row>
    <row r="206" spans="1:31" x14ac:dyDescent="0.2">
      <c r="A206" s="88" t="s">
        <v>245</v>
      </c>
      <c r="B206" s="87" t="s">
        <v>112</v>
      </c>
      <c r="C206" s="85"/>
      <c r="D206" s="85">
        <v>41.66</v>
      </c>
      <c r="E206" s="85"/>
      <c r="F206" s="85"/>
      <c r="G206" s="85">
        <v>41.66</v>
      </c>
      <c r="H206" s="85"/>
      <c r="I206" s="85"/>
      <c r="J206" s="85">
        <v>41.66</v>
      </c>
      <c r="K206" s="85"/>
      <c r="L206" s="85"/>
      <c r="M206" s="85">
        <v>41.66</v>
      </c>
      <c r="N206" s="85"/>
      <c r="O206" s="85"/>
      <c r="P206" s="85">
        <v>41.67</v>
      </c>
      <c r="Q206" s="85"/>
      <c r="R206" s="85">
        <v>0</v>
      </c>
      <c r="S206" s="85">
        <v>41.67</v>
      </c>
      <c r="T206" s="85"/>
      <c r="U206" s="85">
        <v>0</v>
      </c>
      <c r="V206" s="85">
        <v>41.67</v>
      </c>
      <c r="W206" s="86">
        <f>+C206+F206+I206+L206+O206+R206+U206</f>
        <v>0</v>
      </c>
      <c r="X206" s="86">
        <f>+D206+G206+J206+M206+P206+S206+V206</f>
        <v>291.65000000000003</v>
      </c>
      <c r="Y206" s="85"/>
      <c r="Z206" s="82">
        <v>500</v>
      </c>
      <c r="AA206" s="70"/>
      <c r="AB206" s="82">
        <f>+Z206</f>
        <v>500</v>
      </c>
      <c r="AC206" s="82"/>
      <c r="AD206" s="68"/>
    </row>
    <row r="207" spans="1:31" x14ac:dyDescent="0.2">
      <c r="A207" s="88"/>
      <c r="B207" s="87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2"/>
      <c r="AA207" s="70"/>
      <c r="AB207" s="82"/>
      <c r="AC207" s="82"/>
      <c r="AD207" s="68"/>
    </row>
    <row r="208" spans="1:31" s="98" customFormat="1" x14ac:dyDescent="0.2">
      <c r="A208" s="95"/>
      <c r="B208" s="94" t="s">
        <v>77</v>
      </c>
      <c r="C208" s="92">
        <f>SUM(C200:C206)</f>
        <v>2871.6000000000004</v>
      </c>
      <c r="D208" s="92">
        <f>SUM(D200:D206)</f>
        <v>5391.5100000000011</v>
      </c>
      <c r="E208" s="76"/>
      <c r="F208" s="92">
        <f>SUM(F200:F206)</f>
        <v>2847.78</v>
      </c>
      <c r="G208" s="92">
        <f>SUM(G200:G206)</f>
        <v>5391.5100000000011</v>
      </c>
      <c r="H208" s="76"/>
      <c r="I208" s="92">
        <f>SUM(I200:I206)</f>
        <v>4149.3900000000003</v>
      </c>
      <c r="J208" s="92">
        <f>SUM(J200:J206)</f>
        <v>5391.4900000000007</v>
      </c>
      <c r="K208" s="76"/>
      <c r="L208" s="92">
        <f>SUM(L200:L206)</f>
        <v>3773.15</v>
      </c>
      <c r="M208" s="92">
        <f>SUM(M200:M206)</f>
        <v>5391.4900000000007</v>
      </c>
      <c r="N208" s="76"/>
      <c r="O208" s="92">
        <f>SUM(O200:O206)</f>
        <v>5703.53</v>
      </c>
      <c r="P208" s="92">
        <f>SUM(P200:P206)</f>
        <v>8002.53</v>
      </c>
      <c r="Q208" s="76"/>
      <c r="R208" s="92">
        <f>SUM(R200:R206)</f>
        <v>3201.85</v>
      </c>
      <c r="S208" s="92">
        <f>SUM(S200:S206)</f>
        <v>5391.4900000000007</v>
      </c>
      <c r="T208" s="76"/>
      <c r="U208" s="92">
        <f>SUM(U200:U207)</f>
        <v>3663.24</v>
      </c>
      <c r="V208" s="92">
        <f>SUM(V200:V206)</f>
        <v>5391.4900000000007</v>
      </c>
      <c r="W208" s="92">
        <f>SUM(W200:W206)</f>
        <v>26210.54</v>
      </c>
      <c r="X208" s="92">
        <f>SUM(X200:X206)</f>
        <v>40351.51</v>
      </c>
      <c r="Y208" s="76"/>
      <c r="Z208" s="92">
        <f>SUM(Z200:Z206)</f>
        <v>69920</v>
      </c>
      <c r="AA208" s="93"/>
      <c r="AB208" s="92">
        <f>SUM(AB200:AB206)</f>
        <v>69920</v>
      </c>
      <c r="AC208" s="92">
        <f>SUM(AC200:AC206)</f>
        <v>0</v>
      </c>
      <c r="AD208" s="99"/>
    </row>
    <row r="209" spans="1:31" s="98" customFormat="1" x14ac:dyDescent="0.2">
      <c r="A209" s="95"/>
      <c r="B209" s="94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96"/>
      <c r="AA209" s="97"/>
      <c r="AB209" s="96"/>
      <c r="AC209" s="96"/>
      <c r="AD209" s="99"/>
    </row>
    <row r="210" spans="1:31" x14ac:dyDescent="0.2">
      <c r="A210" s="81" t="s">
        <v>105</v>
      </c>
      <c r="B210" s="80" t="s">
        <v>244</v>
      </c>
      <c r="C210" s="79">
        <f>C208+C198+C182+C155+C130</f>
        <v>153881.06</v>
      </c>
      <c r="D210" s="79">
        <f>D208+D198+D182+D155+D130</f>
        <v>126132.15000000001</v>
      </c>
      <c r="E210" s="76"/>
      <c r="F210" s="79">
        <f>F208+F198+F182+F155+F130</f>
        <v>175345.92999999996</v>
      </c>
      <c r="G210" s="79">
        <f>G208+G198+G182+G155+G130</f>
        <v>167628.04999999999</v>
      </c>
      <c r="H210" s="76"/>
      <c r="I210" s="79">
        <f>I208+I198+I182+I155+I130</f>
        <v>238982.19999999998</v>
      </c>
      <c r="J210" s="79">
        <f>J208+J198+J182+J155+J130</f>
        <v>142852.67000000001</v>
      </c>
      <c r="K210" s="76"/>
      <c r="L210" s="79">
        <f>L208+L198+L182+L155+L130</f>
        <v>205484.2</v>
      </c>
      <c r="M210" s="79">
        <f>M208+M198+M182+M155+M130</f>
        <v>143646.67000000001</v>
      </c>
      <c r="N210" s="76"/>
      <c r="O210" s="79">
        <f>O208+O198+O182+O155+O130</f>
        <v>267801.33999999997</v>
      </c>
      <c r="P210" s="79">
        <f>P208+P198+P182+P155+P130</f>
        <v>212822.13999999998</v>
      </c>
      <c r="Q210" s="76"/>
      <c r="R210" s="79">
        <f>R208+R198+R182+R155+R130</f>
        <v>169968.76</v>
      </c>
      <c r="S210" s="79">
        <f>S208+S198+S182+S155+S130</f>
        <v>142952.07999999999</v>
      </c>
      <c r="T210" s="76"/>
      <c r="U210" s="79">
        <f>U208+U198+U182+U155+U130</f>
        <v>126280.27</v>
      </c>
      <c r="V210" s="79">
        <f>V208+V198+V182+V155+V130</f>
        <v>124327.54</v>
      </c>
      <c r="W210" s="79">
        <f>W208+W198+W182+W155+W130</f>
        <v>1337743.76</v>
      </c>
      <c r="X210" s="79">
        <f>X208+X198+X182+X155+X130</f>
        <v>1060361.3</v>
      </c>
      <c r="Y210" s="76"/>
      <c r="Z210" s="79">
        <f>Z208+Z198+Z182+Z155+Z130</f>
        <v>1714098.3</v>
      </c>
      <c r="AA210" s="70"/>
      <c r="AB210" s="79">
        <f>AB208+AB198+AB182+AB155+AB130</f>
        <v>1634098.3</v>
      </c>
      <c r="AC210" s="79">
        <f>AC208+AC198+AC182+AC155+AC130</f>
        <v>80000</v>
      </c>
      <c r="AD210" s="68"/>
    </row>
    <row r="211" spans="1:31" x14ac:dyDescent="0.2"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70"/>
      <c r="AB211" s="67"/>
      <c r="AC211" s="74"/>
      <c r="AD211" s="68"/>
    </row>
    <row r="212" spans="1:31" x14ac:dyDescent="0.2">
      <c r="A212" s="91" t="s">
        <v>243</v>
      </c>
      <c r="B212" s="90" t="s">
        <v>242</v>
      </c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67"/>
      <c r="AA212" s="70"/>
      <c r="AB212" s="67"/>
      <c r="AC212" s="74"/>
      <c r="AD212" s="68"/>
    </row>
    <row r="213" spans="1:31" x14ac:dyDescent="0.2">
      <c r="A213" s="88" t="s">
        <v>241</v>
      </c>
      <c r="B213" s="87" t="s">
        <v>240</v>
      </c>
      <c r="C213" s="85">
        <v>76180.47</v>
      </c>
      <c r="D213" s="85">
        <v>88461.54</v>
      </c>
      <c r="E213" s="85"/>
      <c r="F213" s="85">
        <v>117309.23</v>
      </c>
      <c r="G213" s="85">
        <v>88461.54</v>
      </c>
      <c r="H213" s="85"/>
      <c r="I213" s="85">
        <v>72675.289999999994</v>
      </c>
      <c r="J213" s="85">
        <v>88461.54</v>
      </c>
      <c r="K213" s="85"/>
      <c r="L213" s="85">
        <v>127871.23</v>
      </c>
      <c r="M213" s="85">
        <v>88461.54</v>
      </c>
      <c r="N213" s="85"/>
      <c r="O213" s="85">
        <v>153706.87</v>
      </c>
      <c r="P213" s="85">
        <v>132692.29999999999</v>
      </c>
      <c r="Q213" s="85"/>
      <c r="R213" s="85">
        <v>111084.97</v>
      </c>
      <c r="S213" s="85">
        <v>88461.54</v>
      </c>
      <c r="T213" s="85"/>
      <c r="U213" s="85">
        <v>92155.25</v>
      </c>
      <c r="V213" s="85">
        <v>88461.54</v>
      </c>
      <c r="W213" s="86">
        <f>+C213+F213+I213+L213+O213+R213+U213</f>
        <v>750983.30999999994</v>
      </c>
      <c r="X213" s="86">
        <f>+D213+G213+J213+M213+P213+S213+V213</f>
        <v>663461.54</v>
      </c>
      <c r="Y213" s="85"/>
      <c r="Z213" s="82">
        <v>1150000</v>
      </c>
      <c r="AA213" s="70"/>
      <c r="AB213" s="82">
        <f>+Z213</f>
        <v>1150000</v>
      </c>
      <c r="AC213" s="82"/>
      <c r="AD213" s="68"/>
      <c r="AE213" s="68"/>
    </row>
    <row r="214" spans="1:31" x14ac:dyDescent="0.2">
      <c r="A214" s="88" t="s">
        <v>239</v>
      </c>
      <c r="B214" s="87" t="s">
        <v>238</v>
      </c>
      <c r="C214" s="85"/>
      <c r="D214" s="85"/>
      <c r="E214" s="85"/>
      <c r="F214" s="85">
        <v>4680</v>
      </c>
      <c r="G214" s="85"/>
      <c r="H214" s="85"/>
      <c r="I214" s="85">
        <v>2990</v>
      </c>
      <c r="J214" s="85">
        <v>11024</v>
      </c>
      <c r="K214" s="85"/>
      <c r="L214" s="85">
        <v>7020</v>
      </c>
      <c r="M214" s="85">
        <v>11024</v>
      </c>
      <c r="N214" s="85"/>
      <c r="O214" s="85">
        <v>4550</v>
      </c>
      <c r="P214" s="85">
        <v>11024</v>
      </c>
      <c r="Q214" s="85"/>
      <c r="R214" s="85">
        <v>12105</v>
      </c>
      <c r="S214" s="85">
        <v>11024</v>
      </c>
      <c r="T214" s="85"/>
      <c r="U214" s="85">
        <v>0</v>
      </c>
      <c r="V214" s="85">
        <v>0</v>
      </c>
      <c r="W214" s="86">
        <f>+C214+F214+I214+L214+O214+R214+U214</f>
        <v>31345</v>
      </c>
      <c r="X214" s="86">
        <f>+D214+G214+J214+M214+P214+S214+V214</f>
        <v>44096</v>
      </c>
      <c r="Y214" s="85"/>
      <c r="Z214" s="82">
        <v>55120</v>
      </c>
      <c r="AA214" s="70"/>
      <c r="AB214" s="82">
        <f>+Z214</f>
        <v>55120</v>
      </c>
      <c r="AC214" s="82"/>
      <c r="AD214" s="68"/>
      <c r="AE214" s="68"/>
    </row>
    <row r="215" spans="1:31" x14ac:dyDescent="0.2">
      <c r="A215" s="88" t="s">
        <v>237</v>
      </c>
      <c r="B215" s="87" t="s">
        <v>236</v>
      </c>
      <c r="C215" s="85">
        <v>6035.78</v>
      </c>
      <c r="D215" s="85">
        <v>6839.46</v>
      </c>
      <c r="E215" s="85"/>
      <c r="F215" s="85">
        <v>6509.24</v>
      </c>
      <c r="G215" s="85">
        <v>6839.46</v>
      </c>
      <c r="H215" s="85"/>
      <c r="I215" s="85">
        <v>7604.8</v>
      </c>
      <c r="J215" s="85">
        <v>6839.46</v>
      </c>
      <c r="K215" s="85"/>
      <c r="L215" s="85">
        <v>8477.49</v>
      </c>
      <c r="M215" s="85">
        <v>6839.46</v>
      </c>
      <c r="N215" s="85"/>
      <c r="O215" s="85">
        <v>11306.63</v>
      </c>
      <c r="P215" s="85">
        <v>10259.200000000001</v>
      </c>
      <c r="Q215" s="85"/>
      <c r="R215" s="85">
        <v>7388.2</v>
      </c>
      <c r="S215" s="85">
        <v>6839.46</v>
      </c>
      <c r="T215" s="85"/>
      <c r="U215" s="85">
        <v>6702.09</v>
      </c>
      <c r="V215" s="85">
        <v>6839.46</v>
      </c>
      <c r="W215" s="86">
        <f>+C215+F215+I215+L215+O215+R215+U215</f>
        <v>54024.229999999996</v>
      </c>
      <c r="X215" s="86">
        <f>+D215+G215+J215+M215+P215+S215+V215</f>
        <v>51295.96</v>
      </c>
      <c r="Y215" s="85"/>
      <c r="Z215" s="82">
        <f>8650+12100+68163</f>
        <v>88913</v>
      </c>
      <c r="AA215" s="70"/>
      <c r="AB215" s="82">
        <f>+Z215</f>
        <v>88913</v>
      </c>
      <c r="AC215" s="82"/>
      <c r="AD215" s="68"/>
      <c r="AE215" s="68"/>
    </row>
    <row r="216" spans="1:31" x14ac:dyDescent="0.2">
      <c r="A216" s="88" t="s">
        <v>235</v>
      </c>
      <c r="B216" s="87" t="s">
        <v>234</v>
      </c>
      <c r="C216" s="85">
        <v>16186.6</v>
      </c>
      <c r="D216" s="85">
        <v>24025.66</v>
      </c>
      <c r="E216" s="85"/>
      <c r="F216" s="85">
        <v>17451.88</v>
      </c>
      <c r="G216" s="85">
        <v>24025.66</v>
      </c>
      <c r="H216" s="85"/>
      <c r="I216" s="85">
        <v>17917.47</v>
      </c>
      <c r="J216" s="85">
        <v>24025.66</v>
      </c>
      <c r="K216" s="85"/>
      <c r="L216" s="85">
        <v>25777.39</v>
      </c>
      <c r="M216" s="85">
        <v>24025.66</v>
      </c>
      <c r="N216" s="85"/>
      <c r="O216" s="85">
        <v>25857.75</v>
      </c>
      <c r="P216" s="85">
        <v>24025.67</v>
      </c>
      <c r="Q216" s="85"/>
      <c r="R216" s="85">
        <v>25933.99</v>
      </c>
      <c r="S216" s="85">
        <v>24025.67</v>
      </c>
      <c r="T216" s="85"/>
      <c r="U216" s="85">
        <v>25971.96</v>
      </c>
      <c r="V216" s="85">
        <v>24025.67</v>
      </c>
      <c r="W216" s="86">
        <f>+C216+F216+I216+L216+O216+R216+U216</f>
        <v>155097.04</v>
      </c>
      <c r="X216" s="86">
        <f>+D216+G216+J216+M216+P216+S216+V216</f>
        <v>168179.64999999997</v>
      </c>
      <c r="Y216" s="85"/>
      <c r="Z216" s="82">
        <f>6469+266647+10641+2672+1879</f>
        <v>288308</v>
      </c>
      <c r="AA216" s="70"/>
      <c r="AB216" s="82">
        <f>+Z216</f>
        <v>288308</v>
      </c>
      <c r="AC216" s="82"/>
      <c r="AD216" s="68"/>
      <c r="AE216" s="68"/>
    </row>
    <row r="217" spans="1:31" x14ac:dyDescent="0.2">
      <c r="A217" s="88" t="s">
        <v>233</v>
      </c>
      <c r="B217" s="87" t="s">
        <v>232</v>
      </c>
      <c r="C217" s="85">
        <v>8054.57</v>
      </c>
      <c r="D217" s="85">
        <v>12555.92</v>
      </c>
      <c r="E217" s="85"/>
      <c r="F217" s="85">
        <v>8473.3799999999992</v>
      </c>
      <c r="G217" s="85">
        <v>12555.92</v>
      </c>
      <c r="H217" s="85"/>
      <c r="I217" s="85">
        <v>9134.26</v>
      </c>
      <c r="J217" s="85">
        <v>12555.92</v>
      </c>
      <c r="K217" s="85"/>
      <c r="L217" s="85">
        <v>11059.08</v>
      </c>
      <c r="M217" s="85">
        <v>12555.92</v>
      </c>
      <c r="N217" s="85"/>
      <c r="O217" s="85">
        <v>16198.24</v>
      </c>
      <c r="P217" s="85">
        <v>18833.900000000001</v>
      </c>
      <c r="Q217" s="85"/>
      <c r="R217" s="85">
        <v>10796.07</v>
      </c>
      <c r="S217" s="85">
        <v>12555.92</v>
      </c>
      <c r="T217" s="85"/>
      <c r="U217" s="85">
        <v>10787.92</v>
      </c>
      <c r="V217" s="85">
        <v>12555.92</v>
      </c>
      <c r="W217" s="86">
        <f>+C217+F217+I217+L217+O217+R217+U217</f>
        <v>74503.520000000004</v>
      </c>
      <c r="X217" s="86">
        <f>+D217+G217+J217+M217+P217+S217+V217</f>
        <v>94169.42</v>
      </c>
      <c r="Y217" s="85"/>
      <c r="Z217" s="82">
        <f>144847+18380</f>
        <v>163227</v>
      </c>
      <c r="AA217" s="70"/>
      <c r="AB217" s="82">
        <f>+Z217</f>
        <v>163227</v>
      </c>
      <c r="AC217" s="82"/>
      <c r="AD217" s="68"/>
      <c r="AE217" s="68"/>
    </row>
    <row r="218" spans="1:31" x14ac:dyDescent="0.2">
      <c r="A218" s="88" t="s">
        <v>231</v>
      </c>
      <c r="B218" s="87" t="s">
        <v>230</v>
      </c>
      <c r="C218" s="85">
        <v>6790.57</v>
      </c>
      <c r="D218" s="85">
        <v>1675</v>
      </c>
      <c r="E218" s="85"/>
      <c r="F218" s="85">
        <v>4362.59</v>
      </c>
      <c r="G218" s="85">
        <v>1650</v>
      </c>
      <c r="H218" s="85"/>
      <c r="I218" s="85">
        <v>3373.61</v>
      </c>
      <c r="J218" s="85">
        <v>1675</v>
      </c>
      <c r="K218" s="85"/>
      <c r="L218" s="85">
        <v>42.65</v>
      </c>
      <c r="M218" s="85">
        <v>1650</v>
      </c>
      <c r="N218" s="85"/>
      <c r="O218" s="85">
        <v>1513.07</v>
      </c>
      <c r="P218" s="85">
        <v>1675</v>
      </c>
      <c r="Q218" s="85"/>
      <c r="R218" s="85">
        <v>4526.59</v>
      </c>
      <c r="S218" s="85">
        <v>1650</v>
      </c>
      <c r="T218" s="85"/>
      <c r="U218" s="85">
        <v>395.99</v>
      </c>
      <c r="V218" s="85">
        <v>1675</v>
      </c>
      <c r="W218" s="86">
        <f>+C218+F218+I218+L218+O218+R218+U218</f>
        <v>21005.070000000003</v>
      </c>
      <c r="X218" s="86">
        <f>+D218+G218+J218+M218+P218+S218+V218</f>
        <v>11650</v>
      </c>
      <c r="Y218" s="85"/>
      <c r="Z218" s="82">
        <v>20000</v>
      </c>
      <c r="AA218" s="70"/>
      <c r="AB218" s="82">
        <f>+Z218</f>
        <v>20000</v>
      </c>
      <c r="AC218" s="82"/>
      <c r="AD218" s="68"/>
      <c r="AE218" s="68"/>
    </row>
    <row r="219" spans="1:31" x14ac:dyDescent="0.2">
      <c r="A219" s="88" t="s">
        <v>229</v>
      </c>
      <c r="B219" s="87" t="s">
        <v>228</v>
      </c>
      <c r="C219" s="85">
        <v>3844.57</v>
      </c>
      <c r="D219" s="85">
        <v>3158.34</v>
      </c>
      <c r="E219" s="85"/>
      <c r="F219" s="85">
        <v>3844.57</v>
      </c>
      <c r="G219" s="85">
        <v>3158.34</v>
      </c>
      <c r="H219" s="85"/>
      <c r="I219" s="85">
        <v>3844.57</v>
      </c>
      <c r="J219" s="85">
        <v>3158.34</v>
      </c>
      <c r="K219" s="85"/>
      <c r="L219" s="85">
        <v>3844.57</v>
      </c>
      <c r="M219" s="85">
        <v>3158.34</v>
      </c>
      <c r="N219" s="85"/>
      <c r="O219" s="85">
        <v>3844.57</v>
      </c>
      <c r="P219" s="85">
        <v>3158.33</v>
      </c>
      <c r="Q219" s="85"/>
      <c r="R219" s="85">
        <v>3089.71</v>
      </c>
      <c r="S219" s="85">
        <v>3158.33</v>
      </c>
      <c r="T219" s="85"/>
      <c r="U219" s="85">
        <v>7711.99</v>
      </c>
      <c r="V219" s="85">
        <v>3158.33</v>
      </c>
      <c r="W219" s="86">
        <f>+C219+F219+I219+L219+O219+R219+U219</f>
        <v>30024.550000000003</v>
      </c>
      <c r="X219" s="86">
        <f>+D219+G219+J219+M219+P219+S219+V219</f>
        <v>22108.35</v>
      </c>
      <c r="Y219" s="85"/>
      <c r="Z219" s="82">
        <f>29055+5158+3687</f>
        <v>37900</v>
      </c>
      <c r="AA219" s="70"/>
      <c r="AB219" s="82">
        <f>+Z219</f>
        <v>37900</v>
      </c>
      <c r="AC219" s="82"/>
      <c r="AD219" s="68"/>
      <c r="AE219" s="68"/>
    </row>
    <row r="220" spans="1:31" x14ac:dyDescent="0.2">
      <c r="A220" s="88" t="s">
        <v>227</v>
      </c>
      <c r="B220" s="87" t="s">
        <v>226</v>
      </c>
      <c r="C220" s="85">
        <v>19601.07</v>
      </c>
      <c r="D220" s="85">
        <v>24760.85</v>
      </c>
      <c r="E220" s="85"/>
      <c r="F220" s="85">
        <v>21615.11</v>
      </c>
      <c r="G220" s="85">
        <v>24760.85</v>
      </c>
      <c r="H220" s="85"/>
      <c r="I220" s="85">
        <v>36988.42</v>
      </c>
      <c r="J220" s="85">
        <v>24760.85</v>
      </c>
      <c r="K220" s="85"/>
      <c r="L220" s="85">
        <v>29635.08</v>
      </c>
      <c r="M220" s="85">
        <v>24760.85</v>
      </c>
      <c r="N220" s="85"/>
      <c r="O220" s="85">
        <v>37496.25</v>
      </c>
      <c r="P220" s="85">
        <v>37141.25</v>
      </c>
      <c r="Q220" s="85"/>
      <c r="R220" s="85">
        <v>25285.65</v>
      </c>
      <c r="S220" s="85">
        <v>24760.85</v>
      </c>
      <c r="T220" s="85"/>
      <c r="U220" s="85">
        <v>24351.84</v>
      </c>
      <c r="V220" s="85">
        <v>24760.85</v>
      </c>
      <c r="W220" s="86">
        <f>+C220+F220+I220+L220+O220+R220+U220</f>
        <v>194973.41999999998</v>
      </c>
      <c r="X220" s="86">
        <f>+D220+G220+J220+M220+P220+S220+V220</f>
        <v>185706.35</v>
      </c>
      <c r="Y220" s="85"/>
      <c r="Z220" s="82">
        <f>270263+51628</f>
        <v>321891</v>
      </c>
      <c r="AA220" s="70"/>
      <c r="AB220" s="82">
        <f>+Z220</f>
        <v>321891</v>
      </c>
      <c r="AC220" s="82"/>
      <c r="AD220" s="68"/>
      <c r="AE220" s="68"/>
    </row>
    <row r="221" spans="1:31" x14ac:dyDescent="0.2">
      <c r="A221" s="88" t="s">
        <v>225</v>
      </c>
      <c r="B221" s="87" t="s">
        <v>224</v>
      </c>
      <c r="C221" s="85">
        <v>1869.96</v>
      </c>
      <c r="D221" s="85">
        <v>1980.85</v>
      </c>
      <c r="E221" s="85"/>
      <c r="F221" s="85">
        <v>1834.22</v>
      </c>
      <c r="G221" s="85">
        <v>1980.85</v>
      </c>
      <c r="H221" s="85"/>
      <c r="I221" s="85">
        <v>255.57</v>
      </c>
      <c r="J221" s="85">
        <v>1980.85</v>
      </c>
      <c r="K221" s="85"/>
      <c r="L221" s="85">
        <v>2169.23</v>
      </c>
      <c r="M221" s="85">
        <v>1980.85</v>
      </c>
      <c r="N221" s="85"/>
      <c r="O221" s="85">
        <v>2992.47</v>
      </c>
      <c r="P221" s="85">
        <v>2971.25</v>
      </c>
      <c r="Q221" s="85"/>
      <c r="R221" s="85">
        <v>1979</v>
      </c>
      <c r="S221" s="85">
        <v>1980.85</v>
      </c>
      <c r="T221" s="85"/>
      <c r="U221" s="85">
        <v>1957.82</v>
      </c>
      <c r="V221" s="85">
        <v>1980.85</v>
      </c>
      <c r="W221" s="86">
        <f>+C221+F221+I221+L221+O221+R221+U221</f>
        <v>13058.27</v>
      </c>
      <c r="X221" s="86">
        <f>+D221+G221+J221+M221+P221+S221+V221</f>
        <v>14856.35</v>
      </c>
      <c r="Y221" s="85"/>
      <c r="Z221" s="82">
        <f>21621+4130</f>
        <v>25751</v>
      </c>
      <c r="AA221" s="70"/>
      <c r="AB221" s="82">
        <f>+Z221</f>
        <v>25751</v>
      </c>
      <c r="AC221" s="82"/>
      <c r="AD221" s="68"/>
      <c r="AE221" s="68"/>
    </row>
    <row r="222" spans="1:31" x14ac:dyDescent="0.2">
      <c r="A222" s="88" t="s">
        <v>223</v>
      </c>
      <c r="B222" s="87" t="s">
        <v>222</v>
      </c>
      <c r="C222" s="85">
        <v>6989.9</v>
      </c>
      <c r="D222" s="85">
        <v>10856.4</v>
      </c>
      <c r="E222" s="85"/>
      <c r="F222" s="85">
        <v>6989.9</v>
      </c>
      <c r="G222" s="85">
        <v>10856.4</v>
      </c>
      <c r="H222" s="85"/>
      <c r="I222" s="85">
        <v>7085.65</v>
      </c>
      <c r="J222" s="85">
        <v>10856.42</v>
      </c>
      <c r="K222" s="85"/>
      <c r="L222" s="85">
        <v>8790.32</v>
      </c>
      <c r="M222" s="85">
        <v>10856.42</v>
      </c>
      <c r="N222" s="85"/>
      <c r="O222" s="85">
        <v>10190.52</v>
      </c>
      <c r="P222" s="85">
        <v>10856.42</v>
      </c>
      <c r="Q222" s="85"/>
      <c r="R222" s="85">
        <v>10190.56</v>
      </c>
      <c r="S222" s="85">
        <v>10856.42</v>
      </c>
      <c r="T222" s="85"/>
      <c r="U222" s="85">
        <v>10190.56</v>
      </c>
      <c r="V222" s="85">
        <v>10856.42</v>
      </c>
      <c r="W222" s="86">
        <f>+C222+F222+I222+L222+O222+R222+U222</f>
        <v>60427.409999999989</v>
      </c>
      <c r="X222" s="86">
        <f>+D222+G222+J222+M222+P222+S222+V222</f>
        <v>75994.899999999994</v>
      </c>
      <c r="Y222" s="85"/>
      <c r="Z222" s="82">
        <f>122947+5856+1474</f>
        <v>130277</v>
      </c>
      <c r="AA222" s="70"/>
      <c r="AB222" s="82">
        <f>+Z222</f>
        <v>130277</v>
      </c>
      <c r="AC222" s="82"/>
      <c r="AD222" s="68"/>
      <c r="AE222" s="68"/>
    </row>
    <row r="223" spans="1:31" x14ac:dyDescent="0.2">
      <c r="A223" s="88" t="s">
        <v>221</v>
      </c>
      <c r="B223" s="87" t="s">
        <v>220</v>
      </c>
      <c r="C223" s="85">
        <v>236.72</v>
      </c>
      <c r="D223" s="85">
        <v>458.46</v>
      </c>
      <c r="E223" s="85"/>
      <c r="F223" s="85">
        <v>227.63</v>
      </c>
      <c r="G223" s="85">
        <v>458.46</v>
      </c>
      <c r="H223" s="85"/>
      <c r="I223" s="85">
        <v>277.13</v>
      </c>
      <c r="J223" s="85">
        <v>458.46</v>
      </c>
      <c r="K223" s="85"/>
      <c r="L223" s="85">
        <v>258.73</v>
      </c>
      <c r="M223" s="85">
        <v>458.46</v>
      </c>
      <c r="N223" s="85"/>
      <c r="O223" s="85">
        <v>333.3</v>
      </c>
      <c r="P223" s="85">
        <v>687.7</v>
      </c>
      <c r="Q223" s="85"/>
      <c r="R223" s="85">
        <v>221.94</v>
      </c>
      <c r="S223" s="85">
        <v>458.46</v>
      </c>
      <c r="T223" s="85"/>
      <c r="U223" s="85">
        <v>208.98</v>
      </c>
      <c r="V223" s="85">
        <v>458.46</v>
      </c>
      <c r="W223" s="86">
        <f>+C223+F223+I223+L223+O223+R223+U223</f>
        <v>1764.43</v>
      </c>
      <c r="X223" s="86">
        <f>+D223+G223+J223+M223+P223+S223+V223</f>
        <v>3438.46</v>
      </c>
      <c r="Y223" s="85"/>
      <c r="Z223" s="82">
        <f>4974+986</f>
        <v>5960</v>
      </c>
      <c r="AA223" s="70"/>
      <c r="AB223" s="82">
        <f>+Z223</f>
        <v>5960</v>
      </c>
      <c r="AC223" s="82"/>
      <c r="AD223" s="68"/>
    </row>
    <row r="224" spans="1:31" x14ac:dyDescent="0.2">
      <c r="A224" s="88">
        <v>6030250</v>
      </c>
      <c r="B224" s="87" t="s">
        <v>219</v>
      </c>
      <c r="C224" s="85"/>
      <c r="D224" s="85"/>
      <c r="E224" s="85"/>
      <c r="F224" s="85">
        <v>1222.9100000000001</v>
      </c>
      <c r="G224" s="85"/>
      <c r="H224" s="85"/>
      <c r="I224" s="85">
        <v>678.75</v>
      </c>
      <c r="J224" s="85"/>
      <c r="K224" s="85"/>
      <c r="L224" s="85">
        <v>364</v>
      </c>
      <c r="M224" s="85"/>
      <c r="N224" s="85"/>
      <c r="O224" s="85">
        <v>343</v>
      </c>
      <c r="P224" s="85"/>
      <c r="Q224" s="85"/>
      <c r="R224" s="85">
        <v>89.7</v>
      </c>
      <c r="S224" s="85">
        <v>0</v>
      </c>
      <c r="T224" s="85"/>
      <c r="U224" s="85">
        <v>0</v>
      </c>
      <c r="V224" s="85">
        <v>0</v>
      </c>
      <c r="W224" s="86">
        <f>+C224+F224+I224+L224+O224+R224+U224</f>
        <v>2698.3599999999997</v>
      </c>
      <c r="X224" s="86">
        <f>+D224+G224+J224+M224+P224+S224+V224</f>
        <v>0</v>
      </c>
      <c r="Y224" s="85"/>
      <c r="Z224" s="82"/>
      <c r="AA224" s="70"/>
      <c r="AB224" s="82"/>
      <c r="AC224" s="82"/>
      <c r="AD224" s="68"/>
    </row>
    <row r="225" spans="1:31" x14ac:dyDescent="0.2">
      <c r="A225" s="88" t="s">
        <v>218</v>
      </c>
      <c r="B225" s="87" t="s">
        <v>217</v>
      </c>
      <c r="C225" s="85">
        <v>1031.71</v>
      </c>
      <c r="D225" s="85">
        <v>34.85</v>
      </c>
      <c r="E225" s="85"/>
      <c r="F225" s="85">
        <v>1031.71</v>
      </c>
      <c r="G225" s="85">
        <v>34.85</v>
      </c>
      <c r="H225" s="85"/>
      <c r="I225" s="85">
        <v>1031.71</v>
      </c>
      <c r="J225" s="85">
        <v>34.83</v>
      </c>
      <c r="K225" s="85"/>
      <c r="L225" s="85">
        <v>1031.71</v>
      </c>
      <c r="M225" s="85">
        <v>34.83</v>
      </c>
      <c r="N225" s="85"/>
      <c r="O225" s="85">
        <v>1031.71</v>
      </c>
      <c r="P225" s="85">
        <v>34.83</v>
      </c>
      <c r="Q225" s="85"/>
      <c r="R225" s="85">
        <v>34.08</v>
      </c>
      <c r="S225" s="85">
        <v>34.83</v>
      </c>
      <c r="T225" s="85"/>
      <c r="U225" s="85">
        <v>85.06</v>
      </c>
      <c r="V225" s="85">
        <v>34.83</v>
      </c>
      <c r="W225" s="86">
        <f>+C225+F225+I225+L225+O225+R225+U225</f>
        <v>5277.6900000000005</v>
      </c>
      <c r="X225" s="86">
        <f>+D225+G225+J225+M225+P225+S225+V225</f>
        <v>243.84999999999997</v>
      </c>
      <c r="Y225" s="85"/>
      <c r="Z225" s="82">
        <f>351+67</f>
        <v>418</v>
      </c>
      <c r="AA225" s="70"/>
      <c r="AB225" s="82">
        <f>+Z225</f>
        <v>418</v>
      </c>
      <c r="AC225" s="82"/>
      <c r="AD225" s="68"/>
      <c r="AE225" s="68"/>
    </row>
    <row r="226" spans="1:31" x14ac:dyDescent="0.2">
      <c r="A226" s="88" t="s">
        <v>216</v>
      </c>
      <c r="B226" s="87" t="s">
        <v>140</v>
      </c>
      <c r="C226" s="85">
        <v>1172</v>
      </c>
      <c r="D226" s="85">
        <v>13594.29</v>
      </c>
      <c r="E226" s="85"/>
      <c r="F226" s="85">
        <v>13214.75</v>
      </c>
      <c r="G226" s="85">
        <v>27188.57</v>
      </c>
      <c r="H226" s="85"/>
      <c r="I226" s="85">
        <v>41002.639999999999</v>
      </c>
      <c r="J226" s="85">
        <v>27188.57</v>
      </c>
      <c r="K226" s="85"/>
      <c r="L226" s="85">
        <v>35201.39</v>
      </c>
      <c r="M226" s="85">
        <v>27188.57</v>
      </c>
      <c r="N226" s="85"/>
      <c r="O226" s="85">
        <v>46186.51</v>
      </c>
      <c r="P226" s="85">
        <v>40782.86</v>
      </c>
      <c r="Q226" s="85"/>
      <c r="R226" s="85">
        <v>17690.63</v>
      </c>
      <c r="S226" s="85">
        <v>27188.57</v>
      </c>
      <c r="T226" s="85"/>
      <c r="U226" s="85">
        <v>12961.13</v>
      </c>
      <c r="V226" s="85">
        <v>27188.57</v>
      </c>
      <c r="W226" s="86">
        <f>+C226+F226+I226+L226+O226+R226+U226</f>
        <v>167429.05000000002</v>
      </c>
      <c r="X226" s="86">
        <f>+D226+G226+J226+M226+P226+S226+V226</f>
        <v>190320</v>
      </c>
      <c r="Y226" s="85"/>
      <c r="Z226" s="82">
        <v>190320</v>
      </c>
      <c r="AA226" s="70"/>
      <c r="AB226" s="82">
        <f>+Z226</f>
        <v>190320</v>
      </c>
      <c r="AC226" s="82"/>
      <c r="AD226" s="68"/>
    </row>
    <row r="227" spans="1:31" x14ac:dyDescent="0.2">
      <c r="A227" s="88" t="s">
        <v>215</v>
      </c>
      <c r="B227" s="87" t="s">
        <v>139</v>
      </c>
      <c r="C227" s="85">
        <v>90.33</v>
      </c>
      <c r="D227" s="85">
        <v>1160.71</v>
      </c>
      <c r="E227" s="85"/>
      <c r="F227" s="85">
        <v>1314.56</v>
      </c>
      <c r="G227" s="85">
        <v>2321.4299999999998</v>
      </c>
      <c r="H227" s="85"/>
      <c r="I227" s="85">
        <v>3615.6</v>
      </c>
      <c r="J227" s="85">
        <v>2321.4299999999998</v>
      </c>
      <c r="K227" s="85"/>
      <c r="L227" s="85">
        <v>3110.66</v>
      </c>
      <c r="M227" s="85">
        <v>2321.4299999999998</v>
      </c>
      <c r="N227" s="85"/>
      <c r="O227" s="85">
        <v>3437.67</v>
      </c>
      <c r="P227" s="85">
        <v>3482.14</v>
      </c>
      <c r="Q227" s="85"/>
      <c r="R227" s="85">
        <v>1469.33</v>
      </c>
      <c r="S227" s="85">
        <v>2321.4299999999998</v>
      </c>
      <c r="T227" s="85"/>
      <c r="U227" s="85">
        <v>1100.4000000000001</v>
      </c>
      <c r="V227" s="85">
        <v>2321.4299999999998</v>
      </c>
      <c r="W227" s="86">
        <f>+C227+F227+I227+L227+O227+R227+U227</f>
        <v>14138.55</v>
      </c>
      <c r="X227" s="86">
        <f>+D227+G227+J227+M227+P227+S227+V227</f>
        <v>16250</v>
      </c>
      <c r="Y227" s="85"/>
      <c r="Z227" s="82">
        <v>16250</v>
      </c>
      <c r="AA227" s="70"/>
      <c r="AB227" s="82">
        <f>+Z227</f>
        <v>16250</v>
      </c>
      <c r="AC227" s="82"/>
      <c r="AD227" s="68"/>
    </row>
    <row r="228" spans="1:31" x14ac:dyDescent="0.2">
      <c r="A228" s="88" t="s">
        <v>214</v>
      </c>
      <c r="B228" s="87" t="s">
        <v>137</v>
      </c>
      <c r="C228" s="85"/>
      <c r="D228" s="85">
        <v>8000</v>
      </c>
      <c r="E228" s="85"/>
      <c r="F228" s="85">
        <v>17715.189999999999</v>
      </c>
      <c r="G228" s="85"/>
      <c r="H228" s="85"/>
      <c r="I228" s="85"/>
      <c r="J228" s="85"/>
      <c r="K228" s="85"/>
      <c r="L228" s="85"/>
      <c r="M228" s="85"/>
      <c r="N228" s="85"/>
      <c r="O228" s="85">
        <v>-460.7</v>
      </c>
      <c r="P228" s="85"/>
      <c r="Q228" s="85"/>
      <c r="R228" s="85">
        <v>0</v>
      </c>
      <c r="S228" s="85">
        <v>0</v>
      </c>
      <c r="T228" s="85"/>
      <c r="U228" s="85">
        <v>0</v>
      </c>
      <c r="V228" s="85">
        <v>0</v>
      </c>
      <c r="W228" s="86">
        <f>+C228+F228+I228+L228+O228+R228+U228</f>
        <v>17254.489999999998</v>
      </c>
      <c r="X228" s="86">
        <f>+D228+G228+J228+M228+P228+S228+V228</f>
        <v>8000</v>
      </c>
      <c r="Y228" s="85"/>
      <c r="Z228" s="82">
        <v>8000</v>
      </c>
      <c r="AA228" s="70"/>
      <c r="AB228" s="82">
        <f>+Z228</f>
        <v>8000</v>
      </c>
      <c r="AC228" s="82"/>
      <c r="AD228" s="68"/>
    </row>
    <row r="229" spans="1:31" x14ac:dyDescent="0.2">
      <c r="A229" s="88" t="s">
        <v>213</v>
      </c>
      <c r="B229" s="87" t="s">
        <v>136</v>
      </c>
      <c r="C229" s="85">
        <v>219.7</v>
      </c>
      <c r="D229" s="85">
        <v>540.79999999999995</v>
      </c>
      <c r="E229" s="85"/>
      <c r="F229" s="85">
        <v>219.7</v>
      </c>
      <c r="G229" s="85">
        <v>540.80999999999995</v>
      </c>
      <c r="H229" s="85"/>
      <c r="I229" s="85">
        <v>219.7</v>
      </c>
      <c r="J229" s="85">
        <v>540.83000000000004</v>
      </c>
      <c r="K229" s="85"/>
      <c r="L229" s="85">
        <v>219.7</v>
      </c>
      <c r="M229" s="85">
        <v>540.83000000000004</v>
      </c>
      <c r="N229" s="85"/>
      <c r="O229" s="85">
        <v>219.7</v>
      </c>
      <c r="P229" s="85">
        <v>540.83000000000004</v>
      </c>
      <c r="Q229" s="85"/>
      <c r="R229" s="85">
        <v>529.07000000000005</v>
      </c>
      <c r="S229" s="85">
        <v>540.83000000000004</v>
      </c>
      <c r="T229" s="85"/>
      <c r="U229" s="85">
        <v>1320.58</v>
      </c>
      <c r="V229" s="85">
        <v>540.83000000000004</v>
      </c>
      <c r="W229" s="86">
        <f>+C229+F229+I229+L229+O229+R229+U229</f>
        <v>2948.15</v>
      </c>
      <c r="X229" s="86">
        <f>+D229+G229+J229+M229+P229+S229+V229</f>
        <v>3785.7599999999998</v>
      </c>
      <c r="Y229" s="85"/>
      <c r="Z229" s="82">
        <v>6489.91</v>
      </c>
      <c r="AA229" s="70"/>
      <c r="AB229" s="82">
        <f>+Z229</f>
        <v>6489.91</v>
      </c>
      <c r="AC229" s="82"/>
      <c r="AD229" s="68"/>
      <c r="AE229" s="68"/>
    </row>
    <row r="230" spans="1:31" x14ac:dyDescent="0.2">
      <c r="A230" s="88" t="s">
        <v>212</v>
      </c>
      <c r="B230" s="87" t="s">
        <v>134</v>
      </c>
      <c r="C230" s="85">
        <v>1518.72</v>
      </c>
      <c r="D230" s="85">
        <v>1291.6500000000001</v>
      </c>
      <c r="E230" s="85"/>
      <c r="F230" s="85">
        <v>1284.5</v>
      </c>
      <c r="G230" s="85">
        <v>1291.6500000000001</v>
      </c>
      <c r="H230" s="85"/>
      <c r="I230" s="85">
        <v>1908.02</v>
      </c>
      <c r="J230" s="85">
        <v>1291.67</v>
      </c>
      <c r="K230" s="85"/>
      <c r="L230" s="85">
        <v>1725.89</v>
      </c>
      <c r="M230" s="85">
        <v>1291.67</v>
      </c>
      <c r="N230" s="85"/>
      <c r="O230" s="85">
        <v>762.8</v>
      </c>
      <c r="P230" s="85">
        <v>1291.67</v>
      </c>
      <c r="Q230" s="85"/>
      <c r="R230" s="85">
        <v>2693.69</v>
      </c>
      <c r="S230" s="85">
        <v>1291.67</v>
      </c>
      <c r="T230" s="85"/>
      <c r="U230" s="85">
        <v>2327.33</v>
      </c>
      <c r="V230" s="85">
        <v>1291.67</v>
      </c>
      <c r="W230" s="86">
        <f>+C230+F230+I230+L230+O230+R230+U230</f>
        <v>12220.95</v>
      </c>
      <c r="X230" s="86">
        <f>+D230+G230+J230+M230+P230+S230+V230</f>
        <v>9041.6500000000015</v>
      </c>
      <c r="Y230" s="85"/>
      <c r="Z230" s="82">
        <v>15500</v>
      </c>
      <c r="AA230" s="70"/>
      <c r="AB230" s="82">
        <f>+Z230</f>
        <v>15500</v>
      </c>
      <c r="AC230" s="82"/>
      <c r="AD230" s="68"/>
    </row>
    <row r="231" spans="1:31" x14ac:dyDescent="0.2">
      <c r="A231" s="88" t="s">
        <v>211</v>
      </c>
      <c r="B231" s="87" t="s">
        <v>132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>
        <v>0</v>
      </c>
      <c r="S231" s="85">
        <v>0</v>
      </c>
      <c r="T231" s="85"/>
      <c r="U231" s="85">
        <v>0</v>
      </c>
      <c r="V231" s="85">
        <v>0</v>
      </c>
      <c r="W231" s="86">
        <f>+C231+F231+I231+L231+O231+R231+U231</f>
        <v>0</v>
      </c>
      <c r="X231" s="86">
        <f>+D231+G231+J231+M231+P231+S231+V231</f>
        <v>0</v>
      </c>
      <c r="Y231" s="85"/>
      <c r="Z231" s="82"/>
      <c r="AA231" s="70"/>
      <c r="AB231" s="82">
        <f>+Z231</f>
        <v>0</v>
      </c>
      <c r="AC231" s="82"/>
      <c r="AD231" s="68"/>
    </row>
    <row r="232" spans="1:31" x14ac:dyDescent="0.2">
      <c r="A232" s="88" t="s">
        <v>210</v>
      </c>
      <c r="B232" s="87" t="s">
        <v>209</v>
      </c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>
        <v>0</v>
      </c>
      <c r="S232" s="85">
        <v>0</v>
      </c>
      <c r="T232" s="85"/>
      <c r="U232" s="85">
        <v>0</v>
      </c>
      <c r="V232" s="85">
        <v>0</v>
      </c>
      <c r="W232" s="86">
        <f>+C232+F232+I232+L232+O232+R232+U232</f>
        <v>0</v>
      </c>
      <c r="X232" s="86">
        <f>+D232+G232+J232+M232+P232+S232+V232</f>
        <v>0</v>
      </c>
      <c r="Y232" s="85"/>
      <c r="Z232" s="82"/>
      <c r="AA232" s="70"/>
      <c r="AB232" s="82">
        <f>+Z232</f>
        <v>0</v>
      </c>
      <c r="AC232" s="82"/>
      <c r="AD232" s="68"/>
    </row>
    <row r="233" spans="1:31" x14ac:dyDescent="0.2">
      <c r="A233" s="88" t="s">
        <v>208</v>
      </c>
      <c r="B233" s="87" t="s">
        <v>130</v>
      </c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>
        <v>0</v>
      </c>
      <c r="S233" s="85">
        <v>0</v>
      </c>
      <c r="T233" s="85"/>
      <c r="U233" s="85">
        <v>0</v>
      </c>
      <c r="V233" s="85">
        <v>0</v>
      </c>
      <c r="W233" s="86">
        <f>+C233+F233+I233+L233+O233+R233+U233</f>
        <v>0</v>
      </c>
      <c r="X233" s="86">
        <f>+D233+G233+J233+M233+P233+S233+V233</f>
        <v>0</v>
      </c>
      <c r="Y233" s="85"/>
      <c r="Z233" s="82"/>
      <c r="AA233" s="70"/>
      <c r="AB233" s="82">
        <f>+Z233</f>
        <v>0</v>
      </c>
      <c r="AC233" s="82"/>
      <c r="AD233" s="68"/>
    </row>
    <row r="234" spans="1:31" x14ac:dyDescent="0.2">
      <c r="A234" s="88" t="s">
        <v>207</v>
      </c>
      <c r="B234" s="87" t="s">
        <v>126</v>
      </c>
      <c r="C234" s="85">
        <v>7062.04</v>
      </c>
      <c r="D234" s="85">
        <v>4583.3500000000004</v>
      </c>
      <c r="E234" s="85"/>
      <c r="F234" s="85">
        <v>4529.91</v>
      </c>
      <c r="G234" s="85">
        <v>4583.3500000000004</v>
      </c>
      <c r="H234" s="85"/>
      <c r="I234" s="85">
        <v>5724.3</v>
      </c>
      <c r="J234" s="85">
        <v>4583.33</v>
      </c>
      <c r="K234" s="85"/>
      <c r="L234" s="85">
        <v>1949.9</v>
      </c>
      <c r="M234" s="85">
        <v>4583.33</v>
      </c>
      <c r="N234" s="85"/>
      <c r="O234" s="85">
        <v>5673.95</v>
      </c>
      <c r="P234" s="85">
        <v>4583.33</v>
      </c>
      <c r="Q234" s="85"/>
      <c r="R234" s="85">
        <v>5414.47</v>
      </c>
      <c r="S234" s="85">
        <v>4583.33</v>
      </c>
      <c r="T234" s="85"/>
      <c r="U234" s="85">
        <v>4038.19</v>
      </c>
      <c r="V234" s="85">
        <v>4583.33</v>
      </c>
      <c r="W234" s="86">
        <f>+C234+F234+I234+L234+O234+R234+U234</f>
        <v>34392.76</v>
      </c>
      <c r="X234" s="86">
        <f>+D234+G234+J234+M234+P234+S234+V234</f>
        <v>32083.350000000006</v>
      </c>
      <c r="Y234" s="85"/>
      <c r="Z234" s="82">
        <v>55000</v>
      </c>
      <c r="AA234" s="70"/>
      <c r="AB234" s="82">
        <f>+Z234</f>
        <v>55000</v>
      </c>
      <c r="AC234" s="82"/>
      <c r="AD234" s="68"/>
    </row>
    <row r="235" spans="1:31" x14ac:dyDescent="0.2">
      <c r="A235" s="88">
        <v>6030605</v>
      </c>
      <c r="B235" s="87" t="s">
        <v>206</v>
      </c>
      <c r="C235" s="85">
        <v>298.3</v>
      </c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>
        <v>0</v>
      </c>
      <c r="S235" s="85">
        <v>0</v>
      </c>
      <c r="T235" s="85"/>
      <c r="U235" s="85">
        <v>0</v>
      </c>
      <c r="V235" s="85">
        <v>0</v>
      </c>
      <c r="W235" s="86">
        <f>+C235+F235+I235+L235+O235+R235+U235</f>
        <v>298.3</v>
      </c>
      <c r="X235" s="86">
        <f>+D235+G235+J235+M235+P235+S235+V235</f>
        <v>0</v>
      </c>
      <c r="Y235" s="85"/>
      <c r="Z235" s="82"/>
      <c r="AA235" s="70"/>
      <c r="AB235" s="82"/>
      <c r="AC235" s="82"/>
      <c r="AD235" s="68"/>
    </row>
    <row r="236" spans="1:31" x14ac:dyDescent="0.2">
      <c r="A236" s="88" t="s">
        <v>205</v>
      </c>
      <c r="B236" s="87" t="s">
        <v>157</v>
      </c>
      <c r="C236" s="85">
        <v>3759.11</v>
      </c>
      <c r="D236" s="85">
        <v>2083.35</v>
      </c>
      <c r="E236" s="85"/>
      <c r="F236" s="85">
        <v>10772.36</v>
      </c>
      <c r="G236" s="85">
        <v>2083.35</v>
      </c>
      <c r="H236" s="85"/>
      <c r="I236" s="85">
        <v>1515.36</v>
      </c>
      <c r="J236" s="85">
        <v>2083.33</v>
      </c>
      <c r="K236" s="85"/>
      <c r="L236" s="85">
        <v>2177.11</v>
      </c>
      <c r="M236" s="85">
        <v>2083.33</v>
      </c>
      <c r="N236" s="85"/>
      <c r="O236" s="85">
        <v>2329.7199999999998</v>
      </c>
      <c r="P236" s="85">
        <v>2083.33</v>
      </c>
      <c r="Q236" s="85"/>
      <c r="R236" s="85">
        <v>2467.6799999999998</v>
      </c>
      <c r="S236" s="85">
        <v>2083.33</v>
      </c>
      <c r="T236" s="85"/>
      <c r="U236" s="85">
        <v>5901.07</v>
      </c>
      <c r="V236" s="85">
        <v>2083.33</v>
      </c>
      <c r="W236" s="86">
        <f>+C236+F236+I236+L236+O236+R236+U236</f>
        <v>28922.410000000003</v>
      </c>
      <c r="X236" s="86">
        <f>+D236+G236+J236+M236+P236+S236+V236</f>
        <v>14583.35</v>
      </c>
      <c r="Y236" s="85"/>
      <c r="Z236" s="82">
        <v>25000</v>
      </c>
      <c r="AA236" s="70"/>
      <c r="AB236" s="82">
        <f>+Z236</f>
        <v>25000</v>
      </c>
      <c r="AC236" s="82"/>
      <c r="AD236" s="68"/>
    </row>
    <row r="237" spans="1:31" x14ac:dyDescent="0.2">
      <c r="A237" s="88" t="s">
        <v>204</v>
      </c>
      <c r="B237" s="87" t="s">
        <v>203</v>
      </c>
      <c r="C237" s="85">
        <v>625</v>
      </c>
      <c r="D237" s="85">
        <v>1666.65</v>
      </c>
      <c r="E237" s="85"/>
      <c r="F237" s="85">
        <v>75</v>
      </c>
      <c r="G237" s="85">
        <v>1666.65</v>
      </c>
      <c r="H237" s="85"/>
      <c r="I237" s="85">
        <v>75</v>
      </c>
      <c r="J237" s="85">
        <v>1666.67</v>
      </c>
      <c r="K237" s="85"/>
      <c r="L237" s="85"/>
      <c r="M237" s="85">
        <v>1666.67</v>
      </c>
      <c r="N237" s="85"/>
      <c r="O237" s="85">
        <v>808</v>
      </c>
      <c r="P237" s="85">
        <v>1666.67</v>
      </c>
      <c r="Q237" s="85"/>
      <c r="R237" s="85">
        <v>171</v>
      </c>
      <c r="S237" s="85">
        <v>1666.67</v>
      </c>
      <c r="T237" s="85"/>
      <c r="U237" s="85">
        <v>250</v>
      </c>
      <c r="V237" s="85">
        <v>1666.67</v>
      </c>
      <c r="W237" s="86">
        <f>+C237+F237+I237+L237+O237+R237+U237</f>
        <v>2004</v>
      </c>
      <c r="X237" s="86">
        <f>+D237+G237+J237+M237+P237+S237+V237</f>
        <v>11666.650000000001</v>
      </c>
      <c r="Y237" s="85"/>
      <c r="Z237" s="82">
        <v>20000</v>
      </c>
      <c r="AA237" s="70"/>
      <c r="AB237" s="82">
        <f>+Z237</f>
        <v>20000</v>
      </c>
      <c r="AC237" s="82"/>
      <c r="AD237" s="68"/>
    </row>
    <row r="238" spans="1:31" x14ac:dyDescent="0.2">
      <c r="A238" s="88" t="s">
        <v>202</v>
      </c>
      <c r="B238" s="87" t="s">
        <v>122</v>
      </c>
      <c r="C238" s="85">
        <v>11320.65</v>
      </c>
      <c r="D238" s="85">
        <v>12500</v>
      </c>
      <c r="E238" s="85"/>
      <c r="F238" s="85">
        <v>14368.38</v>
      </c>
      <c r="G238" s="85">
        <v>12500</v>
      </c>
      <c r="H238" s="85"/>
      <c r="I238" s="85">
        <v>11320.65</v>
      </c>
      <c r="J238" s="85">
        <v>12500</v>
      </c>
      <c r="K238" s="85"/>
      <c r="L238" s="85">
        <v>11320.65</v>
      </c>
      <c r="M238" s="85">
        <v>12500</v>
      </c>
      <c r="N238" s="85"/>
      <c r="O238" s="85">
        <v>11320.65</v>
      </c>
      <c r="P238" s="85">
        <v>12500</v>
      </c>
      <c r="Q238" s="85"/>
      <c r="R238" s="85">
        <v>11320.65</v>
      </c>
      <c r="S238" s="85">
        <v>12500</v>
      </c>
      <c r="T238" s="85"/>
      <c r="U238" s="85">
        <v>11320.65</v>
      </c>
      <c r="V238" s="85">
        <v>12500</v>
      </c>
      <c r="W238" s="86">
        <f>+C238+F238+I238+L238+O238+R238+U238</f>
        <v>82292.28</v>
      </c>
      <c r="X238" s="86">
        <f>+D238+G238+J238+M238+P238+S238+V238</f>
        <v>87500</v>
      </c>
      <c r="Y238" s="85"/>
      <c r="Z238" s="82">
        <v>150000</v>
      </c>
      <c r="AA238" s="70"/>
      <c r="AB238" s="82">
        <f>+Z238</f>
        <v>150000</v>
      </c>
      <c r="AC238" s="82"/>
      <c r="AD238" s="68"/>
    </row>
    <row r="239" spans="1:31" x14ac:dyDescent="0.2">
      <c r="A239" s="88" t="s">
        <v>201</v>
      </c>
      <c r="B239" s="87" t="s">
        <v>120</v>
      </c>
      <c r="C239" s="85">
        <v>48</v>
      </c>
      <c r="D239" s="85">
        <v>83.35</v>
      </c>
      <c r="E239" s="85"/>
      <c r="F239" s="85">
        <v>1290</v>
      </c>
      <c r="G239" s="85">
        <v>83.35</v>
      </c>
      <c r="H239" s="85"/>
      <c r="I239" s="85">
        <v>6556.94</v>
      </c>
      <c r="J239" s="85">
        <v>83.33</v>
      </c>
      <c r="K239" s="85"/>
      <c r="L239" s="85"/>
      <c r="M239" s="85">
        <v>83.33</v>
      </c>
      <c r="N239" s="85"/>
      <c r="O239" s="85">
        <v>-4880.96</v>
      </c>
      <c r="P239" s="85">
        <v>83.33</v>
      </c>
      <c r="Q239" s="85"/>
      <c r="R239" s="85">
        <v>0</v>
      </c>
      <c r="S239" s="85">
        <v>83.33</v>
      </c>
      <c r="T239" s="85"/>
      <c r="U239" s="85">
        <v>0</v>
      </c>
      <c r="V239" s="85">
        <v>83.33</v>
      </c>
      <c r="W239" s="86">
        <f>+C239+F239+I239+L239+O239+R239+U239</f>
        <v>3013.9799999999996</v>
      </c>
      <c r="X239" s="86">
        <f>+D239+G239+J239+M239+P239+S239+V239</f>
        <v>583.34999999999991</v>
      </c>
      <c r="Y239" s="85"/>
      <c r="Z239" s="82">
        <v>1000</v>
      </c>
      <c r="AA239" s="70"/>
      <c r="AB239" s="82">
        <f>+Z239</f>
        <v>1000</v>
      </c>
      <c r="AC239" s="82"/>
      <c r="AD239" s="68"/>
    </row>
    <row r="240" spans="1:31" x14ac:dyDescent="0.2">
      <c r="A240" s="88" t="s">
        <v>200</v>
      </c>
      <c r="B240" s="87" t="s">
        <v>199</v>
      </c>
      <c r="C240" s="85">
        <v>265</v>
      </c>
      <c r="D240" s="85">
        <v>1250</v>
      </c>
      <c r="E240" s="85"/>
      <c r="F240" s="85">
        <v>885</v>
      </c>
      <c r="G240" s="85">
        <v>1250</v>
      </c>
      <c r="H240" s="85"/>
      <c r="I240" s="85"/>
      <c r="J240" s="85">
        <v>1250</v>
      </c>
      <c r="K240" s="85"/>
      <c r="L240" s="85"/>
      <c r="M240" s="85">
        <v>1250</v>
      </c>
      <c r="N240" s="85"/>
      <c r="O240" s="85">
        <v>530.04999999999995</v>
      </c>
      <c r="P240" s="85">
        <v>1250</v>
      </c>
      <c r="Q240" s="85"/>
      <c r="R240" s="85">
        <v>5324.85</v>
      </c>
      <c r="S240" s="85">
        <v>1250</v>
      </c>
      <c r="T240" s="85"/>
      <c r="U240" s="85">
        <v>50</v>
      </c>
      <c r="V240" s="85">
        <v>1250</v>
      </c>
      <c r="W240" s="86">
        <f>+C240+F240+I240+L240+O240+R240+U240</f>
        <v>7054.9000000000005</v>
      </c>
      <c r="X240" s="86">
        <f>+D240+G240+J240+M240+P240+S240+V240</f>
        <v>8750</v>
      </c>
      <c r="Y240" s="85"/>
      <c r="Z240" s="82">
        <v>15000</v>
      </c>
      <c r="AA240" s="70"/>
      <c r="AB240" s="82">
        <f>+Z240</f>
        <v>15000</v>
      </c>
      <c r="AC240" s="82"/>
      <c r="AD240" s="68"/>
    </row>
    <row r="241" spans="1:30" x14ac:dyDescent="0.2">
      <c r="A241" s="88">
        <v>6031425</v>
      </c>
      <c r="B241" s="87" t="s">
        <v>198</v>
      </c>
      <c r="C241" s="85">
        <v>576.29999999999995</v>
      </c>
      <c r="D241" s="85"/>
      <c r="E241" s="85"/>
      <c r="F241" s="85">
        <v>0</v>
      </c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>
        <v>0</v>
      </c>
      <c r="S241" s="85">
        <v>0</v>
      </c>
      <c r="T241" s="85"/>
      <c r="U241" s="85">
        <v>0</v>
      </c>
      <c r="V241" s="85">
        <v>0</v>
      </c>
      <c r="W241" s="86">
        <f>+C241+F241+I241+L241+O241+R241+U241</f>
        <v>576.29999999999995</v>
      </c>
      <c r="X241" s="86">
        <f>+D241+G241+J241+M241+P241+S241+V241</f>
        <v>0</v>
      </c>
      <c r="Y241" s="85"/>
      <c r="Z241" s="82"/>
      <c r="AA241" s="70"/>
      <c r="AB241" s="82"/>
      <c r="AC241" s="82"/>
      <c r="AD241" s="68"/>
    </row>
    <row r="242" spans="1:30" x14ac:dyDescent="0.2">
      <c r="A242" s="88">
        <v>6031450</v>
      </c>
      <c r="B242" s="87" t="s">
        <v>197</v>
      </c>
      <c r="C242" s="85">
        <v>70</v>
      </c>
      <c r="D242" s="85"/>
      <c r="E242" s="85"/>
      <c r="F242" s="85">
        <v>580</v>
      </c>
      <c r="G242" s="85"/>
      <c r="H242" s="85"/>
      <c r="I242" s="85">
        <v>300</v>
      </c>
      <c r="J242" s="85"/>
      <c r="K242" s="85"/>
      <c r="L242" s="85"/>
      <c r="M242" s="85"/>
      <c r="N242" s="85"/>
      <c r="O242" s="85"/>
      <c r="P242" s="85"/>
      <c r="Q242" s="85"/>
      <c r="R242" s="85">
        <v>0</v>
      </c>
      <c r="S242" s="85">
        <v>0</v>
      </c>
      <c r="T242" s="85"/>
      <c r="U242" s="85">
        <v>0</v>
      </c>
      <c r="V242" s="85">
        <v>0</v>
      </c>
      <c r="W242" s="86">
        <f>+C242+F242+I242+L242+O242+R242+U242</f>
        <v>950</v>
      </c>
      <c r="X242" s="86">
        <f>+D242+G242+J242+M242+P242+S242+V242</f>
        <v>0</v>
      </c>
      <c r="Y242" s="85"/>
      <c r="Z242" s="82"/>
      <c r="AA242" s="70"/>
      <c r="AB242" s="82"/>
      <c r="AC242" s="82"/>
      <c r="AD242" s="68"/>
    </row>
    <row r="243" spans="1:30" x14ac:dyDescent="0.2">
      <c r="A243" s="88">
        <v>6031475</v>
      </c>
      <c r="B243" s="87" t="s">
        <v>196</v>
      </c>
      <c r="C243" s="85">
        <v>7102.03</v>
      </c>
      <c r="D243" s="85">
        <v>1166.6500000000001</v>
      </c>
      <c r="E243" s="85"/>
      <c r="F243" s="85">
        <v>1976</v>
      </c>
      <c r="G243" s="85">
        <v>1166.6500000000001</v>
      </c>
      <c r="H243" s="85"/>
      <c r="I243" s="85"/>
      <c r="J243" s="85">
        <v>1166.67</v>
      </c>
      <c r="K243" s="85"/>
      <c r="L243" s="85">
        <v>6406.54</v>
      </c>
      <c r="M243" s="85">
        <v>1166.67</v>
      </c>
      <c r="N243" s="85"/>
      <c r="O243" s="85">
        <v>5075.6000000000004</v>
      </c>
      <c r="P243" s="85">
        <v>1166.67</v>
      </c>
      <c r="Q243" s="85"/>
      <c r="R243" s="85">
        <v>1545.14</v>
      </c>
      <c r="S243" s="85">
        <v>1166.67</v>
      </c>
      <c r="T243" s="85"/>
      <c r="U243" s="85">
        <v>0</v>
      </c>
      <c r="V243" s="85">
        <v>1166.67</v>
      </c>
      <c r="W243" s="86">
        <f>+C243+F243+I243+L243+O243+R243+U243</f>
        <v>22105.309999999998</v>
      </c>
      <c r="X243" s="86">
        <f>+D243+G243+J243+M243+P243+S243+V243</f>
        <v>8166.6500000000005</v>
      </c>
      <c r="Y243" s="85"/>
      <c r="Z243" s="82">
        <v>14000</v>
      </c>
      <c r="AA243" s="70"/>
      <c r="AB243" s="82">
        <f>+Z243</f>
        <v>14000</v>
      </c>
      <c r="AC243" s="82"/>
      <c r="AD243" s="68"/>
    </row>
    <row r="244" spans="1:30" x14ac:dyDescent="0.2">
      <c r="A244" s="88" t="s">
        <v>195</v>
      </c>
      <c r="B244" s="87" t="s">
        <v>116</v>
      </c>
      <c r="C244" s="85">
        <v>1718.4</v>
      </c>
      <c r="D244" s="85">
        <v>1000</v>
      </c>
      <c r="E244" s="85"/>
      <c r="F244" s="85">
        <v>3470.43</v>
      </c>
      <c r="G244" s="85">
        <v>1000</v>
      </c>
      <c r="H244" s="85"/>
      <c r="I244" s="85">
        <v>2540.98</v>
      </c>
      <c r="J244" s="85">
        <v>1000</v>
      </c>
      <c r="K244" s="85"/>
      <c r="L244" s="85">
        <v>161.65</v>
      </c>
      <c r="M244" s="85">
        <v>1000</v>
      </c>
      <c r="N244" s="85"/>
      <c r="O244" s="85">
        <v>2073.59</v>
      </c>
      <c r="P244" s="85">
        <v>1000</v>
      </c>
      <c r="Q244" s="85"/>
      <c r="R244" s="85">
        <v>1148.49</v>
      </c>
      <c r="S244" s="85">
        <v>1000</v>
      </c>
      <c r="T244" s="85"/>
      <c r="U244" s="85">
        <v>415.79</v>
      </c>
      <c r="V244" s="85">
        <v>1000</v>
      </c>
      <c r="W244" s="86">
        <f>+C244+F244+I244+L244+O244+R244+U244</f>
        <v>11529.33</v>
      </c>
      <c r="X244" s="86">
        <f>+D244+G244+J244+M244+P244+S244+V244</f>
        <v>7000</v>
      </c>
      <c r="Y244" s="85"/>
      <c r="Z244" s="82">
        <v>12000</v>
      </c>
      <c r="AA244" s="70"/>
      <c r="AB244" s="82">
        <f>+Z244</f>
        <v>12000</v>
      </c>
      <c r="AC244" s="82"/>
      <c r="AD244" s="68"/>
    </row>
    <row r="245" spans="1:30" x14ac:dyDescent="0.2">
      <c r="A245" s="88">
        <v>6031550</v>
      </c>
      <c r="B245" s="87" t="s">
        <v>194</v>
      </c>
      <c r="C245" s="85">
        <v>3189.45</v>
      </c>
      <c r="D245" s="85">
        <v>666.65</v>
      </c>
      <c r="E245" s="85"/>
      <c r="F245" s="85">
        <v>395.18</v>
      </c>
      <c r="G245" s="85">
        <v>666.65</v>
      </c>
      <c r="H245" s="85"/>
      <c r="I245" s="85">
        <v>1778.78</v>
      </c>
      <c r="J245" s="85">
        <v>666.67</v>
      </c>
      <c r="K245" s="85"/>
      <c r="L245" s="85">
        <v>12100</v>
      </c>
      <c r="M245" s="85">
        <v>666.67</v>
      </c>
      <c r="N245" s="85"/>
      <c r="O245" s="85">
        <v>436.83</v>
      </c>
      <c r="P245" s="85">
        <v>666.67</v>
      </c>
      <c r="Q245" s="85"/>
      <c r="R245" s="85">
        <v>649.33000000000004</v>
      </c>
      <c r="S245" s="85">
        <v>666.67</v>
      </c>
      <c r="T245" s="85"/>
      <c r="U245" s="85">
        <v>90</v>
      </c>
      <c r="V245" s="85">
        <v>666.67</v>
      </c>
      <c r="W245" s="86">
        <f>+C245+F245+I245+L245+O245+R245+U245</f>
        <v>18639.570000000003</v>
      </c>
      <c r="X245" s="86">
        <f>+D245+G245+J245+M245+P245+S245+V245</f>
        <v>4666.6499999999996</v>
      </c>
      <c r="Y245" s="85"/>
      <c r="Z245" s="82">
        <v>8000</v>
      </c>
      <c r="AA245" s="70"/>
      <c r="AB245" s="82">
        <f>+Z245</f>
        <v>8000</v>
      </c>
      <c r="AC245" s="82"/>
      <c r="AD245" s="68"/>
    </row>
    <row r="246" spans="1:30" x14ac:dyDescent="0.2">
      <c r="A246" s="88">
        <v>6031600</v>
      </c>
      <c r="B246" s="87" t="s">
        <v>114</v>
      </c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6">
        <f>+C246+F246+I246+L246+O246+R246+U246</f>
        <v>0</v>
      </c>
      <c r="X246" s="86">
        <f>+D246+G246+J246+M246+P246+S246+V246</f>
        <v>0</v>
      </c>
      <c r="Y246" s="85"/>
      <c r="Z246" s="82"/>
      <c r="AA246" s="70"/>
      <c r="AB246" s="82"/>
      <c r="AC246" s="82"/>
      <c r="AD246" s="68"/>
    </row>
    <row r="247" spans="1:30" x14ac:dyDescent="0.2">
      <c r="A247" s="88" t="s">
        <v>193</v>
      </c>
      <c r="B247" s="87" t="s">
        <v>112</v>
      </c>
      <c r="C247" s="85">
        <v>777.56</v>
      </c>
      <c r="D247" s="85">
        <v>416.65</v>
      </c>
      <c r="E247" s="85"/>
      <c r="F247" s="85">
        <v>3302.88</v>
      </c>
      <c r="G247" s="85">
        <v>416.65</v>
      </c>
      <c r="H247" s="85"/>
      <c r="I247" s="85">
        <v>318.61</v>
      </c>
      <c r="J247" s="85">
        <v>416.67</v>
      </c>
      <c r="K247" s="85"/>
      <c r="L247" s="85">
        <v>0</v>
      </c>
      <c r="M247" s="85">
        <v>416.67</v>
      </c>
      <c r="N247" s="85"/>
      <c r="O247" s="85">
        <v>2507.8000000000002</v>
      </c>
      <c r="P247" s="85">
        <v>416.67</v>
      </c>
      <c r="Q247" s="85"/>
      <c r="R247" s="85">
        <v>2615.6999999999998</v>
      </c>
      <c r="S247" s="85">
        <v>416.67</v>
      </c>
      <c r="T247" s="85"/>
      <c r="U247" s="85">
        <v>95</v>
      </c>
      <c r="V247" s="85">
        <v>416.67</v>
      </c>
      <c r="W247" s="86">
        <f>+C247+F247+I247+L247+O247+R247+U247</f>
        <v>9617.5499999999993</v>
      </c>
      <c r="X247" s="86">
        <f>+D247+G247+J247+M247+P247+S247+V247</f>
        <v>2916.65</v>
      </c>
      <c r="Y247" s="85"/>
      <c r="Z247" s="82">
        <v>5000</v>
      </c>
      <c r="AA247" s="70"/>
      <c r="AB247" s="82">
        <f>+Z247</f>
        <v>5000</v>
      </c>
      <c r="AC247" s="82"/>
      <c r="AD247" s="68"/>
    </row>
    <row r="248" spans="1:30" x14ac:dyDescent="0.2">
      <c r="A248" s="88" t="s">
        <v>192</v>
      </c>
      <c r="B248" s="87" t="s">
        <v>108</v>
      </c>
      <c r="C248" s="85">
        <v>2979.26</v>
      </c>
      <c r="D248" s="85">
        <v>833.35</v>
      </c>
      <c r="E248" s="85"/>
      <c r="F248" s="85">
        <v>1679.35</v>
      </c>
      <c r="G248" s="85">
        <v>833.35</v>
      </c>
      <c r="H248" s="85"/>
      <c r="I248" s="85"/>
      <c r="J248" s="85">
        <v>833.33</v>
      </c>
      <c r="K248" s="85"/>
      <c r="L248" s="85"/>
      <c r="M248" s="85">
        <v>833.33</v>
      </c>
      <c r="N248" s="85"/>
      <c r="O248" s="85">
        <v>250</v>
      </c>
      <c r="P248" s="85">
        <v>833.33</v>
      </c>
      <c r="Q248" s="85"/>
      <c r="R248" s="85">
        <v>4370</v>
      </c>
      <c r="S248" s="85">
        <v>833.33</v>
      </c>
      <c r="T248" s="85"/>
      <c r="U248" s="85">
        <v>0</v>
      </c>
      <c r="V248" s="85">
        <v>833.33</v>
      </c>
      <c r="W248" s="86">
        <f>+C248+F248+I248+L248+O248+R248+U248</f>
        <v>9278.61</v>
      </c>
      <c r="X248" s="86">
        <f>+D248+G248+J248+M248+P248+S248+V248</f>
        <v>5833.35</v>
      </c>
      <c r="Y248" s="85"/>
      <c r="Z248" s="82">
        <v>10000</v>
      </c>
      <c r="AA248" s="70"/>
      <c r="AB248" s="82">
        <f>+Z248</f>
        <v>10000</v>
      </c>
      <c r="AC248" s="82"/>
      <c r="AD248" s="68"/>
    </row>
    <row r="249" spans="1:30" x14ac:dyDescent="0.2">
      <c r="A249" s="88" t="s">
        <v>191</v>
      </c>
      <c r="B249" s="87" t="s">
        <v>190</v>
      </c>
      <c r="C249" s="85">
        <v>680.17</v>
      </c>
      <c r="D249" s="85">
        <v>83.35</v>
      </c>
      <c r="E249" s="85"/>
      <c r="F249" s="85"/>
      <c r="G249" s="85">
        <v>83.35</v>
      </c>
      <c r="H249" s="85"/>
      <c r="I249" s="85"/>
      <c r="J249" s="85">
        <v>83.33</v>
      </c>
      <c r="K249" s="85"/>
      <c r="L249" s="85">
        <v>450</v>
      </c>
      <c r="M249" s="85">
        <v>83.33</v>
      </c>
      <c r="N249" s="85"/>
      <c r="O249" s="85"/>
      <c r="P249" s="85">
        <v>83.33</v>
      </c>
      <c r="Q249" s="85"/>
      <c r="R249" s="85">
        <v>300</v>
      </c>
      <c r="S249" s="85">
        <v>83.33</v>
      </c>
      <c r="T249" s="85"/>
      <c r="U249" s="85">
        <v>150</v>
      </c>
      <c r="V249" s="85">
        <v>83.33</v>
      </c>
      <c r="W249" s="86">
        <f>+C249+F249+I249+L249+O249+R249+U249</f>
        <v>1580.17</v>
      </c>
      <c r="X249" s="86">
        <f>+D249+G249+J249+M249+P249+S249+V249</f>
        <v>583.34999999999991</v>
      </c>
      <c r="Y249" s="85"/>
      <c r="Z249" s="82">
        <v>1000</v>
      </c>
      <c r="AA249" s="70"/>
      <c r="AB249" s="82">
        <f>+Z249</f>
        <v>1000</v>
      </c>
      <c r="AC249" s="82"/>
      <c r="AD249" s="68"/>
    </row>
    <row r="250" spans="1:30" x14ac:dyDescent="0.2">
      <c r="A250" s="88" t="s">
        <v>189</v>
      </c>
      <c r="B250" s="87" t="s">
        <v>107</v>
      </c>
      <c r="C250" s="85"/>
      <c r="D250" s="85">
        <v>26250</v>
      </c>
      <c r="E250" s="85"/>
      <c r="F250" s="85">
        <v>546.96</v>
      </c>
      <c r="G250" s="85">
        <v>26250</v>
      </c>
      <c r="H250" s="85"/>
      <c r="I250" s="85">
        <v>2762.87</v>
      </c>
      <c r="J250" s="85">
        <v>26250</v>
      </c>
      <c r="K250" s="85"/>
      <c r="L250" s="85">
        <v>2465</v>
      </c>
      <c r="M250" s="85">
        <v>26250</v>
      </c>
      <c r="N250" s="85"/>
      <c r="O250" s="85">
        <v>4299.17</v>
      </c>
      <c r="P250" s="85">
        <v>26250</v>
      </c>
      <c r="Q250" s="85"/>
      <c r="R250" s="85">
        <v>10385.52</v>
      </c>
      <c r="S250" s="85">
        <v>26250</v>
      </c>
      <c r="T250" s="85"/>
      <c r="U250" s="85">
        <v>2420.9699999999998</v>
      </c>
      <c r="V250" s="85">
        <v>26250</v>
      </c>
      <c r="W250" s="86">
        <f>+C250+F250+I250+L250+O250+R250+U250</f>
        <v>22880.49</v>
      </c>
      <c r="X250" s="86">
        <f>+D250+G250+J250+M250+P250+S250+V250</f>
        <v>183750</v>
      </c>
      <c r="Y250" s="85"/>
      <c r="Z250" s="82">
        <v>315000</v>
      </c>
      <c r="AA250" s="70"/>
      <c r="AB250" s="82">
        <v>0</v>
      </c>
      <c r="AC250" s="82">
        <f>+Z250</f>
        <v>315000</v>
      </c>
      <c r="AD250" s="68"/>
    </row>
    <row r="251" spans="1:30" x14ac:dyDescent="0.2">
      <c r="A251" s="88">
        <v>6032050</v>
      </c>
      <c r="B251" s="87" t="s">
        <v>106</v>
      </c>
      <c r="C251" s="85">
        <v>7947</v>
      </c>
      <c r="D251" s="85"/>
      <c r="E251" s="85"/>
      <c r="F251" s="85">
        <v>65100.7</v>
      </c>
      <c r="G251" s="85"/>
      <c r="H251" s="85"/>
      <c r="I251" s="85">
        <v>22277.52</v>
      </c>
      <c r="J251" s="85"/>
      <c r="K251" s="85"/>
      <c r="L251" s="85">
        <v>16791</v>
      </c>
      <c r="M251" s="85"/>
      <c r="N251" s="85"/>
      <c r="O251" s="85">
        <v>78301.240000000005</v>
      </c>
      <c r="P251" s="85"/>
      <c r="Q251" s="85"/>
      <c r="R251" s="85">
        <v>76680.88</v>
      </c>
      <c r="S251" s="85">
        <v>0</v>
      </c>
      <c r="T251" s="85"/>
      <c r="U251" s="85"/>
      <c r="V251" s="85"/>
      <c r="W251" s="86">
        <f>+C251+F251+I251+L251+O251+R251+U251</f>
        <v>267098.34000000003</v>
      </c>
      <c r="X251" s="86">
        <f>+D251+G251+J251+M251+P251+S251+V251</f>
        <v>0</v>
      </c>
      <c r="Y251" s="85"/>
      <c r="Z251" s="82"/>
      <c r="AA251" s="70"/>
      <c r="AB251" s="82">
        <f>+Z251</f>
        <v>0</v>
      </c>
      <c r="AC251" s="82"/>
      <c r="AD251" s="68"/>
    </row>
    <row r="252" spans="1:30" x14ac:dyDescent="0.2">
      <c r="A252" s="84"/>
      <c r="B252" s="83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70"/>
      <c r="AB252" s="82"/>
      <c r="AC252" s="82"/>
      <c r="AD252" s="68"/>
    </row>
    <row r="253" spans="1:30" x14ac:dyDescent="0.2">
      <c r="A253" s="81" t="s">
        <v>105</v>
      </c>
      <c r="B253" s="80" t="s">
        <v>188</v>
      </c>
      <c r="C253" s="79">
        <f>SUM(C213:C252)</f>
        <v>198240.94</v>
      </c>
      <c r="D253" s="79">
        <f>SUM(D213:D252)</f>
        <v>251978.13</v>
      </c>
      <c r="E253" s="76"/>
      <c r="F253" s="79">
        <f>SUM(F213:F252)</f>
        <v>338273.22000000003</v>
      </c>
      <c r="G253" s="79">
        <f>SUM(G213:G252)</f>
        <v>258708.14</v>
      </c>
      <c r="H253" s="76"/>
      <c r="I253" s="79">
        <f>SUM(I213:I252)</f>
        <v>265774.19999999995</v>
      </c>
      <c r="J253" s="79">
        <f>SUM(J213:J252)</f>
        <v>269757.16000000003</v>
      </c>
      <c r="K253" s="76"/>
      <c r="L253" s="79">
        <f>SUM(L213:L252)</f>
        <v>320420.97000000003</v>
      </c>
      <c r="M253" s="79">
        <f>SUM(M213:M252)</f>
        <v>269732.16000000003</v>
      </c>
      <c r="N253" s="76"/>
      <c r="O253" s="79">
        <f>SUM(O213:O252)</f>
        <v>428235.99999999994</v>
      </c>
      <c r="P253" s="79">
        <f>SUM(P213:P252)</f>
        <v>352040.68</v>
      </c>
      <c r="Q253" s="76"/>
      <c r="R253" s="79">
        <f>SUM(R213:R252)</f>
        <v>357501.89000000007</v>
      </c>
      <c r="S253" s="79">
        <f>SUM(S213:S252)</f>
        <v>269732.15999999997</v>
      </c>
      <c r="T253" s="76"/>
      <c r="U253" s="79">
        <f>SUM(U213:U252)</f>
        <v>222960.56999999998</v>
      </c>
      <c r="V253" s="79">
        <f>SUM(V213:V252)</f>
        <v>258733.15999999997</v>
      </c>
      <c r="W253" s="79">
        <f>SUM(W213:W252)</f>
        <v>2131407.79</v>
      </c>
      <c r="X253" s="79">
        <f>SUM(X213:X252)</f>
        <v>1930681.59</v>
      </c>
      <c r="Y253" s="76"/>
      <c r="Z253" s="79">
        <f>SUM(Z213:Z252)</f>
        <v>3155324.91</v>
      </c>
      <c r="AA253" s="70"/>
      <c r="AB253" s="79">
        <f>SUM(AB213:AB252)</f>
        <v>2840324.91</v>
      </c>
      <c r="AC253" s="79">
        <f>SUM(AC213:AC252)</f>
        <v>315000</v>
      </c>
      <c r="AD253" s="68"/>
    </row>
    <row r="254" spans="1:30" x14ac:dyDescent="0.2"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70"/>
      <c r="AB254" s="67"/>
      <c r="AC254" s="74"/>
      <c r="AD254" s="68"/>
    </row>
    <row r="255" spans="1:30" x14ac:dyDescent="0.2">
      <c r="A255" s="91" t="s">
        <v>187</v>
      </c>
      <c r="B255" s="90" t="s">
        <v>186</v>
      </c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67"/>
      <c r="AA255" s="70"/>
      <c r="AB255" s="67"/>
      <c r="AC255" s="74"/>
      <c r="AD255" s="68"/>
    </row>
    <row r="256" spans="1:30" x14ac:dyDescent="0.2">
      <c r="A256" s="88" t="s">
        <v>185</v>
      </c>
      <c r="B256" s="87" t="s">
        <v>184</v>
      </c>
      <c r="C256" s="85">
        <v>6170.83</v>
      </c>
      <c r="D256" s="85">
        <v>625</v>
      </c>
      <c r="E256" s="85"/>
      <c r="F256" s="85">
        <v>147.19999999999999</v>
      </c>
      <c r="G256" s="85">
        <v>625</v>
      </c>
      <c r="H256" s="85"/>
      <c r="I256" s="85">
        <v>165.61</v>
      </c>
      <c r="J256" s="85">
        <v>625</v>
      </c>
      <c r="K256" s="85"/>
      <c r="L256" s="85">
        <v>134.75</v>
      </c>
      <c r="M256" s="85">
        <v>625</v>
      </c>
      <c r="N256" s="85"/>
      <c r="O256" s="85">
        <v>141.78</v>
      </c>
      <c r="P256" s="85">
        <v>625</v>
      </c>
      <c r="Q256" s="85"/>
      <c r="R256" s="85">
        <v>85.46</v>
      </c>
      <c r="S256" s="85">
        <v>625</v>
      </c>
      <c r="T256" s="85"/>
      <c r="U256" s="85">
        <v>216.14</v>
      </c>
      <c r="V256" s="85">
        <v>625</v>
      </c>
      <c r="W256" s="86">
        <f>+C256+F256+I256+L256+O256+R256+U256</f>
        <v>7061.7699999999995</v>
      </c>
      <c r="X256" s="86">
        <f>+D256+G256+J256+M256+P256+S256+V256</f>
        <v>4375</v>
      </c>
      <c r="Y256" s="85"/>
      <c r="Z256" s="82">
        <v>7500</v>
      </c>
      <c r="AA256" s="70"/>
      <c r="AB256" s="82">
        <f>+Z256</f>
        <v>7500</v>
      </c>
      <c r="AC256" s="82"/>
      <c r="AD256" s="68"/>
    </row>
    <row r="257" spans="1:31" x14ac:dyDescent="0.2">
      <c r="A257" s="88" t="s">
        <v>183</v>
      </c>
      <c r="B257" s="87" t="s">
        <v>182</v>
      </c>
      <c r="C257" s="85">
        <v>4682.34</v>
      </c>
      <c r="D257" s="85">
        <v>5833.34</v>
      </c>
      <c r="E257" s="85"/>
      <c r="F257" s="85">
        <v>3180.82</v>
      </c>
      <c r="G257" s="85">
        <v>5833.34</v>
      </c>
      <c r="H257" s="85"/>
      <c r="I257" s="85">
        <v>1200.75</v>
      </c>
      <c r="J257" s="85">
        <v>5833.34</v>
      </c>
      <c r="K257" s="85"/>
      <c r="L257" s="85">
        <v>15099.16</v>
      </c>
      <c r="M257" s="85">
        <v>5833.34</v>
      </c>
      <c r="N257" s="85"/>
      <c r="O257" s="85">
        <v>1334.85</v>
      </c>
      <c r="P257" s="85">
        <v>5833.33</v>
      </c>
      <c r="Q257" s="85"/>
      <c r="R257" s="85">
        <v>15553.31</v>
      </c>
      <c r="S257" s="85">
        <v>5833.33</v>
      </c>
      <c r="T257" s="85"/>
      <c r="U257" s="85">
        <v>7008.19</v>
      </c>
      <c r="V257" s="85">
        <v>5833.33</v>
      </c>
      <c r="W257" s="86">
        <f>+C257+F257+I257+L257+O257+R257+U257</f>
        <v>48059.42</v>
      </c>
      <c r="X257" s="86">
        <f>+D257+G257+J257+M257+P257+S257+V257</f>
        <v>40833.350000000006</v>
      </c>
      <c r="Y257" s="85"/>
      <c r="Z257" s="82">
        <v>70000</v>
      </c>
      <c r="AA257" s="70"/>
      <c r="AB257" s="82">
        <f>+Z257</f>
        <v>70000</v>
      </c>
      <c r="AC257" s="82"/>
      <c r="AD257" s="68"/>
    </row>
    <row r="258" spans="1:31" x14ac:dyDescent="0.2">
      <c r="A258" s="88" t="s">
        <v>181</v>
      </c>
      <c r="B258" s="87" t="s">
        <v>180</v>
      </c>
      <c r="C258" s="85">
        <v>923.31</v>
      </c>
      <c r="D258" s="85">
        <v>1666.66</v>
      </c>
      <c r="E258" s="85"/>
      <c r="F258" s="85">
        <v>1313.3</v>
      </c>
      <c r="G258" s="85">
        <v>1666.66</v>
      </c>
      <c r="H258" s="85"/>
      <c r="I258" s="85">
        <v>1231.52</v>
      </c>
      <c r="J258" s="85">
        <v>1666.66</v>
      </c>
      <c r="K258" s="85"/>
      <c r="L258" s="85">
        <v>2181.81</v>
      </c>
      <c r="M258" s="85">
        <v>1666.66</v>
      </c>
      <c r="N258" s="85"/>
      <c r="O258" s="85">
        <v>1289.77</v>
      </c>
      <c r="P258" s="85">
        <v>1666.67</v>
      </c>
      <c r="Q258" s="85"/>
      <c r="R258" s="85">
        <v>1518.15</v>
      </c>
      <c r="S258" s="85">
        <v>1666.67</v>
      </c>
      <c r="T258" s="85"/>
      <c r="U258" s="85">
        <v>1048.33</v>
      </c>
      <c r="V258" s="85">
        <v>1666.67</v>
      </c>
      <c r="W258" s="86">
        <f>+C258+F258+I258+L258+O258+R258+U258</f>
        <v>9506.1899999999987</v>
      </c>
      <c r="X258" s="86">
        <f>+D258+G258+J258+M258+P258+S258+V258</f>
        <v>11666.650000000001</v>
      </c>
      <c r="Y258" s="85"/>
      <c r="Z258" s="82">
        <v>20000</v>
      </c>
      <c r="AA258" s="70"/>
      <c r="AB258" s="82">
        <f>+Z258</f>
        <v>20000</v>
      </c>
      <c r="AC258" s="82"/>
      <c r="AD258" s="68"/>
    </row>
    <row r="259" spans="1:31" x14ac:dyDescent="0.2">
      <c r="A259" s="88" t="s">
        <v>179</v>
      </c>
      <c r="B259" s="87" t="s">
        <v>178</v>
      </c>
      <c r="C259" s="85">
        <v>4275.2700000000004</v>
      </c>
      <c r="D259" s="85">
        <v>833.34</v>
      </c>
      <c r="E259" s="85"/>
      <c r="F259" s="85">
        <v>2560.15</v>
      </c>
      <c r="G259" s="85">
        <v>833.34</v>
      </c>
      <c r="H259" s="85"/>
      <c r="I259" s="85">
        <v>1536.1</v>
      </c>
      <c r="J259" s="85">
        <v>833.34</v>
      </c>
      <c r="K259" s="85"/>
      <c r="L259" s="85">
        <v>186</v>
      </c>
      <c r="M259" s="85">
        <v>833.34</v>
      </c>
      <c r="N259" s="85"/>
      <c r="O259" s="85">
        <v>198</v>
      </c>
      <c r="P259" s="85">
        <v>833.33</v>
      </c>
      <c r="Q259" s="85"/>
      <c r="R259" s="85">
        <v>603</v>
      </c>
      <c r="S259" s="85">
        <v>833.33</v>
      </c>
      <c r="T259" s="85"/>
      <c r="U259" s="85">
        <v>0</v>
      </c>
      <c r="V259" s="85">
        <v>833.33</v>
      </c>
      <c r="W259" s="86">
        <f>+C259+F259+I259+L259+O259+R259+U259</f>
        <v>9358.52</v>
      </c>
      <c r="X259" s="86">
        <f>+D259+G259+J259+M259+P259+S259+V259</f>
        <v>5833.35</v>
      </c>
      <c r="Y259" s="85"/>
      <c r="Z259" s="82">
        <v>10000</v>
      </c>
      <c r="AA259" s="70"/>
      <c r="AB259" s="82">
        <f>+Z259</f>
        <v>10000</v>
      </c>
      <c r="AC259" s="82"/>
      <c r="AD259" s="68"/>
    </row>
    <row r="260" spans="1:31" x14ac:dyDescent="0.2">
      <c r="A260" s="88" t="s">
        <v>177</v>
      </c>
      <c r="B260" s="87" t="s">
        <v>176</v>
      </c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>
        <v>0</v>
      </c>
      <c r="S260" s="85">
        <v>0</v>
      </c>
      <c r="T260" s="85"/>
      <c r="U260" s="85">
        <v>0</v>
      </c>
      <c r="V260" s="85">
        <v>0</v>
      </c>
      <c r="W260" s="86">
        <f>+C260+F260+I260+L260+O260+R260+U260</f>
        <v>0</v>
      </c>
      <c r="X260" s="86">
        <f>+D260+G260+J260+M260+P260+S260+V260</f>
        <v>0</v>
      </c>
      <c r="Y260" s="85"/>
      <c r="Z260" s="82"/>
      <c r="AA260" s="70"/>
      <c r="AB260" s="82">
        <f>+Z260</f>
        <v>0</v>
      </c>
      <c r="AC260" s="82"/>
      <c r="AD260" s="68"/>
    </row>
    <row r="261" spans="1:31" x14ac:dyDescent="0.2">
      <c r="A261" s="88" t="s">
        <v>175</v>
      </c>
      <c r="B261" s="87" t="s">
        <v>174</v>
      </c>
      <c r="C261" s="85">
        <v>138.03</v>
      </c>
      <c r="D261" s="85">
        <v>41.67</v>
      </c>
      <c r="E261" s="85"/>
      <c r="F261" s="85">
        <v>251.41</v>
      </c>
      <c r="G261" s="85">
        <v>41.67</v>
      </c>
      <c r="H261" s="85"/>
      <c r="I261" s="85">
        <v>469.7</v>
      </c>
      <c r="J261" s="85">
        <v>41.67</v>
      </c>
      <c r="K261" s="85"/>
      <c r="L261" s="85">
        <v>148.38999999999999</v>
      </c>
      <c r="M261" s="85">
        <v>41.67</v>
      </c>
      <c r="N261" s="85"/>
      <c r="O261" s="85">
        <v>185.48</v>
      </c>
      <c r="P261" s="85">
        <v>41.67</v>
      </c>
      <c r="Q261" s="85"/>
      <c r="R261" s="85">
        <v>141.1</v>
      </c>
      <c r="S261" s="85">
        <v>41.67</v>
      </c>
      <c r="T261" s="85"/>
      <c r="U261" s="85">
        <v>117.44</v>
      </c>
      <c r="V261" s="85">
        <v>500041.67</v>
      </c>
      <c r="W261" s="86">
        <f>+C261+F261+I261+L261+O261+R261+U261</f>
        <v>1451.55</v>
      </c>
      <c r="X261" s="86">
        <f>+D261+G261+J261+M261+P261+S261+V261</f>
        <v>500291.69</v>
      </c>
      <c r="Y261" s="85"/>
      <c r="Z261" s="82">
        <v>2000500</v>
      </c>
      <c r="AA261" s="70"/>
      <c r="AB261" s="82">
        <v>500</v>
      </c>
      <c r="AC261" s="82">
        <f>+Z261-AB261</f>
        <v>2000000</v>
      </c>
      <c r="AD261" s="68"/>
    </row>
    <row r="262" spans="1:31" x14ac:dyDescent="0.2">
      <c r="A262" s="88">
        <v>6012750</v>
      </c>
      <c r="B262" s="87" t="s">
        <v>173</v>
      </c>
      <c r="C262" s="85"/>
      <c r="D262" s="85"/>
      <c r="E262" s="85"/>
      <c r="F262" s="85"/>
      <c r="G262" s="85"/>
      <c r="H262" s="85"/>
      <c r="I262" s="85"/>
      <c r="J262" s="85"/>
      <c r="K262" s="85"/>
      <c r="L262" s="85">
        <v>52900</v>
      </c>
      <c r="M262" s="85"/>
      <c r="N262" s="85"/>
      <c r="O262" s="85"/>
      <c r="P262" s="85"/>
      <c r="Q262" s="85"/>
      <c r="R262" s="85">
        <v>58258.13</v>
      </c>
      <c r="S262" s="85">
        <v>0</v>
      </c>
      <c r="T262" s="85"/>
      <c r="U262" s="85">
        <v>0</v>
      </c>
      <c r="V262" s="85">
        <v>0</v>
      </c>
      <c r="W262" s="86">
        <f>+C262+F262+I262+L262+O262+R262+U262</f>
        <v>111158.13</v>
      </c>
      <c r="X262" s="86">
        <f>+D262+G262+J262+M262+P262+S262+V262</f>
        <v>0</v>
      </c>
      <c r="Y262" s="85"/>
      <c r="Z262" s="82"/>
      <c r="AA262" s="70"/>
      <c r="AB262" s="82"/>
      <c r="AC262" s="82"/>
      <c r="AD262" s="68"/>
    </row>
    <row r="263" spans="1:31" x14ac:dyDescent="0.2">
      <c r="A263" s="88" t="s">
        <v>172</v>
      </c>
      <c r="B263" s="87" t="s">
        <v>171</v>
      </c>
      <c r="C263" s="85"/>
      <c r="D263" s="85">
        <v>25000</v>
      </c>
      <c r="E263" s="85"/>
      <c r="F263" s="85"/>
      <c r="G263" s="85">
        <v>25000</v>
      </c>
      <c r="H263" s="85"/>
      <c r="I263" s="85">
        <v>5778.77</v>
      </c>
      <c r="J263" s="85">
        <v>25000</v>
      </c>
      <c r="K263" s="85"/>
      <c r="L263" s="85"/>
      <c r="M263" s="85">
        <v>25000</v>
      </c>
      <c r="N263" s="85"/>
      <c r="O263" s="85">
        <v>775</v>
      </c>
      <c r="P263" s="85">
        <v>25000</v>
      </c>
      <c r="Q263" s="85"/>
      <c r="R263" s="85">
        <v>434.36</v>
      </c>
      <c r="S263" s="85">
        <v>25000</v>
      </c>
      <c r="T263" s="85"/>
      <c r="U263" s="85">
        <v>742.3</v>
      </c>
      <c r="V263" s="85">
        <v>25000</v>
      </c>
      <c r="W263" s="86">
        <f>+C263+F263+I263+L263+O263+R263+U263</f>
        <v>7730.43</v>
      </c>
      <c r="X263" s="86">
        <f>+D263+G263+J263+M263+P263+S263+V263</f>
        <v>175000</v>
      </c>
      <c r="Y263" s="85"/>
      <c r="Z263" s="82">
        <v>300000</v>
      </c>
      <c r="AA263" s="70"/>
      <c r="AB263" s="82"/>
      <c r="AC263" s="82">
        <v>300000</v>
      </c>
      <c r="AD263" s="68"/>
    </row>
    <row r="264" spans="1:31" x14ac:dyDescent="0.2">
      <c r="A264" s="88"/>
      <c r="B264" s="87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2"/>
      <c r="AA264" s="70"/>
      <c r="AB264" s="82"/>
      <c r="AC264" s="82"/>
      <c r="AD264" s="68"/>
    </row>
    <row r="265" spans="1:31" x14ac:dyDescent="0.2">
      <c r="A265" s="95"/>
      <c r="B265" s="94" t="s">
        <v>170</v>
      </c>
      <c r="C265" s="92">
        <f>SUM(C256:C263)</f>
        <v>16189.78</v>
      </c>
      <c r="D265" s="92">
        <f>SUM(D256:D263)</f>
        <v>34000.01</v>
      </c>
      <c r="E265" s="76"/>
      <c r="F265" s="92">
        <f>SUM(F256:F263)</f>
        <v>7452.8799999999992</v>
      </c>
      <c r="G265" s="92">
        <f>SUM(G256:G263)</f>
        <v>34000.01</v>
      </c>
      <c r="H265" s="76"/>
      <c r="I265" s="92">
        <f>SUM(I256:I263)</f>
        <v>10382.450000000001</v>
      </c>
      <c r="J265" s="92">
        <f>SUM(J256:J263)</f>
        <v>34000.01</v>
      </c>
      <c r="K265" s="76"/>
      <c r="L265" s="92">
        <f>SUM(L256:L263)</f>
        <v>70650.11</v>
      </c>
      <c r="M265" s="92">
        <f>SUM(M256:M263)</f>
        <v>34000.01</v>
      </c>
      <c r="N265" s="76"/>
      <c r="O265" s="92">
        <f>SUM(O256:O263)</f>
        <v>3924.8799999999997</v>
      </c>
      <c r="P265" s="92">
        <f>SUM(P256:P263)</f>
        <v>34000</v>
      </c>
      <c r="Q265" s="76"/>
      <c r="R265" s="92">
        <f>SUM(R256:R263)</f>
        <v>76593.509999999995</v>
      </c>
      <c r="S265" s="92">
        <f>SUM(S256:S263)</f>
        <v>34000</v>
      </c>
      <c r="T265" s="76"/>
      <c r="U265" s="92">
        <f>SUM(U256:U263)</f>
        <v>9132.4</v>
      </c>
      <c r="V265" s="92">
        <f>SUM(V256:V263)</f>
        <v>534000</v>
      </c>
      <c r="W265" s="92">
        <f>SUM(W256:W263)</f>
        <v>194326.01</v>
      </c>
      <c r="X265" s="92">
        <f>SUM(X256:X263)</f>
        <v>738000.04</v>
      </c>
      <c r="Y265" s="76"/>
      <c r="Z265" s="92">
        <f>SUM(Z256:Z263)</f>
        <v>2408000</v>
      </c>
      <c r="AA265" s="93"/>
      <c r="AB265" s="92">
        <f>SUM(AB256:AB263)</f>
        <v>108000</v>
      </c>
      <c r="AC265" s="92">
        <f>SUM(AC256:AC263)</f>
        <v>2300000</v>
      </c>
      <c r="AD265" s="68"/>
    </row>
    <row r="266" spans="1:31" x14ac:dyDescent="0.2">
      <c r="A266" s="95"/>
      <c r="B266" s="94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96"/>
      <c r="AA266" s="97"/>
      <c r="AB266" s="96"/>
      <c r="AC266" s="96"/>
      <c r="AD266" s="68"/>
    </row>
    <row r="267" spans="1:31" x14ac:dyDescent="0.2">
      <c r="A267" s="88" t="s">
        <v>169</v>
      </c>
      <c r="B267" s="87" t="s">
        <v>147</v>
      </c>
      <c r="C267" s="85">
        <v>5047.51</v>
      </c>
      <c r="D267" s="85">
        <v>7969.15</v>
      </c>
      <c r="E267" s="85"/>
      <c r="F267" s="85">
        <v>9124.18</v>
      </c>
      <c r="G267" s="85">
        <v>7969.15</v>
      </c>
      <c r="H267" s="85"/>
      <c r="I267" s="85">
        <v>7656.1</v>
      </c>
      <c r="J267" s="85">
        <v>7969.15</v>
      </c>
      <c r="K267" s="85"/>
      <c r="L267" s="85">
        <v>8270.08</v>
      </c>
      <c r="M267" s="85">
        <v>7969.15</v>
      </c>
      <c r="N267" s="85"/>
      <c r="O267" s="85">
        <v>12757.05</v>
      </c>
      <c r="P267" s="85">
        <v>11953.75</v>
      </c>
      <c r="Q267" s="85"/>
      <c r="R267" s="85">
        <v>8700.65</v>
      </c>
      <c r="S267" s="85">
        <v>7969.15</v>
      </c>
      <c r="T267" s="85"/>
      <c r="U267" s="85">
        <v>7782.41</v>
      </c>
      <c r="V267" s="85">
        <v>7969.15</v>
      </c>
      <c r="W267" s="86">
        <f>+C267+F267+I267+L267+O267+R267+U267</f>
        <v>59337.979999999996</v>
      </c>
      <c r="X267" s="86">
        <f>+D267+G267+J267+M267+P267+S267+V267</f>
        <v>59768.65</v>
      </c>
      <c r="Y267" s="85"/>
      <c r="Z267" s="82">
        <v>103599</v>
      </c>
      <c r="AA267" s="70"/>
      <c r="AB267" s="82">
        <f>+Z267</f>
        <v>103599</v>
      </c>
      <c r="AC267" s="82"/>
      <c r="AD267" s="68"/>
    </row>
    <row r="268" spans="1:31" x14ac:dyDescent="0.2">
      <c r="A268" s="88" t="s">
        <v>168</v>
      </c>
      <c r="B268" s="87" t="s">
        <v>145</v>
      </c>
      <c r="C268" s="85">
        <v>621.77</v>
      </c>
      <c r="D268" s="85">
        <v>637.54</v>
      </c>
      <c r="E268" s="85"/>
      <c r="F268" s="85">
        <v>630.62</v>
      </c>
      <c r="G268" s="85">
        <v>637.54</v>
      </c>
      <c r="H268" s="85"/>
      <c r="I268" s="85">
        <v>629.27</v>
      </c>
      <c r="J268" s="85">
        <v>637.54</v>
      </c>
      <c r="K268" s="85"/>
      <c r="L268" s="85">
        <v>628.79</v>
      </c>
      <c r="M268" s="85">
        <v>637.54</v>
      </c>
      <c r="N268" s="85"/>
      <c r="O268" s="85">
        <v>944.63</v>
      </c>
      <c r="P268" s="85">
        <v>956.3</v>
      </c>
      <c r="Q268" s="85"/>
      <c r="R268" s="85">
        <v>706.49</v>
      </c>
      <c r="S268" s="85">
        <v>637.54</v>
      </c>
      <c r="T268" s="85"/>
      <c r="U268" s="85">
        <v>606.15</v>
      </c>
      <c r="V268" s="85">
        <v>637.54</v>
      </c>
      <c r="W268" s="86">
        <f>+C268+F268+I268+L268+O268+R268+U268</f>
        <v>4767.7199999999993</v>
      </c>
      <c r="X268" s="86">
        <f>+D268+G268+J268+M268+P268+S268+V268</f>
        <v>4781.54</v>
      </c>
      <c r="Y268" s="85"/>
      <c r="Z268" s="82">
        <v>8288</v>
      </c>
      <c r="AA268" s="70"/>
      <c r="AB268" s="82">
        <f>+Z268</f>
        <v>8288</v>
      </c>
      <c r="AC268" s="82"/>
      <c r="AD268" s="68"/>
    </row>
    <row r="269" spans="1:31" x14ac:dyDescent="0.2">
      <c r="A269" s="88" t="s">
        <v>167</v>
      </c>
      <c r="B269" s="87" t="s">
        <v>143</v>
      </c>
      <c r="C269" s="85">
        <v>3768.74</v>
      </c>
      <c r="D269" s="85">
        <v>4228.3500000000004</v>
      </c>
      <c r="E269" s="85"/>
      <c r="F269" s="85">
        <v>4015.97</v>
      </c>
      <c r="G269" s="85">
        <v>4228.3500000000004</v>
      </c>
      <c r="H269" s="85"/>
      <c r="I269" s="85">
        <v>4067.51</v>
      </c>
      <c r="J269" s="85">
        <v>4228.33</v>
      </c>
      <c r="K269" s="85"/>
      <c r="L269" s="85">
        <v>6328.95</v>
      </c>
      <c r="M269" s="85">
        <v>4228.33</v>
      </c>
      <c r="N269" s="85"/>
      <c r="O269" s="85">
        <v>6328.87</v>
      </c>
      <c r="P269" s="85">
        <v>4228.33</v>
      </c>
      <c r="Q269" s="85"/>
      <c r="R269" s="85">
        <v>6328.91</v>
      </c>
      <c r="S269" s="85">
        <v>4228.33</v>
      </c>
      <c r="T269" s="85"/>
      <c r="U269" s="85">
        <v>6328.91</v>
      </c>
      <c r="V269" s="85">
        <v>4228.33</v>
      </c>
      <c r="W269" s="86">
        <f>+C269+F269+I269+L269+O269+R269+U269</f>
        <v>37167.86</v>
      </c>
      <c r="X269" s="86">
        <f>+D269+G269+J269+M269+P269+S269+V269</f>
        <v>29598.350000000006</v>
      </c>
      <c r="Y269" s="85"/>
      <c r="Z269" s="82">
        <f>47666+2419+655</f>
        <v>50740</v>
      </c>
      <c r="AA269" s="70"/>
      <c r="AB269" s="82">
        <f>+Z269</f>
        <v>50740</v>
      </c>
      <c r="AC269" s="82"/>
      <c r="AD269" s="68"/>
    </row>
    <row r="270" spans="1:31" x14ac:dyDescent="0.2">
      <c r="A270" s="88" t="s">
        <v>166</v>
      </c>
      <c r="B270" s="87" t="s">
        <v>165</v>
      </c>
      <c r="C270" s="85">
        <v>134.71</v>
      </c>
      <c r="D270" s="85">
        <v>239.08</v>
      </c>
      <c r="E270" s="85"/>
      <c r="F270" s="85">
        <v>136.5</v>
      </c>
      <c r="G270" s="85">
        <v>239.08</v>
      </c>
      <c r="H270" s="85"/>
      <c r="I270" s="85">
        <v>137.05000000000001</v>
      </c>
      <c r="J270" s="85">
        <v>239.08</v>
      </c>
      <c r="K270" s="85"/>
      <c r="L270" s="85">
        <v>137.16999999999999</v>
      </c>
      <c r="M270" s="85">
        <v>239.08</v>
      </c>
      <c r="N270" s="85"/>
      <c r="O270" s="85">
        <v>199.71</v>
      </c>
      <c r="P270" s="85">
        <v>358.6</v>
      </c>
      <c r="Q270" s="85"/>
      <c r="R270" s="85">
        <v>136.43</v>
      </c>
      <c r="S270" s="85">
        <v>239.08</v>
      </c>
      <c r="T270" s="85"/>
      <c r="U270" s="85">
        <v>128.47999999999999</v>
      </c>
      <c r="V270" s="85">
        <v>239.08</v>
      </c>
      <c r="W270" s="86">
        <f>+C270+F270+I270+L270+O270+R270+U270</f>
        <v>1010.0500000000002</v>
      </c>
      <c r="X270" s="86">
        <f>+D270+G270+J270+M270+P270+S270+V270</f>
        <v>1793.08</v>
      </c>
      <c r="Y270" s="85"/>
      <c r="Z270" s="82">
        <v>3108</v>
      </c>
      <c r="AA270" s="70"/>
      <c r="AB270" s="82">
        <f>+Z270</f>
        <v>3108</v>
      </c>
      <c r="AC270" s="82"/>
      <c r="AD270" s="68"/>
    </row>
    <row r="271" spans="1:31" x14ac:dyDescent="0.2">
      <c r="A271" s="88" t="s">
        <v>164</v>
      </c>
      <c r="B271" s="87" t="s">
        <v>163</v>
      </c>
      <c r="C271" s="85"/>
      <c r="D271" s="85"/>
      <c r="E271" s="85"/>
      <c r="F271" s="85">
        <v>853.75</v>
      </c>
      <c r="G271" s="85">
        <v>1000</v>
      </c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>
        <v>0</v>
      </c>
      <c r="S271" s="85">
        <v>0</v>
      </c>
      <c r="T271" s="85"/>
      <c r="U271" s="85">
        <v>0</v>
      </c>
      <c r="V271" s="85">
        <v>0</v>
      </c>
      <c r="W271" s="86">
        <f>+C271+F271+I271+L271+O271+R271+U271</f>
        <v>853.75</v>
      </c>
      <c r="X271" s="86">
        <f>+D271+G271+J271+M271+P271+S271+V271</f>
        <v>1000</v>
      </c>
      <c r="Y271" s="85"/>
      <c r="Z271" s="82">
        <v>1000</v>
      </c>
      <c r="AA271" s="70"/>
      <c r="AB271" s="82">
        <f>+Z271</f>
        <v>1000</v>
      </c>
      <c r="AC271" s="82"/>
      <c r="AD271" s="68"/>
    </row>
    <row r="272" spans="1:31" x14ac:dyDescent="0.2">
      <c r="A272" s="88" t="s">
        <v>162</v>
      </c>
      <c r="B272" s="87" t="s">
        <v>141</v>
      </c>
      <c r="C272" s="85">
        <v>282.69</v>
      </c>
      <c r="D272" s="85">
        <v>265.89999999999998</v>
      </c>
      <c r="E272" s="85"/>
      <c r="F272" s="85">
        <v>282.69</v>
      </c>
      <c r="G272" s="85">
        <v>265.89999999999998</v>
      </c>
      <c r="H272" s="85"/>
      <c r="I272" s="85">
        <v>282.69</v>
      </c>
      <c r="J272" s="85">
        <v>265.92</v>
      </c>
      <c r="K272" s="85"/>
      <c r="L272" s="85">
        <v>282.69</v>
      </c>
      <c r="M272" s="85">
        <v>265.92</v>
      </c>
      <c r="N272" s="85"/>
      <c r="O272" s="85">
        <v>282.69</v>
      </c>
      <c r="P272" s="85">
        <v>265.92</v>
      </c>
      <c r="Q272" s="85"/>
      <c r="R272" s="85">
        <v>260.14</v>
      </c>
      <c r="S272" s="85">
        <v>265.92</v>
      </c>
      <c r="T272" s="85"/>
      <c r="U272" s="85">
        <v>631.14</v>
      </c>
      <c r="V272" s="85">
        <v>265.92</v>
      </c>
      <c r="W272" s="86">
        <f>+C272+F272+I272+L272+O272+R272+U272</f>
        <v>2304.73</v>
      </c>
      <c r="X272" s="86">
        <f>+D272+G272+J272+M272+P272+S272+V272</f>
        <v>1861.4000000000003</v>
      </c>
      <c r="Y272" s="85"/>
      <c r="Z272" s="82">
        <v>3191</v>
      </c>
      <c r="AA272" s="70"/>
      <c r="AB272" s="82">
        <f>+Z272</f>
        <v>3191</v>
      </c>
      <c r="AC272" s="82"/>
      <c r="AD272" s="68"/>
      <c r="AE272" s="68"/>
    </row>
    <row r="273" spans="1:30" x14ac:dyDescent="0.2">
      <c r="A273" s="88">
        <v>6040300</v>
      </c>
      <c r="B273" s="87" t="s">
        <v>140</v>
      </c>
      <c r="C273" s="85"/>
      <c r="D273" s="85"/>
      <c r="E273" s="85"/>
      <c r="F273" s="85">
        <v>1155.24</v>
      </c>
      <c r="G273" s="85">
        <v>1000</v>
      </c>
      <c r="H273" s="85"/>
      <c r="I273" s="85">
        <v>2309.58</v>
      </c>
      <c r="J273" s="85">
        <v>2000</v>
      </c>
      <c r="K273" s="85"/>
      <c r="L273" s="85">
        <v>1780.56</v>
      </c>
      <c r="M273" s="85">
        <v>2000</v>
      </c>
      <c r="N273" s="85"/>
      <c r="O273" s="85">
        <v>3106.5</v>
      </c>
      <c r="P273" s="85">
        <v>3000</v>
      </c>
      <c r="Q273" s="85"/>
      <c r="R273" s="85">
        <v>1801.62</v>
      </c>
      <c r="S273" s="85">
        <v>2000</v>
      </c>
      <c r="T273" s="85"/>
      <c r="U273" s="85">
        <v>1072.8</v>
      </c>
      <c r="V273" s="85">
        <v>0</v>
      </c>
      <c r="W273" s="86">
        <f>+C273+F273+I273+L273+O273+R273+U273</f>
        <v>11226.3</v>
      </c>
      <c r="X273" s="86">
        <f>+D273+G273+J273+M273+P273+S273+V273</f>
        <v>10000</v>
      </c>
      <c r="Y273" s="85"/>
      <c r="Z273" s="82">
        <v>10000</v>
      </c>
      <c r="AA273" s="70"/>
      <c r="AB273" s="82">
        <f>+Z273</f>
        <v>10000</v>
      </c>
      <c r="AC273" s="82"/>
      <c r="AD273" s="68"/>
    </row>
    <row r="274" spans="1:30" x14ac:dyDescent="0.2">
      <c r="A274" s="88">
        <v>6040310</v>
      </c>
      <c r="B274" s="87" t="s">
        <v>139</v>
      </c>
      <c r="C274" s="85"/>
      <c r="D274" s="85"/>
      <c r="E274" s="85"/>
      <c r="F274" s="85">
        <v>102.23</v>
      </c>
      <c r="G274" s="85">
        <v>90</v>
      </c>
      <c r="H274" s="85"/>
      <c r="I274" s="85">
        <v>202.5</v>
      </c>
      <c r="J274" s="85">
        <v>180</v>
      </c>
      <c r="K274" s="85"/>
      <c r="L274" s="85">
        <v>157.57</v>
      </c>
      <c r="M274" s="85">
        <v>180</v>
      </c>
      <c r="N274" s="85"/>
      <c r="O274" s="85">
        <v>274.93</v>
      </c>
      <c r="P274" s="85">
        <v>270</v>
      </c>
      <c r="Q274" s="85"/>
      <c r="R274" s="85">
        <v>147.22999999999999</v>
      </c>
      <c r="S274" s="85">
        <v>180</v>
      </c>
      <c r="T274" s="85"/>
      <c r="U274" s="85">
        <v>82.07</v>
      </c>
      <c r="V274" s="85">
        <v>0</v>
      </c>
      <c r="W274" s="86">
        <f>+C274+F274+I274+L274+O274+R274+U274</f>
        <v>966.53</v>
      </c>
      <c r="X274" s="86">
        <f>+D274+G274+J274+M274+P274+S274+V274</f>
        <v>900</v>
      </c>
      <c r="Y274" s="85"/>
      <c r="Z274" s="82">
        <v>900</v>
      </c>
      <c r="AA274" s="70"/>
      <c r="AB274" s="82">
        <f>+Z274</f>
        <v>900</v>
      </c>
      <c r="AC274" s="82"/>
      <c r="AD274" s="68"/>
    </row>
    <row r="275" spans="1:30" x14ac:dyDescent="0.2">
      <c r="A275" s="88">
        <v>6040350</v>
      </c>
      <c r="B275" s="87" t="s">
        <v>136</v>
      </c>
      <c r="C275" s="85">
        <v>40.659999999999997</v>
      </c>
      <c r="D275" s="85"/>
      <c r="E275" s="85"/>
      <c r="F275" s="85">
        <v>40.659999999999997</v>
      </c>
      <c r="G275" s="85"/>
      <c r="H275" s="85"/>
      <c r="I275" s="85">
        <v>40.659999999999997</v>
      </c>
      <c r="J275" s="85"/>
      <c r="K275" s="85"/>
      <c r="L275" s="85">
        <v>40.659999999999997</v>
      </c>
      <c r="M275" s="85"/>
      <c r="N275" s="85"/>
      <c r="O275" s="85">
        <v>40.659999999999997</v>
      </c>
      <c r="P275" s="85"/>
      <c r="Q275" s="85"/>
      <c r="R275" s="85">
        <v>1.3</v>
      </c>
      <c r="S275" s="85">
        <v>0</v>
      </c>
      <c r="T275" s="85"/>
      <c r="U275" s="85">
        <v>21.42</v>
      </c>
      <c r="V275" s="85">
        <v>0</v>
      </c>
      <c r="W275" s="86">
        <f>+C275+F275+I275+L275+O275+R275+U275</f>
        <v>226.01999999999998</v>
      </c>
      <c r="X275" s="86">
        <f>+D275+G275+J275+M275+P275+S275+V275</f>
        <v>0</v>
      </c>
      <c r="Y275" s="85"/>
      <c r="Z275" s="82"/>
      <c r="AA275" s="70"/>
      <c r="AB275" s="82"/>
      <c r="AC275" s="82"/>
      <c r="AD275" s="68"/>
    </row>
    <row r="276" spans="1:30" x14ac:dyDescent="0.2">
      <c r="A276" s="88" t="s">
        <v>161</v>
      </c>
      <c r="B276" s="87" t="s">
        <v>134</v>
      </c>
      <c r="C276" s="85">
        <v>347.52</v>
      </c>
      <c r="D276" s="85">
        <v>208.35</v>
      </c>
      <c r="E276" s="85"/>
      <c r="F276" s="85">
        <v>315.26</v>
      </c>
      <c r="G276" s="85">
        <v>208.35</v>
      </c>
      <c r="H276" s="85"/>
      <c r="I276" s="85">
        <v>268.7</v>
      </c>
      <c r="J276" s="85">
        <v>208.33</v>
      </c>
      <c r="K276" s="85"/>
      <c r="L276" s="85">
        <v>433.98</v>
      </c>
      <c r="M276" s="85">
        <v>208.33</v>
      </c>
      <c r="N276" s="85"/>
      <c r="O276" s="85">
        <v>223.4</v>
      </c>
      <c r="P276" s="85">
        <v>208.33</v>
      </c>
      <c r="Q276" s="85"/>
      <c r="R276" s="85">
        <v>223.4</v>
      </c>
      <c r="S276" s="85">
        <v>208.33</v>
      </c>
      <c r="T276" s="85"/>
      <c r="U276" s="85">
        <v>676.06</v>
      </c>
      <c r="V276" s="85">
        <v>208.33</v>
      </c>
      <c r="W276" s="86">
        <f>+C276+F276+I276+L276+O276+R276+U276</f>
        <v>2488.3200000000002</v>
      </c>
      <c r="X276" s="86">
        <f>+D276+G276+J276+M276+P276+S276+V276</f>
        <v>1458.35</v>
      </c>
      <c r="Y276" s="85"/>
      <c r="Z276" s="82">
        <v>2500</v>
      </c>
      <c r="AA276" s="70"/>
      <c r="AB276" s="82">
        <f>+Z276</f>
        <v>2500</v>
      </c>
      <c r="AC276" s="82"/>
      <c r="AD276" s="68"/>
    </row>
    <row r="277" spans="1:30" x14ac:dyDescent="0.2">
      <c r="A277" s="88" t="s">
        <v>160</v>
      </c>
      <c r="B277" s="87" t="s">
        <v>130</v>
      </c>
      <c r="C277" s="85"/>
      <c r="D277" s="85">
        <v>83.35</v>
      </c>
      <c r="E277" s="85"/>
      <c r="F277" s="85"/>
      <c r="G277" s="85">
        <v>83.35</v>
      </c>
      <c r="H277" s="85"/>
      <c r="I277" s="85"/>
      <c r="J277" s="85">
        <v>83.33</v>
      </c>
      <c r="K277" s="85"/>
      <c r="L277" s="85"/>
      <c r="M277" s="85">
        <v>83.33</v>
      </c>
      <c r="N277" s="85"/>
      <c r="O277" s="85">
        <v>3000</v>
      </c>
      <c r="P277" s="85">
        <v>83.33</v>
      </c>
      <c r="Q277" s="85"/>
      <c r="R277" s="85">
        <v>0</v>
      </c>
      <c r="S277" s="85">
        <v>83.33</v>
      </c>
      <c r="T277" s="85"/>
      <c r="U277" s="85">
        <v>0</v>
      </c>
      <c r="V277" s="85">
        <v>83.33</v>
      </c>
      <c r="W277" s="86">
        <f>+C277+F277+I277+L277+O277+R277+U277</f>
        <v>3000</v>
      </c>
      <c r="X277" s="86">
        <f>+D277+G277+J277+M277+P277+S277+V277</f>
        <v>583.34999999999991</v>
      </c>
      <c r="Y277" s="85"/>
      <c r="Z277" s="82">
        <v>1000</v>
      </c>
      <c r="AA277" s="70"/>
      <c r="AB277" s="82">
        <f>+Z277</f>
        <v>1000</v>
      </c>
      <c r="AC277" s="82"/>
      <c r="AD277" s="68"/>
    </row>
    <row r="278" spans="1:30" x14ac:dyDescent="0.2">
      <c r="A278" s="88" t="s">
        <v>159</v>
      </c>
      <c r="B278" s="87" t="s">
        <v>126</v>
      </c>
      <c r="C278" s="85">
        <v>964.71</v>
      </c>
      <c r="D278" s="85">
        <v>666.65</v>
      </c>
      <c r="E278" s="85"/>
      <c r="F278" s="85">
        <v>630.66999999999996</v>
      </c>
      <c r="G278" s="85">
        <v>666.65</v>
      </c>
      <c r="H278" s="85"/>
      <c r="I278" s="85">
        <v>506.24</v>
      </c>
      <c r="J278" s="85">
        <v>666.67</v>
      </c>
      <c r="K278" s="85"/>
      <c r="L278" s="85">
        <v>708.9</v>
      </c>
      <c r="M278" s="85">
        <v>666.67</v>
      </c>
      <c r="N278" s="85"/>
      <c r="O278" s="85">
        <v>671.55</v>
      </c>
      <c r="P278" s="85">
        <v>666.67</v>
      </c>
      <c r="Q278" s="85"/>
      <c r="R278" s="85">
        <v>415.23</v>
      </c>
      <c r="S278" s="85">
        <v>666.67</v>
      </c>
      <c r="T278" s="85"/>
      <c r="U278" s="85">
        <v>0</v>
      </c>
      <c r="V278" s="85">
        <v>666.67</v>
      </c>
      <c r="W278" s="86">
        <f>+C278+F278+I278+L278+O278+R278+U278</f>
        <v>3897.2999999999997</v>
      </c>
      <c r="X278" s="86">
        <f>+D278+G278+J278+M278+P278+S278+V278</f>
        <v>4666.6499999999996</v>
      </c>
      <c r="Y278" s="85"/>
      <c r="Z278" s="82">
        <v>8000</v>
      </c>
      <c r="AA278" s="70"/>
      <c r="AB278" s="82">
        <f>+Z278</f>
        <v>8000</v>
      </c>
      <c r="AC278" s="82"/>
      <c r="AD278" s="68"/>
    </row>
    <row r="279" spans="1:30" x14ac:dyDescent="0.2">
      <c r="A279" s="88" t="s">
        <v>158</v>
      </c>
      <c r="B279" s="87" t="s">
        <v>157</v>
      </c>
      <c r="C279" s="85">
        <v>153.06</v>
      </c>
      <c r="D279" s="85">
        <v>208.35</v>
      </c>
      <c r="E279" s="85"/>
      <c r="F279" s="85"/>
      <c r="G279" s="85">
        <v>208.35</v>
      </c>
      <c r="H279" s="85"/>
      <c r="I279" s="85">
        <v>21.99</v>
      </c>
      <c r="J279" s="85">
        <v>208.33</v>
      </c>
      <c r="K279" s="85"/>
      <c r="L279" s="85"/>
      <c r="M279" s="85">
        <v>208.33</v>
      </c>
      <c r="N279" s="85"/>
      <c r="O279" s="85">
        <v>157.47</v>
      </c>
      <c r="P279" s="85">
        <v>208.33</v>
      </c>
      <c r="Q279" s="85"/>
      <c r="R279" s="85">
        <v>0</v>
      </c>
      <c r="S279" s="85">
        <v>208.33</v>
      </c>
      <c r="T279" s="85"/>
      <c r="U279" s="85">
        <v>0</v>
      </c>
      <c r="V279" s="85">
        <v>208.33</v>
      </c>
      <c r="W279" s="86">
        <f>+C279+F279+I279+L279+O279+R279+U279</f>
        <v>332.52</v>
      </c>
      <c r="X279" s="86">
        <f>+D279+G279+J279+M279+P279+S279+V279</f>
        <v>1458.35</v>
      </c>
      <c r="Y279" s="85"/>
      <c r="Z279" s="82">
        <v>2500</v>
      </c>
      <c r="AA279" s="70"/>
      <c r="AB279" s="82">
        <f>+Z279</f>
        <v>2500</v>
      </c>
      <c r="AC279" s="82"/>
      <c r="AD279" s="68"/>
    </row>
    <row r="280" spans="1:30" x14ac:dyDescent="0.2">
      <c r="A280" s="88" t="s">
        <v>156</v>
      </c>
      <c r="B280" s="87" t="s">
        <v>116</v>
      </c>
      <c r="C280" s="85">
        <v>591.32000000000005</v>
      </c>
      <c r="D280" s="85">
        <v>416.65</v>
      </c>
      <c r="E280" s="85"/>
      <c r="F280" s="85">
        <v>35.26</v>
      </c>
      <c r="G280" s="85">
        <v>416.65</v>
      </c>
      <c r="H280" s="85"/>
      <c r="I280" s="85">
        <v>244.36</v>
      </c>
      <c r="J280" s="85">
        <v>416.67</v>
      </c>
      <c r="K280" s="85"/>
      <c r="L280" s="85">
        <v>43.16</v>
      </c>
      <c r="M280" s="85">
        <v>416.67</v>
      </c>
      <c r="N280" s="85"/>
      <c r="O280" s="85">
        <v>771.19</v>
      </c>
      <c r="P280" s="85">
        <v>416.67</v>
      </c>
      <c r="Q280" s="85"/>
      <c r="R280" s="85">
        <v>1031.3900000000001</v>
      </c>
      <c r="S280" s="85">
        <v>416.67</v>
      </c>
      <c r="T280" s="85"/>
      <c r="U280" s="85">
        <v>96.36</v>
      </c>
      <c r="V280" s="85">
        <v>416.67</v>
      </c>
      <c r="W280" s="86">
        <f>+C280+F280+I280+L280+O280+R280+U280</f>
        <v>2813.0400000000004</v>
      </c>
      <c r="X280" s="86">
        <f>+D280+G280+J280+M280+P280+S280+V280</f>
        <v>2916.65</v>
      </c>
      <c r="Y280" s="85"/>
      <c r="Z280" s="82">
        <v>5000</v>
      </c>
      <c r="AA280" s="70"/>
      <c r="AB280" s="82">
        <f>+Z280</f>
        <v>5000</v>
      </c>
      <c r="AC280" s="82"/>
      <c r="AD280" s="68"/>
    </row>
    <row r="281" spans="1:30" x14ac:dyDescent="0.2">
      <c r="A281" s="88" t="s">
        <v>155</v>
      </c>
      <c r="B281" s="87" t="s">
        <v>112</v>
      </c>
      <c r="C281" s="85"/>
      <c r="D281" s="85">
        <v>12.5</v>
      </c>
      <c r="E281" s="85"/>
      <c r="F281" s="85">
        <v>10.48</v>
      </c>
      <c r="G281" s="85">
        <v>12.5</v>
      </c>
      <c r="H281" s="85"/>
      <c r="I281" s="85">
        <v>25.76</v>
      </c>
      <c r="J281" s="85">
        <v>12.5</v>
      </c>
      <c r="K281" s="85"/>
      <c r="L281" s="85"/>
      <c r="M281" s="85">
        <v>12.5</v>
      </c>
      <c r="N281" s="85"/>
      <c r="O281" s="85"/>
      <c r="P281" s="85">
        <v>12.5</v>
      </c>
      <c r="Q281" s="85"/>
      <c r="R281" s="85">
        <v>0</v>
      </c>
      <c r="S281" s="85">
        <v>12.5</v>
      </c>
      <c r="T281" s="85"/>
      <c r="U281" s="85">
        <v>0</v>
      </c>
      <c r="V281" s="85">
        <v>12.5</v>
      </c>
      <c r="W281" s="86">
        <f>+C281+F281+I281+L281+O281+R281+U281</f>
        <v>36.24</v>
      </c>
      <c r="X281" s="86">
        <f>+D281+G281+J281+M281+P281+S281+V281</f>
        <v>87.5</v>
      </c>
      <c r="Y281" s="85"/>
      <c r="Z281" s="82">
        <v>150</v>
      </c>
      <c r="AA281" s="70"/>
      <c r="AB281" s="82">
        <f>+Z281</f>
        <v>150</v>
      </c>
      <c r="AC281" s="82"/>
      <c r="AD281" s="68"/>
    </row>
    <row r="282" spans="1:30" x14ac:dyDescent="0.2">
      <c r="A282" s="88" t="s">
        <v>154</v>
      </c>
      <c r="B282" s="87" t="s">
        <v>108</v>
      </c>
      <c r="C282" s="85"/>
      <c r="D282" s="85">
        <v>208.35</v>
      </c>
      <c r="E282" s="85"/>
      <c r="F282" s="85"/>
      <c r="G282" s="85">
        <v>208.35</v>
      </c>
      <c r="H282" s="85"/>
      <c r="I282" s="85"/>
      <c r="J282" s="85">
        <v>208.33</v>
      </c>
      <c r="K282" s="85"/>
      <c r="L282" s="85"/>
      <c r="M282" s="85">
        <v>208.33</v>
      </c>
      <c r="N282" s="85"/>
      <c r="O282" s="85">
        <v>29.96</v>
      </c>
      <c r="P282" s="85">
        <v>208.33</v>
      </c>
      <c r="Q282" s="85"/>
      <c r="R282" s="85">
        <v>63.96</v>
      </c>
      <c r="S282" s="85">
        <v>208.33</v>
      </c>
      <c r="T282" s="85"/>
      <c r="U282" s="85">
        <v>0</v>
      </c>
      <c r="V282" s="85">
        <v>208.33</v>
      </c>
      <c r="W282" s="86">
        <f>+C282+F282+I282+L282+O282+R282+U282</f>
        <v>93.92</v>
      </c>
      <c r="X282" s="86">
        <f>+D282+G282+J282+M282+P282+S282+V282</f>
        <v>1458.35</v>
      </c>
      <c r="Y282" s="85"/>
      <c r="Z282" s="82">
        <v>2500</v>
      </c>
      <c r="AA282" s="70"/>
      <c r="AB282" s="82">
        <f>+Z282</f>
        <v>2500</v>
      </c>
      <c r="AC282" s="82"/>
      <c r="AD282" s="68"/>
    </row>
    <row r="283" spans="1:30" x14ac:dyDescent="0.2">
      <c r="A283" s="88">
        <v>6042000</v>
      </c>
      <c r="B283" s="87" t="s">
        <v>153</v>
      </c>
      <c r="C283" s="85">
        <v>6046</v>
      </c>
      <c r="D283" s="85">
        <v>6000</v>
      </c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>
        <v>0</v>
      </c>
      <c r="S283" s="85">
        <v>0</v>
      </c>
      <c r="T283" s="85"/>
      <c r="U283" s="85">
        <v>0</v>
      </c>
      <c r="V283" s="85">
        <v>0</v>
      </c>
      <c r="W283" s="86">
        <f>+C283+F283+I283+L283+O283+R283+U283</f>
        <v>6046</v>
      </c>
      <c r="X283" s="86">
        <f>+D283+G283+J283+M283+P283+S283+V283</f>
        <v>6000</v>
      </c>
      <c r="Y283" s="85"/>
      <c r="Z283" s="82">
        <v>6000</v>
      </c>
      <c r="AA283" s="70"/>
      <c r="AB283" s="82">
        <v>0</v>
      </c>
      <c r="AC283" s="82">
        <f>+Z283-AB283</f>
        <v>6000</v>
      </c>
      <c r="AD283" s="68"/>
    </row>
    <row r="284" spans="1:30" x14ac:dyDescent="0.2">
      <c r="A284" s="88">
        <v>6042050</v>
      </c>
      <c r="B284" s="87" t="s">
        <v>106</v>
      </c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>
        <v>0</v>
      </c>
      <c r="V284" s="85">
        <v>0</v>
      </c>
      <c r="W284" s="86"/>
      <c r="X284" s="86"/>
      <c r="Y284" s="85"/>
      <c r="Z284" s="82"/>
      <c r="AA284" s="70"/>
      <c r="AB284" s="82"/>
      <c r="AC284" s="82"/>
      <c r="AD284" s="68"/>
    </row>
    <row r="285" spans="1:30" x14ac:dyDescent="0.2">
      <c r="A285" s="88"/>
      <c r="B285" s="87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2"/>
      <c r="AA285" s="70"/>
      <c r="AB285" s="82"/>
      <c r="AC285" s="82"/>
      <c r="AD285" s="68"/>
    </row>
    <row r="286" spans="1:30" x14ac:dyDescent="0.2">
      <c r="A286" s="95"/>
      <c r="B286" s="94" t="s">
        <v>152</v>
      </c>
      <c r="C286" s="92">
        <f>SUM(C267:C283)</f>
        <v>17998.690000000002</v>
      </c>
      <c r="D286" s="92">
        <f>SUM(D267:D283)</f>
        <v>21144.22</v>
      </c>
      <c r="E286" s="76"/>
      <c r="F286" s="92">
        <f>SUM(F267:F283)</f>
        <v>17333.509999999995</v>
      </c>
      <c r="G286" s="92">
        <f>SUM(G267:G283)</f>
        <v>17234.219999999998</v>
      </c>
      <c r="H286" s="76"/>
      <c r="I286" s="92">
        <f>SUM(I267:I283)</f>
        <v>16392.41</v>
      </c>
      <c r="J286" s="92">
        <f>SUM(J267:J283)</f>
        <v>17324.18</v>
      </c>
      <c r="K286" s="76"/>
      <c r="L286" s="92">
        <f>SUM(L267:L283)</f>
        <v>18812.510000000002</v>
      </c>
      <c r="M286" s="92">
        <f>SUM(M267:M283)</f>
        <v>17324.18</v>
      </c>
      <c r="N286" s="76"/>
      <c r="O286" s="92">
        <f>SUM(O267:O283)</f>
        <v>28788.609999999997</v>
      </c>
      <c r="P286" s="92">
        <f>SUM(P267:P283)</f>
        <v>22837.059999999998</v>
      </c>
      <c r="Q286" s="76"/>
      <c r="R286" s="92">
        <f>SUM(R267:R284)</f>
        <v>19816.749999999996</v>
      </c>
      <c r="S286" s="92">
        <f>SUM(S267:S284)</f>
        <v>17324.18</v>
      </c>
      <c r="T286" s="76"/>
      <c r="U286" s="92">
        <f>SUM(U267:U284)</f>
        <v>17425.8</v>
      </c>
      <c r="V286" s="92">
        <f>SUM(V267:V284)</f>
        <v>15144.179999999998</v>
      </c>
      <c r="W286" s="92">
        <f>SUM(W267:W283)</f>
        <v>136568.28000000003</v>
      </c>
      <c r="X286" s="92">
        <f>SUM(X267:X283)</f>
        <v>128332.22000000002</v>
      </c>
      <c r="Y286" s="76"/>
      <c r="Z286" s="92">
        <f>SUM(Z267:Z283)</f>
        <v>208476</v>
      </c>
      <c r="AA286" s="93"/>
      <c r="AB286" s="92">
        <f>SUM(AB267:AB283)</f>
        <v>202476</v>
      </c>
      <c r="AC286" s="92">
        <f>SUM(AC267:AC283)</f>
        <v>6000</v>
      </c>
      <c r="AD286" s="68"/>
    </row>
    <row r="287" spans="1:30" x14ac:dyDescent="0.2">
      <c r="A287" s="84"/>
      <c r="B287" s="83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70"/>
      <c r="AB287" s="82"/>
      <c r="AC287" s="82"/>
      <c r="AD287" s="68"/>
    </row>
    <row r="288" spans="1:30" x14ac:dyDescent="0.2">
      <c r="A288" s="81" t="s">
        <v>105</v>
      </c>
      <c r="B288" s="80" t="s">
        <v>151</v>
      </c>
      <c r="C288" s="79">
        <f>C286+C265</f>
        <v>34188.47</v>
      </c>
      <c r="D288" s="79">
        <f>D286+D265</f>
        <v>55144.23</v>
      </c>
      <c r="E288" s="76"/>
      <c r="F288" s="79">
        <f>F286+F265</f>
        <v>24786.389999999992</v>
      </c>
      <c r="G288" s="79">
        <f>G286+G265</f>
        <v>51234.229999999996</v>
      </c>
      <c r="H288" s="76"/>
      <c r="I288" s="79">
        <f>I286+I265</f>
        <v>26774.86</v>
      </c>
      <c r="J288" s="79">
        <f>J286+J265</f>
        <v>51324.19</v>
      </c>
      <c r="K288" s="76"/>
      <c r="L288" s="79">
        <f>L286+L265</f>
        <v>89462.62</v>
      </c>
      <c r="M288" s="79">
        <f>M286+M265</f>
        <v>51324.19</v>
      </c>
      <c r="N288" s="76"/>
      <c r="O288" s="79">
        <f>O286+O265</f>
        <v>32713.489999999998</v>
      </c>
      <c r="P288" s="79">
        <f>P286+P265</f>
        <v>56837.06</v>
      </c>
      <c r="Q288" s="76"/>
      <c r="R288" s="79">
        <f>R286+R265</f>
        <v>96410.26</v>
      </c>
      <c r="S288" s="79">
        <f>S286+S265</f>
        <v>51324.18</v>
      </c>
      <c r="T288" s="76"/>
      <c r="U288" s="79">
        <f>U286+U265</f>
        <v>26558.199999999997</v>
      </c>
      <c r="V288" s="79">
        <f>V286+V265</f>
        <v>549144.18000000005</v>
      </c>
      <c r="W288" s="79">
        <f>W286+W265</f>
        <v>330894.29000000004</v>
      </c>
      <c r="X288" s="79">
        <f>X286+X265</f>
        <v>866332.26</v>
      </c>
      <c r="Y288" s="76"/>
      <c r="Z288" s="79">
        <f>Z286+Z265</f>
        <v>2616476</v>
      </c>
      <c r="AA288" s="70"/>
      <c r="AB288" s="79">
        <f>AB286+AB265</f>
        <v>310476</v>
      </c>
      <c r="AC288" s="79">
        <f>AC286+AC265</f>
        <v>2306000</v>
      </c>
      <c r="AD288" s="68"/>
    </row>
    <row r="289" spans="1:31" x14ac:dyDescent="0.2"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70"/>
      <c r="AB289" s="67"/>
      <c r="AC289" s="74"/>
      <c r="AD289" s="68"/>
    </row>
    <row r="290" spans="1:31" x14ac:dyDescent="0.2">
      <c r="A290" s="91" t="s">
        <v>150</v>
      </c>
      <c r="B290" s="90" t="s">
        <v>149</v>
      </c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67"/>
      <c r="AA290" s="70"/>
      <c r="AB290" s="67"/>
      <c r="AC290" s="74"/>
      <c r="AD290" s="68"/>
    </row>
    <row r="291" spans="1:31" x14ac:dyDescent="0.2">
      <c r="A291" s="88" t="s">
        <v>148</v>
      </c>
      <c r="B291" s="87" t="s">
        <v>147</v>
      </c>
      <c r="C291" s="85">
        <v>1890.74</v>
      </c>
      <c r="D291" s="85">
        <v>1923.08</v>
      </c>
      <c r="E291" s="85"/>
      <c r="F291" s="85">
        <v>1923.08</v>
      </c>
      <c r="G291" s="85">
        <v>1923.08</v>
      </c>
      <c r="H291" s="85"/>
      <c r="I291" s="85">
        <v>1923.08</v>
      </c>
      <c r="J291" s="85">
        <v>1923.08</v>
      </c>
      <c r="K291" s="85"/>
      <c r="L291" s="85">
        <v>1923.08</v>
      </c>
      <c r="M291" s="85">
        <v>1923.08</v>
      </c>
      <c r="N291" s="85"/>
      <c r="O291" s="85">
        <v>2884.62</v>
      </c>
      <c r="P291" s="85">
        <v>2884.6</v>
      </c>
      <c r="Q291" s="85"/>
      <c r="R291" s="85">
        <v>1923.08</v>
      </c>
      <c r="S291" s="85">
        <v>1923.08</v>
      </c>
      <c r="T291" s="85"/>
      <c r="U291" s="85">
        <v>1923.08</v>
      </c>
      <c r="V291" s="85">
        <v>1923.08</v>
      </c>
      <c r="W291" s="86">
        <f>+C291+F291+I291+L291+O291+R291+U291</f>
        <v>14390.759999999998</v>
      </c>
      <c r="X291" s="86">
        <f>+D291+G291+J291+M291+P291+S291+V291</f>
        <v>14423.08</v>
      </c>
      <c r="Y291" s="85"/>
      <c r="Z291" s="82">
        <v>25000</v>
      </c>
      <c r="AA291" s="70"/>
      <c r="AB291" s="82">
        <f>+Z291</f>
        <v>25000</v>
      </c>
      <c r="AC291" s="82"/>
      <c r="AD291" s="68"/>
    </row>
    <row r="292" spans="1:31" x14ac:dyDescent="0.2">
      <c r="A292" s="88" t="s">
        <v>146</v>
      </c>
      <c r="B292" s="87" t="s">
        <v>145</v>
      </c>
      <c r="C292" s="85">
        <v>167.33</v>
      </c>
      <c r="D292" s="85">
        <v>153.85</v>
      </c>
      <c r="E292" s="85"/>
      <c r="F292" s="85">
        <v>170.2</v>
      </c>
      <c r="G292" s="85">
        <v>153.85</v>
      </c>
      <c r="H292" s="85"/>
      <c r="I292" s="85">
        <v>152</v>
      </c>
      <c r="J292" s="85">
        <v>153.85</v>
      </c>
      <c r="K292" s="85"/>
      <c r="L292" s="85">
        <v>147.12</v>
      </c>
      <c r="M292" s="85">
        <v>153.85</v>
      </c>
      <c r="N292" s="85"/>
      <c r="O292" s="85">
        <v>228.32</v>
      </c>
      <c r="P292" s="85">
        <v>230.75</v>
      </c>
      <c r="Q292" s="85"/>
      <c r="R292" s="85">
        <v>147.12</v>
      </c>
      <c r="S292" s="85">
        <v>153.85</v>
      </c>
      <c r="T292" s="85"/>
      <c r="U292" s="85">
        <v>147.11000000000001</v>
      </c>
      <c r="V292" s="85">
        <v>153.85</v>
      </c>
      <c r="W292" s="86">
        <f>+C292+F292+I292+L292+O292+R292+U292</f>
        <v>1159.2</v>
      </c>
      <c r="X292" s="86">
        <f>+D292+G292+J292+M292+P292+S292+V292</f>
        <v>1153.8499999999999</v>
      </c>
      <c r="Y292" s="85"/>
      <c r="Z292" s="82">
        <v>2000</v>
      </c>
      <c r="AA292" s="70"/>
      <c r="AB292" s="82">
        <f>+Z292</f>
        <v>2000</v>
      </c>
      <c r="AC292" s="82"/>
      <c r="AD292" s="68"/>
    </row>
    <row r="293" spans="1:31" x14ac:dyDescent="0.2">
      <c r="A293" s="88" t="s">
        <v>144</v>
      </c>
      <c r="B293" s="87" t="s">
        <v>143</v>
      </c>
      <c r="C293" s="85">
        <v>58.7</v>
      </c>
      <c r="D293" s="85">
        <v>58.65</v>
      </c>
      <c r="E293" s="85"/>
      <c r="F293" s="85">
        <v>58.7</v>
      </c>
      <c r="G293" s="85">
        <v>58.65</v>
      </c>
      <c r="H293" s="85"/>
      <c r="I293" s="85">
        <v>58.7</v>
      </c>
      <c r="J293" s="85">
        <v>58.67</v>
      </c>
      <c r="K293" s="85"/>
      <c r="L293" s="85">
        <v>58.7</v>
      </c>
      <c r="M293" s="85">
        <v>58.67</v>
      </c>
      <c r="N293" s="85"/>
      <c r="O293" s="85">
        <v>58.7</v>
      </c>
      <c r="P293" s="85">
        <v>58.67</v>
      </c>
      <c r="Q293" s="85"/>
      <c r="R293" s="85">
        <v>58.7</v>
      </c>
      <c r="S293" s="85">
        <v>58.67</v>
      </c>
      <c r="T293" s="85"/>
      <c r="U293" s="85">
        <v>58.7</v>
      </c>
      <c r="V293" s="85">
        <v>58.67</v>
      </c>
      <c r="W293" s="86">
        <f>+C293+F293+I293+L293+O293+R293+U293</f>
        <v>410.9</v>
      </c>
      <c r="X293" s="86">
        <f>+D293+G293+J293+M293+P293+S293+V293</f>
        <v>410.65000000000003</v>
      </c>
      <c r="Y293" s="85"/>
      <c r="Z293" s="82">
        <v>704</v>
      </c>
      <c r="AA293" s="70"/>
      <c r="AB293" s="82">
        <f>+Z293</f>
        <v>704</v>
      </c>
      <c r="AC293" s="82"/>
      <c r="AD293" s="68"/>
    </row>
    <row r="294" spans="1:31" x14ac:dyDescent="0.2">
      <c r="A294" s="88" t="s">
        <v>142</v>
      </c>
      <c r="B294" s="87" t="s">
        <v>141</v>
      </c>
      <c r="C294" s="85">
        <v>32.380000000000003</v>
      </c>
      <c r="D294" s="85">
        <v>64.150000000000006</v>
      </c>
      <c r="E294" s="85"/>
      <c r="F294" s="85">
        <v>32.380000000000003</v>
      </c>
      <c r="G294" s="85">
        <v>64.150000000000006</v>
      </c>
      <c r="H294" s="85"/>
      <c r="I294" s="85">
        <v>32.380000000000003</v>
      </c>
      <c r="J294" s="85">
        <v>64.17</v>
      </c>
      <c r="K294" s="85"/>
      <c r="L294" s="85">
        <v>32.380000000000003</v>
      </c>
      <c r="M294" s="85">
        <v>64.17</v>
      </c>
      <c r="N294" s="85"/>
      <c r="O294" s="85">
        <v>32.380000000000003</v>
      </c>
      <c r="P294" s="85">
        <v>64.17</v>
      </c>
      <c r="Q294" s="85"/>
      <c r="R294" s="85">
        <v>62.77</v>
      </c>
      <c r="S294" s="85">
        <v>64.17</v>
      </c>
      <c r="T294" s="85"/>
      <c r="U294" s="85">
        <v>156.68</v>
      </c>
      <c r="V294" s="85">
        <v>64.17</v>
      </c>
      <c r="W294" s="86">
        <f>+C294+F294+I294+L294+O294+R294+U294</f>
        <v>381.35</v>
      </c>
      <c r="X294" s="86">
        <f>+D294+G294+J294+M294+P294+S294+V294</f>
        <v>449.15000000000009</v>
      </c>
      <c r="Y294" s="85"/>
      <c r="Z294" s="82">
        <v>770</v>
      </c>
      <c r="AA294" s="70"/>
      <c r="AB294" s="82">
        <f>+Z294</f>
        <v>770</v>
      </c>
      <c r="AC294" s="82"/>
      <c r="AD294" s="68"/>
      <c r="AE294" s="68"/>
    </row>
    <row r="295" spans="1:31" x14ac:dyDescent="0.2">
      <c r="A295" s="88">
        <v>6080300</v>
      </c>
      <c r="B295" s="87" t="s">
        <v>140</v>
      </c>
      <c r="C295" s="85"/>
      <c r="D295" s="85"/>
      <c r="E295" s="85"/>
      <c r="F295" s="85"/>
      <c r="G295" s="85">
        <v>40199.25</v>
      </c>
      <c r="H295" s="85"/>
      <c r="I295" s="85">
        <v>96036.15</v>
      </c>
      <c r="J295" s="85">
        <v>80398.5</v>
      </c>
      <c r="K295" s="85"/>
      <c r="L295" s="85">
        <v>127133.78</v>
      </c>
      <c r="M295" s="85">
        <v>80398.5</v>
      </c>
      <c r="N295" s="85"/>
      <c r="O295" s="85">
        <v>157195.43</v>
      </c>
      <c r="P295" s="85">
        <v>120597.75</v>
      </c>
      <c r="Q295" s="85"/>
      <c r="R295" s="85">
        <v>21707</v>
      </c>
      <c r="S295" s="85">
        <v>80398.5</v>
      </c>
      <c r="T295" s="85"/>
      <c r="U295" s="85">
        <v>0</v>
      </c>
      <c r="V295" s="85">
        <v>0</v>
      </c>
      <c r="W295" s="86">
        <f>+C295+F295+I295+L295+O295+R295+U295</f>
        <v>402072.36</v>
      </c>
      <c r="X295" s="86">
        <f>+D295+G295+J295+M295+P295+S295+V295</f>
        <v>401992.5</v>
      </c>
      <c r="Y295" s="85"/>
      <c r="Z295" s="82">
        <v>401992.5</v>
      </c>
      <c r="AA295" s="70"/>
      <c r="AB295" s="82">
        <f>+Z295</f>
        <v>401992.5</v>
      </c>
      <c r="AC295" s="82"/>
      <c r="AD295" s="68"/>
    </row>
    <row r="296" spans="1:31" x14ac:dyDescent="0.2">
      <c r="A296" s="88">
        <v>6080310</v>
      </c>
      <c r="B296" s="87" t="s">
        <v>139</v>
      </c>
      <c r="C296" s="85"/>
      <c r="D296" s="85"/>
      <c r="E296" s="85"/>
      <c r="F296" s="85"/>
      <c r="G296" s="85">
        <v>4019.93</v>
      </c>
      <c r="H296" s="85"/>
      <c r="I296" s="85">
        <v>8499.17</v>
      </c>
      <c r="J296" s="85">
        <v>8039.85</v>
      </c>
      <c r="K296" s="85"/>
      <c r="L296" s="85">
        <v>12245.42</v>
      </c>
      <c r="M296" s="85">
        <v>8039.85</v>
      </c>
      <c r="N296" s="85"/>
      <c r="O296" s="85">
        <v>14275.77</v>
      </c>
      <c r="P296" s="85">
        <v>12059.77</v>
      </c>
      <c r="Q296" s="85"/>
      <c r="R296" s="85">
        <v>1851.79</v>
      </c>
      <c r="S296" s="85">
        <v>8039.85</v>
      </c>
      <c r="T296" s="85"/>
      <c r="U296" s="85">
        <v>0</v>
      </c>
      <c r="V296" s="85">
        <v>0</v>
      </c>
      <c r="W296" s="86">
        <f>+C296+F296+I296+L296+O296+R296+U296</f>
        <v>36872.15</v>
      </c>
      <c r="X296" s="86">
        <f>+D296+G296+J296+M296+P296+S296+V296</f>
        <v>40199.25</v>
      </c>
      <c r="Y296" s="85"/>
      <c r="Z296" s="82">
        <v>40199.25</v>
      </c>
      <c r="AA296" s="70"/>
      <c r="AB296" s="82">
        <f>+Z296</f>
        <v>40199.25</v>
      </c>
      <c r="AC296" s="82"/>
      <c r="AD296" s="68"/>
    </row>
    <row r="297" spans="1:31" x14ac:dyDescent="0.2">
      <c r="A297" s="88">
        <v>6080320</v>
      </c>
      <c r="B297" s="87" t="s">
        <v>138</v>
      </c>
      <c r="C297" s="85"/>
      <c r="D297" s="85"/>
      <c r="E297" s="85"/>
      <c r="F297" s="85"/>
      <c r="G297" s="85">
        <v>100</v>
      </c>
      <c r="H297" s="85"/>
      <c r="I297" s="85"/>
      <c r="J297" s="85">
        <v>200</v>
      </c>
      <c r="K297" s="85"/>
      <c r="L297" s="85"/>
      <c r="M297" s="85">
        <v>200</v>
      </c>
      <c r="N297" s="85"/>
      <c r="O297" s="85"/>
      <c r="P297" s="85">
        <v>300</v>
      </c>
      <c r="Q297" s="85"/>
      <c r="R297" s="85">
        <v>0</v>
      </c>
      <c r="S297" s="85">
        <v>200</v>
      </c>
      <c r="T297" s="85"/>
      <c r="U297" s="85">
        <v>0</v>
      </c>
      <c r="V297" s="85">
        <v>0</v>
      </c>
      <c r="W297" s="86">
        <f>+C297+F297+I297+L297+O297+R297+U297</f>
        <v>0</v>
      </c>
      <c r="X297" s="86">
        <f>+D297+G297+J297+M297+P297+S297+V297</f>
        <v>1000</v>
      </c>
      <c r="Y297" s="85"/>
      <c r="Z297" s="82">
        <v>1000</v>
      </c>
      <c r="AA297" s="70"/>
      <c r="AB297" s="82">
        <f>+Z297</f>
        <v>1000</v>
      </c>
      <c r="AC297" s="82"/>
      <c r="AD297" s="68"/>
    </row>
    <row r="298" spans="1:31" x14ac:dyDescent="0.2">
      <c r="A298" s="88">
        <v>6080350</v>
      </c>
      <c r="B298" s="87" t="s">
        <v>137</v>
      </c>
      <c r="C298" s="85">
        <v>2363</v>
      </c>
      <c r="D298" s="85">
        <v>5000</v>
      </c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>
        <v>0</v>
      </c>
      <c r="S298" s="85">
        <v>0</v>
      </c>
      <c r="T298" s="85"/>
      <c r="U298" s="85">
        <v>143.6</v>
      </c>
      <c r="V298" s="85">
        <v>0</v>
      </c>
      <c r="W298" s="86">
        <f>+C298+F298+I298+L298+O298+R298+U298</f>
        <v>2506.6</v>
      </c>
      <c r="X298" s="86">
        <f>+D298+G298+J298+M298+P298+S298+V298</f>
        <v>5000</v>
      </c>
      <c r="Y298" s="85"/>
      <c r="Z298" s="82">
        <v>10000</v>
      </c>
      <c r="AA298" s="70"/>
      <c r="AB298" s="82">
        <f>+Z298</f>
        <v>10000</v>
      </c>
      <c r="AC298" s="82"/>
      <c r="AD298" s="68"/>
    </row>
    <row r="299" spans="1:31" x14ac:dyDescent="0.2">
      <c r="A299" s="88">
        <v>6080360</v>
      </c>
      <c r="B299" s="87" t="s">
        <v>136</v>
      </c>
      <c r="C299" s="85">
        <v>-1759.53</v>
      </c>
      <c r="D299" s="85">
        <v>1031.79</v>
      </c>
      <c r="E299" s="85"/>
      <c r="F299" s="85">
        <v>-1759.53</v>
      </c>
      <c r="G299" s="85">
        <v>1031.78</v>
      </c>
      <c r="H299" s="85"/>
      <c r="I299" s="85">
        <v>-1759.53</v>
      </c>
      <c r="J299" s="85">
        <v>1031.78</v>
      </c>
      <c r="K299" s="85"/>
      <c r="L299" s="85">
        <v>-1759.53</v>
      </c>
      <c r="M299" s="85">
        <v>1031.78</v>
      </c>
      <c r="N299" s="85"/>
      <c r="O299" s="85">
        <v>-1759.53</v>
      </c>
      <c r="P299" s="85">
        <v>1031.78</v>
      </c>
      <c r="Q299" s="85"/>
      <c r="R299" s="85">
        <v>1009.36</v>
      </c>
      <c r="S299" s="85">
        <v>1031.78</v>
      </c>
      <c r="T299" s="85"/>
      <c r="U299" s="85">
        <v>2519.39</v>
      </c>
      <c r="V299" s="85">
        <v>1031.78</v>
      </c>
      <c r="W299" s="86">
        <f>+C299+F299+I299+L299+O299+R299+U299</f>
        <v>-5268.9</v>
      </c>
      <c r="X299" s="86">
        <f>+D299+G299+J299+M299+P299+S299+V299</f>
        <v>7222.4699999999984</v>
      </c>
      <c r="Y299" s="85"/>
      <c r="Z299" s="82">
        <v>12381.37</v>
      </c>
      <c r="AA299" s="70"/>
      <c r="AB299" s="82">
        <f>+Z299</f>
        <v>12381.37</v>
      </c>
      <c r="AC299" s="82"/>
      <c r="AD299" s="68"/>
      <c r="AE299" s="68"/>
    </row>
    <row r="300" spans="1:31" x14ac:dyDescent="0.2">
      <c r="A300" s="88" t="s">
        <v>135</v>
      </c>
      <c r="B300" s="87" t="s">
        <v>134</v>
      </c>
      <c r="C300" s="85">
        <v>524.23</v>
      </c>
      <c r="D300" s="85">
        <v>666.65</v>
      </c>
      <c r="E300" s="85"/>
      <c r="F300" s="85">
        <v>890.52</v>
      </c>
      <c r="G300" s="85">
        <v>666.65</v>
      </c>
      <c r="H300" s="85"/>
      <c r="I300" s="85">
        <v>514.63</v>
      </c>
      <c r="J300" s="85">
        <v>666.67</v>
      </c>
      <c r="K300" s="85"/>
      <c r="L300" s="85">
        <v>276.7</v>
      </c>
      <c r="M300" s="85">
        <v>666.67</v>
      </c>
      <c r="N300" s="85"/>
      <c r="O300" s="85">
        <v>1388.4</v>
      </c>
      <c r="P300" s="85">
        <v>666.67</v>
      </c>
      <c r="Q300" s="85"/>
      <c r="R300" s="85">
        <v>584.23</v>
      </c>
      <c r="S300" s="85">
        <v>666.67</v>
      </c>
      <c r="T300" s="85"/>
      <c r="U300" s="85">
        <v>506.27</v>
      </c>
      <c r="V300" s="85">
        <v>666.67</v>
      </c>
      <c r="W300" s="86">
        <f>+C300+F300+I300+L300+O300+R300+U300</f>
        <v>4684.9799999999996</v>
      </c>
      <c r="X300" s="86">
        <f>+D300+G300+J300+M300+P300+S300+V300</f>
        <v>4666.6499999999996</v>
      </c>
      <c r="Y300" s="85"/>
      <c r="Z300" s="82">
        <v>8000</v>
      </c>
      <c r="AA300" s="70"/>
      <c r="AB300" s="82">
        <f>+Z300</f>
        <v>8000</v>
      </c>
      <c r="AC300" s="82"/>
      <c r="AD300" s="68"/>
    </row>
    <row r="301" spans="1:31" x14ac:dyDescent="0.2">
      <c r="A301" s="88" t="s">
        <v>133</v>
      </c>
      <c r="B301" s="87" t="s">
        <v>132</v>
      </c>
      <c r="C301" s="85">
        <v>300</v>
      </c>
      <c r="D301" s="85">
        <v>195</v>
      </c>
      <c r="E301" s="85"/>
      <c r="F301" s="85"/>
      <c r="G301" s="85">
        <v>195</v>
      </c>
      <c r="H301" s="85"/>
      <c r="I301" s="85">
        <v>415</v>
      </c>
      <c r="J301" s="85">
        <v>195</v>
      </c>
      <c r="K301" s="85"/>
      <c r="L301" s="85">
        <v>300</v>
      </c>
      <c r="M301" s="85">
        <v>195</v>
      </c>
      <c r="N301" s="85"/>
      <c r="O301" s="85"/>
      <c r="P301" s="85">
        <v>195</v>
      </c>
      <c r="Q301" s="85"/>
      <c r="R301" s="85">
        <v>493</v>
      </c>
      <c r="S301" s="85">
        <v>195</v>
      </c>
      <c r="T301" s="85"/>
      <c r="U301" s="85">
        <v>0</v>
      </c>
      <c r="V301" s="85">
        <v>195</v>
      </c>
      <c r="W301" s="86">
        <f>+C301+F301+I301+L301+O301+R301+U301</f>
        <v>1508</v>
      </c>
      <c r="X301" s="86">
        <f>+D301+G301+J301+M301+P301+S301+V301</f>
        <v>1365</v>
      </c>
      <c r="Y301" s="85"/>
      <c r="Z301" s="82">
        <v>2340</v>
      </c>
      <c r="AA301" s="70"/>
      <c r="AB301" s="82">
        <f>+Z301</f>
        <v>2340</v>
      </c>
      <c r="AC301" s="82"/>
      <c r="AD301" s="68"/>
    </row>
    <row r="302" spans="1:31" x14ac:dyDescent="0.2">
      <c r="A302" s="88" t="s">
        <v>131</v>
      </c>
      <c r="B302" s="87" t="s">
        <v>130</v>
      </c>
      <c r="C302" s="85">
        <v>34.18</v>
      </c>
      <c r="D302" s="85">
        <v>125</v>
      </c>
      <c r="E302" s="85"/>
      <c r="F302" s="85">
        <v>162.58000000000001</v>
      </c>
      <c r="G302" s="85">
        <v>125</v>
      </c>
      <c r="H302" s="85"/>
      <c r="I302" s="85">
        <v>289.17</v>
      </c>
      <c r="J302" s="85">
        <v>125</v>
      </c>
      <c r="K302" s="85"/>
      <c r="L302" s="85">
        <v>110.07</v>
      </c>
      <c r="M302" s="85">
        <v>125</v>
      </c>
      <c r="N302" s="85"/>
      <c r="O302" s="85">
        <v>337.62</v>
      </c>
      <c r="P302" s="85">
        <v>125</v>
      </c>
      <c r="Q302" s="85"/>
      <c r="R302" s="85">
        <v>36.06</v>
      </c>
      <c r="S302" s="85">
        <v>125</v>
      </c>
      <c r="T302" s="85"/>
      <c r="U302" s="85">
        <v>82.23</v>
      </c>
      <c r="V302" s="85">
        <v>125</v>
      </c>
      <c r="W302" s="86">
        <f>+C302+F302+I302+L302+O302+R302+U302</f>
        <v>1051.9100000000001</v>
      </c>
      <c r="X302" s="86">
        <f>+D302+G302+J302+M302+P302+S302+V302</f>
        <v>875</v>
      </c>
      <c r="Y302" s="85"/>
      <c r="Z302" s="82">
        <v>1500</v>
      </c>
      <c r="AA302" s="70"/>
      <c r="AB302" s="82">
        <f>+Z302</f>
        <v>1500</v>
      </c>
      <c r="AC302" s="82"/>
      <c r="AD302" s="68"/>
    </row>
    <row r="303" spans="1:31" x14ac:dyDescent="0.2">
      <c r="A303" s="88" t="s">
        <v>129</v>
      </c>
      <c r="B303" s="87" t="s">
        <v>128</v>
      </c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>
        <v>0</v>
      </c>
      <c r="S303" s="85">
        <v>0</v>
      </c>
      <c r="T303" s="85"/>
      <c r="U303" s="85"/>
      <c r="V303" s="85"/>
      <c r="W303" s="86">
        <f>+C303+F303+I303+L303+O303+R303+U303</f>
        <v>0</v>
      </c>
      <c r="X303" s="86">
        <f>+D303+G303+J303+M303+P303+S303+V303</f>
        <v>0</v>
      </c>
      <c r="Y303" s="85"/>
      <c r="Z303" s="82"/>
      <c r="AA303" s="70"/>
      <c r="AB303" s="82">
        <f>+Z303</f>
        <v>0</v>
      </c>
      <c r="AC303" s="82"/>
      <c r="AD303" s="68"/>
    </row>
    <row r="304" spans="1:31" x14ac:dyDescent="0.2">
      <c r="A304" s="88" t="s">
        <v>127</v>
      </c>
      <c r="B304" s="87" t="s">
        <v>126</v>
      </c>
      <c r="C304" s="85">
        <v>18.559999999999999</v>
      </c>
      <c r="D304" s="85"/>
      <c r="E304" s="85"/>
      <c r="F304" s="85"/>
      <c r="G304" s="85">
        <v>125</v>
      </c>
      <c r="H304" s="85"/>
      <c r="I304" s="85">
        <v>228.51</v>
      </c>
      <c r="J304" s="85">
        <v>250</v>
      </c>
      <c r="K304" s="85"/>
      <c r="L304" s="85">
        <v>202.75</v>
      </c>
      <c r="M304" s="85">
        <v>250</v>
      </c>
      <c r="N304" s="85"/>
      <c r="O304" s="85">
        <v>187.67</v>
      </c>
      <c r="P304" s="85">
        <v>250</v>
      </c>
      <c r="Q304" s="85"/>
      <c r="R304" s="85">
        <v>144.96</v>
      </c>
      <c r="S304" s="85">
        <v>125</v>
      </c>
      <c r="T304" s="85"/>
      <c r="U304" s="85">
        <v>0</v>
      </c>
      <c r="V304" s="85">
        <v>0</v>
      </c>
      <c r="W304" s="86">
        <f>+C304+F304+I304+L304+O304+R304+U304</f>
        <v>782.45</v>
      </c>
      <c r="X304" s="86">
        <f>+D304+G304+J304+M304+P304+S304+V304</f>
        <v>1000</v>
      </c>
      <c r="Y304" s="85"/>
      <c r="Z304" s="82">
        <v>1000</v>
      </c>
      <c r="AA304" s="70"/>
      <c r="AB304" s="82">
        <f>+Z304</f>
        <v>1000</v>
      </c>
      <c r="AC304" s="82"/>
      <c r="AD304" s="68"/>
    </row>
    <row r="305" spans="1:30" x14ac:dyDescent="0.2">
      <c r="A305" s="88" t="s">
        <v>125</v>
      </c>
      <c r="B305" s="87" t="s">
        <v>124</v>
      </c>
      <c r="C305" s="85">
        <v>17.989999999999998</v>
      </c>
      <c r="D305" s="85">
        <v>750</v>
      </c>
      <c r="E305" s="85"/>
      <c r="F305" s="85">
        <v>16.96</v>
      </c>
      <c r="G305" s="85"/>
      <c r="H305" s="85"/>
      <c r="I305" s="85">
        <v>259.98</v>
      </c>
      <c r="J305" s="85"/>
      <c r="K305" s="85"/>
      <c r="L305" s="85">
        <v>36.99</v>
      </c>
      <c r="M305" s="85"/>
      <c r="N305" s="85"/>
      <c r="O305" s="85"/>
      <c r="P305" s="85"/>
      <c r="Q305" s="85"/>
      <c r="R305" s="85">
        <v>0</v>
      </c>
      <c r="S305" s="85">
        <v>0</v>
      </c>
      <c r="T305" s="85"/>
      <c r="U305" s="85">
        <v>334.67</v>
      </c>
      <c r="V305" s="85">
        <v>0</v>
      </c>
      <c r="W305" s="86">
        <f>+C305+F305+I305+L305+O305+R305+U305</f>
        <v>666.59</v>
      </c>
      <c r="X305" s="86">
        <f>+D305+G305+J305+M305+P305+S305+V305</f>
        <v>750</v>
      </c>
      <c r="Y305" s="85"/>
      <c r="Z305" s="82">
        <v>1500</v>
      </c>
      <c r="AA305" s="70"/>
      <c r="AB305" s="82">
        <f>+Z305</f>
        <v>1500</v>
      </c>
      <c r="AC305" s="82"/>
      <c r="AD305" s="68"/>
    </row>
    <row r="306" spans="1:30" x14ac:dyDescent="0.2">
      <c r="A306" s="88" t="s">
        <v>123</v>
      </c>
      <c r="B306" s="87" t="s">
        <v>122</v>
      </c>
      <c r="C306" s="85">
        <v>121.92</v>
      </c>
      <c r="D306" s="85">
        <v>62.5</v>
      </c>
      <c r="E306" s="85"/>
      <c r="F306" s="85">
        <v>121.92</v>
      </c>
      <c r="G306" s="85">
        <v>62.5</v>
      </c>
      <c r="H306" s="85"/>
      <c r="I306" s="85">
        <v>121.92</v>
      </c>
      <c r="J306" s="85">
        <v>62.5</v>
      </c>
      <c r="K306" s="85"/>
      <c r="L306" s="85">
        <v>121.92</v>
      </c>
      <c r="M306" s="85">
        <v>62.5</v>
      </c>
      <c r="N306" s="85"/>
      <c r="O306" s="85">
        <v>121.92</v>
      </c>
      <c r="P306" s="85">
        <v>62.5</v>
      </c>
      <c r="Q306" s="85"/>
      <c r="R306" s="85">
        <v>121.92</v>
      </c>
      <c r="S306" s="85">
        <v>62.5</v>
      </c>
      <c r="T306" s="85"/>
      <c r="U306" s="85">
        <v>121.92</v>
      </c>
      <c r="V306" s="85">
        <v>62.5</v>
      </c>
      <c r="W306" s="86">
        <f>+C306+F306+I306+L306+O306+R306+U306</f>
        <v>853.43999999999994</v>
      </c>
      <c r="X306" s="86">
        <f>+D306+G306+J306+M306+P306+S306+V306</f>
        <v>437.5</v>
      </c>
      <c r="Y306" s="85"/>
      <c r="Z306" s="82">
        <v>750</v>
      </c>
      <c r="AA306" s="70"/>
      <c r="AB306" s="82">
        <f>+Z306</f>
        <v>750</v>
      </c>
      <c r="AC306" s="82"/>
      <c r="AD306" s="68"/>
    </row>
    <row r="307" spans="1:30" x14ac:dyDescent="0.2">
      <c r="A307" s="88" t="s">
        <v>121</v>
      </c>
      <c r="B307" s="87" t="s">
        <v>120</v>
      </c>
      <c r="C307" s="85"/>
      <c r="D307" s="85">
        <v>41.65</v>
      </c>
      <c r="E307" s="85"/>
      <c r="F307" s="85"/>
      <c r="G307" s="85">
        <v>41.65</v>
      </c>
      <c r="H307" s="85"/>
      <c r="I307" s="85"/>
      <c r="J307" s="85">
        <v>41.67</v>
      </c>
      <c r="K307" s="85"/>
      <c r="L307" s="85"/>
      <c r="M307" s="85">
        <v>41.67</v>
      </c>
      <c r="N307" s="85"/>
      <c r="O307" s="85"/>
      <c r="P307" s="85">
        <v>41.67</v>
      </c>
      <c r="Q307" s="85"/>
      <c r="R307" s="85">
        <v>0</v>
      </c>
      <c r="S307" s="85">
        <v>41.67</v>
      </c>
      <c r="T307" s="85"/>
      <c r="U307" s="85">
        <v>0</v>
      </c>
      <c r="V307" s="85">
        <v>41.67</v>
      </c>
      <c r="W307" s="86">
        <f>+C307+F307+I307+L307+O307+R307+U307</f>
        <v>0</v>
      </c>
      <c r="X307" s="86">
        <f>+D307+G307+J307+M307+P307+S307+V307</f>
        <v>291.65000000000003</v>
      </c>
      <c r="Y307" s="85"/>
      <c r="Z307" s="82">
        <v>500</v>
      </c>
      <c r="AA307" s="70"/>
      <c r="AB307" s="82">
        <f>+Z307</f>
        <v>500</v>
      </c>
      <c r="AC307" s="82"/>
      <c r="AD307" s="68"/>
    </row>
    <row r="308" spans="1:30" x14ac:dyDescent="0.2">
      <c r="A308" s="88" t="s">
        <v>119</v>
      </c>
      <c r="B308" s="87" t="s">
        <v>118</v>
      </c>
      <c r="C308" s="85"/>
      <c r="D308" s="85"/>
      <c r="E308" s="85"/>
      <c r="F308" s="85">
        <v>270</v>
      </c>
      <c r="G308" s="85"/>
      <c r="H308" s="85"/>
      <c r="I308" s="85"/>
      <c r="J308" s="85"/>
      <c r="K308" s="85"/>
      <c r="L308" s="85">
        <v>2100</v>
      </c>
      <c r="M308" s="85">
        <v>10000</v>
      </c>
      <c r="N308" s="85"/>
      <c r="O308" s="85">
        <v>6650</v>
      </c>
      <c r="P308" s="85"/>
      <c r="Q308" s="85"/>
      <c r="R308" s="85">
        <v>0</v>
      </c>
      <c r="S308" s="85">
        <v>0</v>
      </c>
      <c r="T308" s="85"/>
      <c r="U308" s="85">
        <v>0</v>
      </c>
      <c r="V308" s="85">
        <v>0</v>
      </c>
      <c r="W308" s="86">
        <f>+C308+F308+I308+L308+O308+R308+U308</f>
        <v>9020</v>
      </c>
      <c r="X308" s="86">
        <f>+D308+G308+J308+M308+P308+S308+V308</f>
        <v>10000</v>
      </c>
      <c r="Y308" s="85"/>
      <c r="Z308" s="82">
        <v>10000</v>
      </c>
      <c r="AA308" s="70"/>
      <c r="AB308" s="82">
        <f>+Z308</f>
        <v>10000</v>
      </c>
      <c r="AC308" s="82"/>
      <c r="AD308" s="68"/>
    </row>
    <row r="309" spans="1:30" x14ac:dyDescent="0.2">
      <c r="A309" s="88" t="s">
        <v>117</v>
      </c>
      <c r="B309" s="87" t="s">
        <v>116</v>
      </c>
      <c r="C309" s="85">
        <v>628.29</v>
      </c>
      <c r="D309" s="85">
        <v>500</v>
      </c>
      <c r="E309" s="85"/>
      <c r="F309" s="85">
        <v>143.82</v>
      </c>
      <c r="G309" s="85">
        <v>500</v>
      </c>
      <c r="H309" s="85"/>
      <c r="I309" s="85">
        <v>416.04</v>
      </c>
      <c r="J309" s="85">
        <v>1500</v>
      </c>
      <c r="K309" s="85"/>
      <c r="L309" s="85">
        <v>813.39</v>
      </c>
      <c r="M309" s="85">
        <v>1500</v>
      </c>
      <c r="N309" s="85"/>
      <c r="O309" s="85">
        <v>109.25</v>
      </c>
      <c r="P309" s="85">
        <v>1500</v>
      </c>
      <c r="Q309" s="85"/>
      <c r="R309" s="85">
        <v>127.22</v>
      </c>
      <c r="S309" s="85">
        <v>500</v>
      </c>
      <c r="T309" s="85"/>
      <c r="U309" s="85">
        <v>0</v>
      </c>
      <c r="V309" s="85">
        <v>0</v>
      </c>
      <c r="W309" s="86">
        <f>+C309+F309+I309+L309+O309+R309+U309</f>
        <v>2238.0099999999998</v>
      </c>
      <c r="X309" s="86">
        <f>+D309+G309+J309+M309+P309+S309+V309</f>
        <v>6000</v>
      </c>
      <c r="Y309" s="85"/>
      <c r="Z309" s="82">
        <v>6000</v>
      </c>
      <c r="AA309" s="70"/>
      <c r="AB309" s="82">
        <f>+Z309</f>
        <v>6000</v>
      </c>
      <c r="AC309" s="82"/>
      <c r="AD309" s="68"/>
    </row>
    <row r="310" spans="1:30" x14ac:dyDescent="0.2">
      <c r="A310" s="88" t="s">
        <v>115</v>
      </c>
      <c r="B310" s="87" t="s">
        <v>114</v>
      </c>
      <c r="C310" s="85">
        <v>967.14</v>
      </c>
      <c r="D310" s="85"/>
      <c r="E310" s="85"/>
      <c r="F310" s="85"/>
      <c r="G310" s="85"/>
      <c r="H310" s="85"/>
      <c r="I310" s="85">
        <v>281.64999999999998</v>
      </c>
      <c r="J310" s="85"/>
      <c r="K310" s="85"/>
      <c r="L310" s="85"/>
      <c r="M310" s="85"/>
      <c r="N310" s="85"/>
      <c r="O310" s="85"/>
      <c r="P310" s="85"/>
      <c r="Q310" s="85"/>
      <c r="R310" s="85">
        <v>0</v>
      </c>
      <c r="S310" s="85">
        <v>0</v>
      </c>
      <c r="T310" s="85"/>
      <c r="U310" s="85">
        <v>0</v>
      </c>
      <c r="V310" s="85">
        <v>0</v>
      </c>
      <c r="W310" s="86">
        <f>+C310+F310+I310+L310+O310+R310+U310</f>
        <v>1248.79</v>
      </c>
      <c r="X310" s="86">
        <f>+D310+G310+J310+M310+P310+S310+V310</f>
        <v>0</v>
      </c>
      <c r="Y310" s="85"/>
      <c r="Z310" s="82"/>
      <c r="AA310" s="70"/>
      <c r="AB310" s="82">
        <f>+Z310</f>
        <v>0</v>
      </c>
      <c r="AC310" s="82"/>
      <c r="AD310" s="68"/>
    </row>
    <row r="311" spans="1:30" x14ac:dyDescent="0.2">
      <c r="A311" s="88" t="s">
        <v>113</v>
      </c>
      <c r="B311" s="87" t="s">
        <v>112</v>
      </c>
      <c r="C311" s="85"/>
      <c r="D311" s="85"/>
      <c r="E311" s="85"/>
      <c r="F311" s="85"/>
      <c r="G311" s="85"/>
      <c r="H311" s="85"/>
      <c r="I311" s="85">
        <v>158</v>
      </c>
      <c r="J311" s="85"/>
      <c r="K311" s="85"/>
      <c r="L311" s="85"/>
      <c r="M311" s="85"/>
      <c r="N311" s="85"/>
      <c r="O311" s="85">
        <v>80.180000000000007</v>
      </c>
      <c r="P311" s="85"/>
      <c r="Q311" s="85"/>
      <c r="R311" s="85">
        <v>245.05</v>
      </c>
      <c r="S311" s="85">
        <v>0</v>
      </c>
      <c r="T311" s="85"/>
      <c r="U311" s="85">
        <v>0</v>
      </c>
      <c r="V311" s="85">
        <v>0</v>
      </c>
      <c r="W311" s="86">
        <f>+C311+F311+I311+L311+O311+R311+U311</f>
        <v>483.23</v>
      </c>
      <c r="X311" s="86">
        <f>+D311+G311+J311+M311+P311+S311+V311</f>
        <v>0</v>
      </c>
      <c r="Y311" s="85"/>
      <c r="Z311" s="82"/>
      <c r="AA311" s="70"/>
      <c r="AB311" s="82">
        <f>+Z311</f>
        <v>0</v>
      </c>
      <c r="AC311" s="82"/>
      <c r="AD311" s="68"/>
    </row>
    <row r="312" spans="1:30" x14ac:dyDescent="0.2">
      <c r="A312" s="88" t="s">
        <v>111</v>
      </c>
      <c r="B312" s="87" t="s">
        <v>110</v>
      </c>
      <c r="C312" s="85"/>
      <c r="D312" s="85">
        <v>666.65</v>
      </c>
      <c r="E312" s="85"/>
      <c r="F312" s="85">
        <v>2170.8000000000002</v>
      </c>
      <c r="G312" s="85">
        <v>666.65</v>
      </c>
      <c r="H312" s="85"/>
      <c r="I312" s="85"/>
      <c r="J312" s="85">
        <v>666.67</v>
      </c>
      <c r="K312" s="85"/>
      <c r="L312" s="85">
        <v>1845</v>
      </c>
      <c r="M312" s="85">
        <v>666.67</v>
      </c>
      <c r="N312" s="85"/>
      <c r="O312" s="85">
        <v>7081.47</v>
      </c>
      <c r="P312" s="85">
        <v>666.67</v>
      </c>
      <c r="Q312" s="85"/>
      <c r="R312" s="85">
        <v>235</v>
      </c>
      <c r="S312" s="85">
        <v>666.67</v>
      </c>
      <c r="T312" s="85"/>
      <c r="U312" s="85">
        <v>0</v>
      </c>
      <c r="V312" s="85">
        <v>666.67</v>
      </c>
      <c r="W312" s="86">
        <f>+C312+F312+I312+L312+O312+R312+U312</f>
        <v>11332.27</v>
      </c>
      <c r="X312" s="86">
        <f>+D312+G312+J312+M312+P312+S312+V312</f>
        <v>4666.6499999999996</v>
      </c>
      <c r="Y312" s="85"/>
      <c r="Z312" s="82">
        <v>8000</v>
      </c>
      <c r="AA312" s="70"/>
      <c r="AB312" s="82">
        <v>0</v>
      </c>
      <c r="AC312" s="82">
        <f>+Z312</f>
        <v>8000</v>
      </c>
      <c r="AD312" s="68"/>
    </row>
    <row r="313" spans="1:30" x14ac:dyDescent="0.2">
      <c r="A313" s="88" t="s">
        <v>109</v>
      </c>
      <c r="B313" s="87" t="s">
        <v>108</v>
      </c>
      <c r="C313" s="85">
        <v>1554.8</v>
      </c>
      <c r="D313" s="85">
        <v>1250</v>
      </c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>
        <v>0</v>
      </c>
      <c r="S313" s="85">
        <v>0</v>
      </c>
      <c r="T313" s="85"/>
      <c r="U313" s="85">
        <v>0</v>
      </c>
      <c r="V313" s="85">
        <v>0</v>
      </c>
      <c r="W313" s="86">
        <f>+C313+F313+I313+L313+O313+R313+U313</f>
        <v>1554.8</v>
      </c>
      <c r="X313" s="86">
        <f>+D313+G313+J313+M313+P313+S313+V313</f>
        <v>1250</v>
      </c>
      <c r="Y313" s="85"/>
      <c r="Z313" s="82">
        <v>2500</v>
      </c>
      <c r="AA313" s="70"/>
      <c r="AB313" s="82">
        <f>+Z313</f>
        <v>2500</v>
      </c>
      <c r="AC313" s="82"/>
      <c r="AD313" s="68"/>
    </row>
    <row r="314" spans="1:30" x14ac:dyDescent="0.2">
      <c r="A314" s="88">
        <v>6082000</v>
      </c>
      <c r="B314" s="87" t="s">
        <v>107</v>
      </c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>
        <v>0</v>
      </c>
      <c r="S314" s="85">
        <v>0</v>
      </c>
      <c r="T314" s="85"/>
      <c r="U314" s="85"/>
      <c r="V314" s="85"/>
      <c r="W314" s="86">
        <f>+C314+F314+I314+L314+O314+R314+U314</f>
        <v>0</v>
      </c>
      <c r="X314" s="86">
        <f>+D314+G314+J314+M314+P314+S314+V314</f>
        <v>0</v>
      </c>
      <c r="Y314" s="85"/>
      <c r="Z314" s="82"/>
      <c r="AA314" s="70"/>
      <c r="AB314" s="82">
        <f>+Z314</f>
        <v>0</v>
      </c>
      <c r="AC314" s="82"/>
      <c r="AD314" s="68"/>
    </row>
    <row r="315" spans="1:30" x14ac:dyDescent="0.2">
      <c r="A315" s="88">
        <v>6082050</v>
      </c>
      <c r="B315" s="87" t="s">
        <v>106</v>
      </c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>
        <v>0</v>
      </c>
      <c r="S315" s="85">
        <v>0</v>
      </c>
      <c r="T315" s="85"/>
      <c r="U315" s="85"/>
      <c r="V315" s="85"/>
      <c r="W315" s="86">
        <f>+C315+F315+I315+L315+O315+R315+U315</f>
        <v>0</v>
      </c>
      <c r="X315" s="86">
        <f>+D315+G315+J315+M315+P315+S315+V315</f>
        <v>0</v>
      </c>
      <c r="Y315" s="85"/>
      <c r="Z315" s="82"/>
      <c r="AA315" s="70"/>
      <c r="AB315" s="82"/>
      <c r="AC315" s="82"/>
      <c r="AD315" s="68"/>
    </row>
    <row r="316" spans="1:30" x14ac:dyDescent="0.2">
      <c r="A316" s="84"/>
      <c r="B316" s="83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70"/>
      <c r="AB316" s="82"/>
      <c r="AC316" s="82"/>
      <c r="AD316" s="68"/>
    </row>
    <row r="317" spans="1:30" x14ac:dyDescent="0.2">
      <c r="A317" s="81" t="s">
        <v>105</v>
      </c>
      <c r="B317" s="80" t="s">
        <v>104</v>
      </c>
      <c r="C317" s="79">
        <f>SUM(C291:C316)</f>
        <v>6919.73</v>
      </c>
      <c r="D317" s="79">
        <f>SUM(D291:D316)</f>
        <v>12488.97</v>
      </c>
      <c r="E317" s="76"/>
      <c r="F317" s="79">
        <f>SUM(F291:F316)</f>
        <v>4201.43</v>
      </c>
      <c r="G317" s="79">
        <f>SUM(G291:G316)</f>
        <v>49933.140000000007</v>
      </c>
      <c r="H317" s="76"/>
      <c r="I317" s="79">
        <f>SUM(I291:I316)</f>
        <v>107626.84999999998</v>
      </c>
      <c r="J317" s="79">
        <f>SUM(J291:J316)</f>
        <v>95377.41</v>
      </c>
      <c r="K317" s="76"/>
      <c r="L317" s="79">
        <f>SUM(L291:L316)</f>
        <v>145587.77000000005</v>
      </c>
      <c r="M317" s="79">
        <f>SUM(M291:M316)</f>
        <v>105377.41</v>
      </c>
      <c r="N317" s="76"/>
      <c r="O317" s="79">
        <f>SUM(O291:O316)</f>
        <v>188872.19999999998</v>
      </c>
      <c r="P317" s="79">
        <f>SUM(P291:P316)</f>
        <v>140735.00000000003</v>
      </c>
      <c r="Q317" s="76"/>
      <c r="R317" s="79">
        <f>SUM(R291:R316)</f>
        <v>28747.26</v>
      </c>
      <c r="S317" s="79">
        <f>SUM(S291:S316)</f>
        <v>94252.41</v>
      </c>
      <c r="T317" s="76"/>
      <c r="U317" s="79">
        <f>SUM(U291:U316)</f>
        <v>5993.65</v>
      </c>
      <c r="V317" s="79">
        <f>SUM(V291:V316)</f>
        <v>4989.0600000000004</v>
      </c>
      <c r="W317" s="79">
        <f>SUM(W291:W316)</f>
        <v>487948.88999999996</v>
      </c>
      <c r="X317" s="79">
        <f>SUM(X291:X316)</f>
        <v>503153.4</v>
      </c>
      <c r="Y317" s="76"/>
      <c r="Z317" s="79">
        <f>SUM(Z291:Z316)</f>
        <v>536137.12</v>
      </c>
      <c r="AA317" s="70"/>
      <c r="AB317" s="79">
        <f>SUM(AB291:AB316)</f>
        <v>528137.12</v>
      </c>
      <c r="AC317" s="79">
        <f>SUM(AC291:AC316)</f>
        <v>8000</v>
      </c>
      <c r="AD317" s="68"/>
    </row>
    <row r="318" spans="1:30" x14ac:dyDescent="0.2"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70"/>
      <c r="AB318" s="67"/>
      <c r="AC318" s="74"/>
      <c r="AD318" s="68"/>
    </row>
    <row r="319" spans="1:30" ht="12" thickBot="1" x14ac:dyDescent="0.25">
      <c r="A319" s="78" t="s">
        <v>103</v>
      </c>
      <c r="B319" s="77" t="s">
        <v>102</v>
      </c>
      <c r="C319" s="75">
        <f>+C317+C288+C253+C210</f>
        <v>393230.2</v>
      </c>
      <c r="D319" s="75">
        <f>+D317+D288+D253+D210</f>
        <v>445743.48000000004</v>
      </c>
      <c r="E319" s="76"/>
      <c r="F319" s="75">
        <f>+F317+F288+F253+F210</f>
        <v>542606.97</v>
      </c>
      <c r="G319" s="75">
        <f>+G317+G288+G253+G210</f>
        <v>527503.56000000006</v>
      </c>
      <c r="H319" s="76"/>
      <c r="I319" s="75">
        <f>+I317+I288+I253+I210</f>
        <v>639158.10999999987</v>
      </c>
      <c r="J319" s="75">
        <f>+J317+J288+J253+J210</f>
        <v>559311.43000000005</v>
      </c>
      <c r="K319" s="76"/>
      <c r="L319" s="75">
        <f>+L317+L288+L253+L210</f>
        <v>760955.56</v>
      </c>
      <c r="M319" s="75">
        <f>+M317+M288+M253+M210</f>
        <v>570080.43000000005</v>
      </c>
      <c r="N319" s="76"/>
      <c r="O319" s="75">
        <f>+O317+O288+O253+O210</f>
        <v>917623.02999999991</v>
      </c>
      <c r="P319" s="75">
        <f>+P317+P288+P253+P210</f>
        <v>762434.88</v>
      </c>
      <c r="Q319" s="76"/>
      <c r="R319" s="75">
        <f>+R317+R288+R253+R210</f>
        <v>652628.17000000004</v>
      </c>
      <c r="S319" s="75">
        <f>+S317+S288+S253+S210</f>
        <v>558260.82999999996</v>
      </c>
      <c r="T319" s="76"/>
      <c r="U319" s="75">
        <f>+U317+U288+U253+U210</f>
        <v>381792.69</v>
      </c>
      <c r="V319" s="75">
        <f>+V317+V288+V253+V210</f>
        <v>937193.94000000018</v>
      </c>
      <c r="W319" s="75">
        <f>+W317+W288+W253+W210</f>
        <v>4287994.7299999995</v>
      </c>
      <c r="X319" s="75">
        <f>+X317+X288+X253+X210</f>
        <v>4360528.55</v>
      </c>
      <c r="Y319" s="76"/>
      <c r="Z319" s="75">
        <f>+Z317+Z288+Z253+Z210</f>
        <v>8022036.3300000001</v>
      </c>
      <c r="AA319" s="70"/>
      <c r="AB319" s="75">
        <f>+AB317+AB288+AB253+AB210</f>
        <v>5313036.33</v>
      </c>
      <c r="AC319" s="75">
        <f>+AC317+AC288+AC253+AC210</f>
        <v>2709000</v>
      </c>
      <c r="AD319" s="68"/>
    </row>
    <row r="320" spans="1:30" ht="12" thickTop="1" x14ac:dyDescent="0.2"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70"/>
      <c r="AB320" s="67"/>
      <c r="AC320" s="74"/>
      <c r="AD320" s="68"/>
    </row>
    <row r="321" spans="1:30" x14ac:dyDescent="0.2"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70"/>
      <c r="AB321" s="67"/>
      <c r="AC321" s="74"/>
      <c r="AD321" s="68"/>
    </row>
    <row r="322" spans="1:30" ht="12" thickBot="1" x14ac:dyDescent="0.25">
      <c r="A322" s="73"/>
      <c r="B322" s="72" t="s">
        <v>101</v>
      </c>
      <c r="C322" s="69">
        <f>+C100-C319</f>
        <v>37466.340000000026</v>
      </c>
      <c r="D322" s="69">
        <f>+D100-D319</f>
        <v>-194.29000000003725</v>
      </c>
      <c r="E322" s="71"/>
      <c r="F322" s="69">
        <f>+F100-F319</f>
        <v>286421.20000000007</v>
      </c>
      <c r="G322" s="69">
        <f>+G100-G319</f>
        <v>183727.96999999986</v>
      </c>
      <c r="H322" s="71"/>
      <c r="I322" s="69">
        <f>+I100-I319</f>
        <v>-5670.5999999998603</v>
      </c>
      <c r="J322" s="69">
        <f>+J100-J319</f>
        <v>-56776.920000000042</v>
      </c>
      <c r="K322" s="71"/>
      <c r="L322" s="69">
        <f>+L100-L319</f>
        <v>111720.02999999991</v>
      </c>
      <c r="M322" s="69">
        <f>+M100-M319</f>
        <v>154556.85999999999</v>
      </c>
      <c r="N322" s="71"/>
      <c r="O322" s="69">
        <f>+O100-O319</f>
        <v>42370.060000000172</v>
      </c>
      <c r="P322" s="69">
        <f>+P100-P319</f>
        <v>-3755.2800000000279</v>
      </c>
      <c r="Q322" s="71"/>
      <c r="R322" s="69">
        <f>+R100-R319</f>
        <v>128813.35999999999</v>
      </c>
      <c r="S322" s="69">
        <f>+S100-S319</f>
        <v>121583.54000000004</v>
      </c>
      <c r="T322" s="71"/>
      <c r="U322" s="69">
        <f>+U100-U319</f>
        <v>784233.7200000002</v>
      </c>
      <c r="V322" s="69">
        <f>+V100-V319</f>
        <v>584493.25999999978</v>
      </c>
      <c r="W322" s="69">
        <f>+W100-W319</f>
        <v>1385354.1100000003</v>
      </c>
      <c r="X322" s="69">
        <f>+X100-X319</f>
        <v>983635.1400000006</v>
      </c>
      <c r="Y322" s="71"/>
      <c r="Z322" s="69">
        <f>+Z100-Z319</f>
        <v>69968.669999999925</v>
      </c>
      <c r="AA322" s="70"/>
      <c r="AB322" s="69">
        <f>+AB100-AB319</f>
        <v>22097.570000000298</v>
      </c>
      <c r="AC322" s="69">
        <f>+AC100-AC319</f>
        <v>47871.100000000093</v>
      </c>
      <c r="AD322" s="68"/>
    </row>
    <row r="323" spans="1:30" ht="12" thickTop="1" x14ac:dyDescent="0.2">
      <c r="A323" s="63"/>
      <c r="B323" s="63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7"/>
      <c r="AB323" s="66"/>
      <c r="AC323" s="65"/>
    </row>
    <row r="324" spans="1:30" x14ac:dyDescent="0.2">
      <c r="A324" s="63"/>
      <c r="B324" s="63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7"/>
      <c r="AB324" s="66"/>
      <c r="AC324" s="65"/>
    </row>
    <row r="325" spans="1:30" x14ac:dyDescent="0.2">
      <c r="A325" s="63"/>
      <c r="B325" s="63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7"/>
      <c r="AB325" s="66"/>
      <c r="AC325" s="65"/>
    </row>
    <row r="326" spans="1:30" x14ac:dyDescent="0.2">
      <c r="A326" s="63"/>
      <c r="B326" s="63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7"/>
      <c r="AB326" s="66"/>
      <c r="AC326" s="65"/>
    </row>
    <row r="327" spans="1:30" x14ac:dyDescent="0.2">
      <c r="A327" s="63"/>
      <c r="B327" s="63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7"/>
      <c r="AB327" s="66"/>
      <c r="AC327" s="65"/>
    </row>
    <row r="328" spans="1:30" x14ac:dyDescent="0.2">
      <c r="A328" s="63"/>
      <c r="B328" s="63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7"/>
      <c r="AB328" s="66"/>
      <c r="AC328" s="65"/>
    </row>
    <row r="329" spans="1:30" x14ac:dyDescent="0.2">
      <c r="A329" s="63"/>
      <c r="B329" s="6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7"/>
      <c r="AB329" s="66"/>
      <c r="AC329" s="65"/>
    </row>
    <row r="330" spans="1:30" x14ac:dyDescent="0.2">
      <c r="A330" s="63"/>
      <c r="B330" s="6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7"/>
      <c r="AB330" s="66"/>
      <c r="AC330" s="65"/>
    </row>
    <row r="331" spans="1:30" x14ac:dyDescent="0.2">
      <c r="A331" s="63"/>
      <c r="B331" s="6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7"/>
      <c r="AB331" s="66"/>
      <c r="AC331" s="65"/>
    </row>
    <row r="332" spans="1:30" x14ac:dyDescent="0.2">
      <c r="A332" s="63"/>
      <c r="B332" s="6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7"/>
      <c r="AB332" s="66"/>
      <c r="AC332" s="65"/>
    </row>
    <row r="333" spans="1:30" x14ac:dyDescent="0.2">
      <c r="A333" s="63"/>
      <c r="B333" s="6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7"/>
      <c r="AB333" s="66"/>
      <c r="AC333" s="65"/>
    </row>
    <row r="334" spans="1:30" x14ac:dyDescent="0.2">
      <c r="A334" s="63"/>
      <c r="B334" s="6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7"/>
      <c r="AB334" s="66"/>
      <c r="AC334" s="65"/>
    </row>
    <row r="335" spans="1:30" x14ac:dyDescent="0.2">
      <c r="A335" s="63"/>
      <c r="B335" s="6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7"/>
      <c r="AB335" s="66"/>
      <c r="AC335" s="65"/>
    </row>
    <row r="336" spans="1:30" x14ac:dyDescent="0.2">
      <c r="A336" s="63"/>
      <c r="B336" s="6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7"/>
      <c r="AB336" s="66"/>
      <c r="AC336" s="65"/>
    </row>
    <row r="337" spans="1:29" x14ac:dyDescent="0.2">
      <c r="A337" s="63"/>
      <c r="B337" s="6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7"/>
      <c r="AB337" s="66"/>
      <c r="AC337" s="65"/>
    </row>
    <row r="338" spans="1:29" x14ac:dyDescent="0.2">
      <c r="A338" s="63"/>
      <c r="B338" s="6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7"/>
      <c r="AB338" s="66"/>
      <c r="AC338" s="65"/>
    </row>
    <row r="339" spans="1:29" x14ac:dyDescent="0.2">
      <c r="A339" s="63"/>
      <c r="B339" s="6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7"/>
      <c r="AB339" s="66"/>
      <c r="AC339" s="65"/>
    </row>
    <row r="340" spans="1:29" x14ac:dyDescent="0.2">
      <c r="A340" s="63"/>
      <c r="B340" s="6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7"/>
      <c r="AB340" s="66"/>
      <c r="AC340" s="65"/>
    </row>
    <row r="341" spans="1:29" x14ac:dyDescent="0.2">
      <c r="A341" s="63"/>
      <c r="B341" s="6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7"/>
      <c r="AB341" s="66"/>
      <c r="AC341" s="65"/>
    </row>
    <row r="342" spans="1:29" x14ac:dyDescent="0.2">
      <c r="A342" s="63"/>
      <c r="B342" s="6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7"/>
      <c r="AB342" s="66"/>
      <c r="AC342" s="65"/>
    </row>
    <row r="343" spans="1:29" x14ac:dyDescent="0.2">
      <c r="A343" s="63"/>
      <c r="B343" s="6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7"/>
      <c r="AB343" s="66"/>
      <c r="AC343" s="65"/>
    </row>
    <row r="344" spans="1:29" x14ac:dyDescent="0.2">
      <c r="A344" s="63"/>
      <c r="B344" s="6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7"/>
      <c r="AB344" s="66"/>
      <c r="AC344" s="65"/>
    </row>
    <row r="345" spans="1:29" x14ac:dyDescent="0.2">
      <c r="A345" s="63"/>
      <c r="B345" s="6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7"/>
      <c r="AB345" s="66"/>
      <c r="AC345" s="65"/>
    </row>
    <row r="346" spans="1:29" x14ac:dyDescent="0.2">
      <c r="A346" s="63"/>
      <c r="B346" s="6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7"/>
      <c r="AB346" s="66"/>
      <c r="AC346" s="65"/>
    </row>
    <row r="347" spans="1:29" x14ac:dyDescent="0.2">
      <c r="A347" s="63"/>
      <c r="B347" s="6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7"/>
      <c r="AB347" s="66"/>
      <c r="AC347" s="65"/>
    </row>
    <row r="348" spans="1:29" x14ac:dyDescent="0.2">
      <c r="A348" s="63"/>
      <c r="B348" s="6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7"/>
      <c r="AB348" s="66"/>
      <c r="AC348" s="65"/>
    </row>
    <row r="349" spans="1:29" x14ac:dyDescent="0.2">
      <c r="A349" s="63"/>
      <c r="B349" s="6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7"/>
      <c r="AB349" s="66"/>
      <c r="AC349" s="65"/>
    </row>
    <row r="350" spans="1:29" x14ac:dyDescent="0.2">
      <c r="A350" s="63"/>
      <c r="B350" s="6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7"/>
      <c r="AB350" s="66"/>
      <c r="AC350" s="65"/>
    </row>
    <row r="351" spans="1:29" x14ac:dyDescent="0.2">
      <c r="A351" s="63"/>
      <c r="B351" s="6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7"/>
      <c r="AB351" s="66"/>
      <c r="AC351" s="65"/>
    </row>
    <row r="352" spans="1:29" x14ac:dyDescent="0.2">
      <c r="A352" s="63"/>
      <c r="B352" s="6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7"/>
      <c r="AB352" s="66"/>
      <c r="AC352" s="65"/>
    </row>
    <row r="353" spans="1:29" x14ac:dyDescent="0.2">
      <c r="A353" s="63"/>
      <c r="B353" s="6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7"/>
      <c r="AB353" s="66"/>
      <c r="AC353" s="65"/>
    </row>
    <row r="354" spans="1:29" x14ac:dyDescent="0.2">
      <c r="A354" s="63"/>
      <c r="B354" s="6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7"/>
      <c r="AB354" s="66"/>
      <c r="AC354" s="65"/>
    </row>
    <row r="355" spans="1:29" x14ac:dyDescent="0.2">
      <c r="A355" s="63"/>
      <c r="B355" s="6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7"/>
      <c r="AB355" s="66"/>
      <c r="AC355" s="65"/>
    </row>
    <row r="356" spans="1:29" x14ac:dyDescent="0.2">
      <c r="A356" s="63"/>
      <c r="B356" s="63"/>
      <c r="C356" s="63"/>
      <c r="D356" s="64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B356" s="63"/>
      <c r="AC356" s="62"/>
    </row>
    <row r="357" spans="1:29" x14ac:dyDescent="0.2">
      <c r="A357" s="63"/>
      <c r="B357" s="63"/>
      <c r="C357" s="63"/>
      <c r="D357" s="64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B357" s="63"/>
      <c r="AC357" s="62"/>
    </row>
    <row r="358" spans="1:29" x14ac:dyDescent="0.2">
      <c r="A358" s="63"/>
      <c r="B358" s="63"/>
      <c r="C358" s="63"/>
      <c r="D358" s="64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B358" s="63"/>
      <c r="AC358" s="62"/>
    </row>
    <row r="359" spans="1:29" x14ac:dyDescent="0.2">
      <c r="A359" s="63"/>
      <c r="B359" s="63"/>
      <c r="C359" s="63"/>
      <c r="D359" s="64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B359" s="63"/>
      <c r="AC359" s="62"/>
    </row>
    <row r="360" spans="1:29" x14ac:dyDescent="0.2">
      <c r="A360" s="63"/>
      <c r="B360" s="63"/>
      <c r="C360" s="63"/>
      <c r="D360" s="64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B360" s="63"/>
      <c r="AC360" s="62"/>
    </row>
    <row r="361" spans="1:29" x14ac:dyDescent="0.2">
      <c r="A361" s="63"/>
      <c r="B361" s="63"/>
      <c r="C361" s="63"/>
      <c r="D361" s="64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B361" s="63"/>
      <c r="AC361" s="62"/>
    </row>
    <row r="362" spans="1:29" x14ac:dyDescent="0.2">
      <c r="A362" s="63"/>
      <c r="B362" s="63"/>
      <c r="C362" s="63"/>
      <c r="D362" s="64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B362" s="63"/>
      <c r="AC362" s="62"/>
    </row>
    <row r="363" spans="1:29" x14ac:dyDescent="0.2">
      <c r="A363" s="63"/>
      <c r="B363" s="63"/>
      <c r="C363" s="63"/>
      <c r="D363" s="64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B363" s="63"/>
      <c r="AC363" s="62"/>
    </row>
    <row r="364" spans="1:29" x14ac:dyDescent="0.2">
      <c r="A364" s="63"/>
      <c r="B364" s="63"/>
      <c r="C364" s="63"/>
      <c r="D364" s="64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B364" s="63"/>
      <c r="AC364" s="62"/>
    </row>
    <row r="365" spans="1:29" x14ac:dyDescent="0.2">
      <c r="A365" s="63"/>
      <c r="B365" s="63"/>
      <c r="C365" s="63"/>
      <c r="D365" s="64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B365" s="63"/>
      <c r="AC365" s="62"/>
    </row>
    <row r="366" spans="1:29" x14ac:dyDescent="0.2">
      <c r="A366" s="63"/>
      <c r="B366" s="63"/>
      <c r="C366" s="63"/>
      <c r="D366" s="64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B366" s="63"/>
      <c r="AC366" s="62"/>
    </row>
    <row r="367" spans="1:29" x14ac:dyDescent="0.2">
      <c r="A367" s="63"/>
      <c r="B367" s="63"/>
      <c r="C367" s="63"/>
      <c r="D367" s="64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B367" s="63"/>
      <c r="AC367" s="62"/>
    </row>
    <row r="368" spans="1:29" x14ac:dyDescent="0.2">
      <c r="A368" s="63"/>
      <c r="B368" s="63"/>
      <c r="C368" s="63"/>
      <c r="D368" s="64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B368" s="63"/>
      <c r="AC368" s="62"/>
    </row>
    <row r="369" spans="1:29" x14ac:dyDescent="0.2">
      <c r="A369" s="63"/>
      <c r="B369" s="63"/>
      <c r="C369" s="63"/>
      <c r="D369" s="64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B369" s="63"/>
      <c r="AC369" s="62"/>
    </row>
    <row r="370" spans="1:29" x14ac:dyDescent="0.2">
      <c r="A370" s="63"/>
      <c r="B370" s="63"/>
      <c r="C370" s="63"/>
      <c r="D370" s="64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B370" s="63"/>
      <c r="AC370" s="62"/>
    </row>
    <row r="371" spans="1:29" x14ac:dyDescent="0.2">
      <c r="A371" s="63"/>
      <c r="B371" s="63"/>
      <c r="C371" s="63"/>
      <c r="D371" s="64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B371" s="63"/>
      <c r="AC371" s="62"/>
    </row>
    <row r="372" spans="1:29" x14ac:dyDescent="0.2">
      <c r="A372" s="63"/>
      <c r="B372" s="63"/>
      <c r="C372" s="63"/>
      <c r="D372" s="64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B372" s="63"/>
      <c r="AC372" s="62"/>
    </row>
    <row r="373" spans="1:29" x14ac:dyDescent="0.2">
      <c r="A373" s="63"/>
      <c r="B373" s="63"/>
      <c r="C373" s="63"/>
      <c r="D373" s="64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B373" s="63"/>
      <c r="AC373" s="62"/>
    </row>
    <row r="374" spans="1:29" x14ac:dyDescent="0.2">
      <c r="A374" s="63"/>
      <c r="B374" s="63"/>
      <c r="C374" s="63"/>
      <c r="D374" s="64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B374" s="63"/>
      <c r="AC374" s="62"/>
    </row>
    <row r="375" spans="1:29" x14ac:dyDescent="0.2">
      <c r="A375" s="63"/>
      <c r="B375" s="63"/>
      <c r="C375" s="63"/>
      <c r="D375" s="64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B375" s="63"/>
      <c r="AC375" s="62"/>
    </row>
    <row r="376" spans="1:29" x14ac:dyDescent="0.2">
      <c r="A376" s="63"/>
      <c r="B376" s="63"/>
      <c r="C376" s="63"/>
      <c r="D376" s="64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B376" s="63"/>
      <c r="AC376" s="62"/>
    </row>
    <row r="377" spans="1:29" x14ac:dyDescent="0.2">
      <c r="A377" s="63"/>
      <c r="B377" s="63"/>
      <c r="C377" s="63"/>
      <c r="D377" s="64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B377" s="63"/>
      <c r="AC377" s="62"/>
    </row>
    <row r="378" spans="1:29" x14ac:dyDescent="0.2">
      <c r="A378" s="63"/>
      <c r="B378" s="63"/>
      <c r="C378" s="63"/>
      <c r="D378" s="64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B378" s="63"/>
      <c r="AC378" s="62"/>
    </row>
    <row r="379" spans="1:29" x14ac:dyDescent="0.2">
      <c r="A379" s="63"/>
      <c r="B379" s="63"/>
      <c r="C379" s="63"/>
      <c r="D379" s="64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B379" s="63"/>
      <c r="AC379" s="62"/>
    </row>
    <row r="380" spans="1:29" x14ac:dyDescent="0.2">
      <c r="A380" s="63"/>
      <c r="B380" s="63"/>
      <c r="C380" s="63"/>
      <c r="D380" s="64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B380" s="63"/>
      <c r="AC380" s="62"/>
    </row>
    <row r="381" spans="1:29" x14ac:dyDescent="0.2">
      <c r="A381" s="63"/>
      <c r="B381" s="63"/>
      <c r="C381" s="63"/>
      <c r="D381" s="64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B381" s="63"/>
      <c r="AC381" s="62"/>
    </row>
    <row r="382" spans="1:29" x14ac:dyDescent="0.2">
      <c r="A382" s="63"/>
      <c r="B382" s="63"/>
      <c r="C382" s="63"/>
      <c r="D382" s="64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B382" s="63"/>
      <c r="AC382" s="62"/>
    </row>
    <row r="383" spans="1:29" x14ac:dyDescent="0.2">
      <c r="A383" s="63"/>
      <c r="B383" s="63"/>
      <c r="C383" s="63"/>
      <c r="D383" s="64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B383" s="63"/>
      <c r="AC383" s="62"/>
    </row>
    <row r="384" spans="1:29" x14ac:dyDescent="0.2">
      <c r="A384" s="63"/>
      <c r="B384" s="63"/>
      <c r="C384" s="63"/>
      <c r="D384" s="64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B384" s="63"/>
      <c r="AC384" s="62"/>
    </row>
    <row r="385" spans="1:29" x14ac:dyDescent="0.2">
      <c r="A385" s="63"/>
      <c r="B385" s="63"/>
      <c r="C385" s="63"/>
      <c r="D385" s="64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B385" s="63"/>
      <c r="AC385" s="62"/>
    </row>
    <row r="386" spans="1:29" x14ac:dyDescent="0.2">
      <c r="A386" s="63"/>
      <c r="B386" s="63"/>
      <c r="C386" s="63"/>
      <c r="D386" s="64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B386" s="63"/>
      <c r="AC386" s="62"/>
    </row>
    <row r="387" spans="1:29" x14ac:dyDescent="0.2">
      <c r="A387" s="63"/>
      <c r="B387" s="63"/>
      <c r="C387" s="63"/>
      <c r="D387" s="64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B387" s="63"/>
      <c r="AC387" s="62"/>
    </row>
    <row r="388" spans="1:29" x14ac:dyDescent="0.2">
      <c r="A388" s="63"/>
      <c r="B388" s="63"/>
      <c r="C388" s="63"/>
      <c r="D388" s="64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B388" s="63"/>
      <c r="AC388" s="62"/>
    </row>
  </sheetData>
  <mergeCells count="21">
    <mergeCell ref="P1:P2"/>
    <mergeCell ref="R1:R2"/>
    <mergeCell ref="S1:S2"/>
    <mergeCell ref="U1:U2"/>
    <mergeCell ref="V1:V2"/>
    <mergeCell ref="W1:W2"/>
    <mergeCell ref="X1:X2"/>
    <mergeCell ref="AB1:AB2"/>
    <mergeCell ref="AC1:AC2"/>
    <mergeCell ref="Z1:Z2"/>
    <mergeCell ref="I1:I2"/>
    <mergeCell ref="J1:J2"/>
    <mergeCell ref="L1:L2"/>
    <mergeCell ref="M1:M2"/>
    <mergeCell ref="O1:O2"/>
    <mergeCell ref="A1:A2"/>
    <mergeCell ref="B1:B2"/>
    <mergeCell ref="C1:C2"/>
    <mergeCell ref="D1:D2"/>
    <mergeCell ref="F1:F2"/>
    <mergeCell ref="G1:G2"/>
  </mergeCells>
  <conditionalFormatting sqref="AA3:AA1048576">
    <cfRule type="cellIs" dxfId="13" priority="6" operator="lessThan">
      <formula>-0.1</formula>
    </cfRule>
    <cfRule type="cellIs" dxfId="12" priority="7" operator="greaterThan">
      <formula>0.1</formula>
    </cfRule>
  </conditionalFormatting>
  <conditionalFormatting sqref="AA5:AA8">
    <cfRule type="cellIs" dxfId="11" priority="1" operator="greaterThan">
      <formula>0.1</formula>
    </cfRule>
  </conditionalFormatting>
  <conditionalFormatting sqref="AA14:AA82">
    <cfRule type="cellIs" dxfId="10" priority="2" operator="greaterThan">
      <formula>0.1</formula>
    </cfRule>
  </conditionalFormatting>
  <conditionalFormatting sqref="AA100">
    <cfRule type="cellIs" dxfId="9" priority="5" operator="greaterThan">
      <formula>0.1</formula>
    </cfRule>
  </conditionalFormatting>
  <conditionalFormatting sqref="AA104:AA319">
    <cfRule type="cellIs" dxfId="8" priority="4" operator="lessThan">
      <formula>-0.1</formula>
    </cfRule>
  </conditionalFormatting>
  <conditionalFormatting sqref="AA322">
    <cfRule type="cellIs" dxfId="7" priority="3" operator="greaterThan">
      <formula>0.1</formula>
    </cfRule>
  </conditionalFormatting>
  <pageMargins left="0.2" right="0.2" top="0.75" bottom="0.75" header="0.3" footer="0.3"/>
  <pageSetup paperSize="3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CB00-24D1-45B0-8819-898C894646C0}">
  <dimension ref="A1:U46"/>
  <sheetViews>
    <sheetView zoomScaleNormal="100" workbookViewId="0">
      <selection activeCell="J10" sqref="J10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6" t="s">
        <v>17</v>
      </c>
      <c r="C1" s="6"/>
      <c r="D1" s="6"/>
      <c r="E1" s="6"/>
      <c r="H1" s="6" t="s">
        <v>16</v>
      </c>
      <c r="I1" s="6"/>
      <c r="J1" s="6"/>
      <c r="K1" s="6"/>
      <c r="O1" t="s">
        <v>15</v>
      </c>
      <c r="P1" t="s">
        <v>14</v>
      </c>
      <c r="Q1" t="s">
        <v>13</v>
      </c>
    </row>
    <row r="2" spans="1:19" x14ac:dyDescent="0.25">
      <c r="A2" t="s">
        <v>4</v>
      </c>
      <c r="B2" t="s">
        <v>3</v>
      </c>
      <c r="C2" t="s">
        <v>2</v>
      </c>
      <c r="D2" t="s">
        <v>1</v>
      </c>
      <c r="E2" t="s">
        <v>0</v>
      </c>
      <c r="G2" t="s">
        <v>4</v>
      </c>
      <c r="H2" t="s">
        <v>3</v>
      </c>
      <c r="I2" t="s">
        <v>2</v>
      </c>
      <c r="J2" t="s">
        <v>1</v>
      </c>
      <c r="K2" t="s">
        <v>0</v>
      </c>
      <c r="N2" t="s">
        <v>12</v>
      </c>
      <c r="O2" s="1">
        <f>5334980.05*0.5</f>
        <v>2667490.0249999999</v>
      </c>
      <c r="P2" s="1">
        <f>+E14</f>
        <v>2696783.0899999994</v>
      </c>
      <c r="Q2" s="1">
        <f>+P2-O2</f>
        <v>29293.064999999478</v>
      </c>
    </row>
    <row r="3" spans="1:19" x14ac:dyDescent="0.25">
      <c r="A3" s="2" t="s">
        <v>21</v>
      </c>
      <c r="B3" s="1">
        <v>2667490.0299999998</v>
      </c>
      <c r="C3" s="1"/>
      <c r="D3" s="1"/>
      <c r="E3" s="1">
        <f t="shared" ref="E3:E14" si="0">+B3+C3+D3</f>
        <v>2667490.0299999998</v>
      </c>
      <c r="G3" s="2" t="s">
        <v>21</v>
      </c>
      <c r="H3" s="1">
        <v>935690.22</v>
      </c>
      <c r="I3" s="1">
        <f>-D3-D19-J19-Q19-D35-Q35</f>
        <v>49162.39</v>
      </c>
      <c r="J3" s="1">
        <f>-C3-C19-C35-I19-P19-P35</f>
        <v>-25235.67</v>
      </c>
      <c r="K3" s="1">
        <f t="shared" ref="K3:K14" si="1">+H3+I3+J3</f>
        <v>959616.94</v>
      </c>
      <c r="N3" t="s">
        <v>11</v>
      </c>
      <c r="O3" s="1">
        <f>5334980.05*0.15</f>
        <v>800247.00749999995</v>
      </c>
      <c r="P3" s="1">
        <f>+K14</f>
        <v>981202.3550000001</v>
      </c>
      <c r="Q3" s="1">
        <f>+P3-O3</f>
        <v>180955.34750000015</v>
      </c>
    </row>
    <row r="4" spans="1:19" x14ac:dyDescent="0.25">
      <c r="A4" s="2" t="s">
        <v>22</v>
      </c>
      <c r="B4" s="1">
        <f t="shared" ref="B4:B14" si="2">+E3</f>
        <v>2667490.0299999998</v>
      </c>
      <c r="C4" s="1">
        <v>5080.5</v>
      </c>
      <c r="D4" s="1"/>
      <c r="E4" s="1">
        <f t="shared" si="0"/>
        <v>2672570.5299999998</v>
      </c>
      <c r="G4" s="2" t="s">
        <v>22</v>
      </c>
      <c r="H4" s="1">
        <f t="shared" ref="H4:H14" si="3">+K3</f>
        <v>959616.94</v>
      </c>
      <c r="I4" s="1">
        <f t="shared" ref="I4:I14" si="4">-D4-D20-J20-Q20-D36-Q36</f>
        <v>98249.29</v>
      </c>
      <c r="J4" s="1">
        <f t="shared" ref="J4:J14" si="5">-C4-C20-C36-I20-P20-P36</f>
        <v>-41592.490000000005</v>
      </c>
      <c r="K4" s="1">
        <f t="shared" si="1"/>
        <v>1016273.74</v>
      </c>
    </row>
    <row r="5" spans="1:19" x14ac:dyDescent="0.25">
      <c r="A5" s="2" t="s">
        <v>23</v>
      </c>
      <c r="B5" s="1">
        <f t="shared" si="2"/>
        <v>2672570.5299999998</v>
      </c>
      <c r="C5" s="1">
        <v>7963.88</v>
      </c>
      <c r="D5" s="1"/>
      <c r="E5" s="1">
        <f t="shared" si="0"/>
        <v>2680534.4099999997</v>
      </c>
      <c r="G5" s="2" t="s">
        <v>23</v>
      </c>
      <c r="H5" s="1">
        <f t="shared" si="3"/>
        <v>1016273.74</v>
      </c>
      <c r="I5" s="1">
        <f t="shared" si="4"/>
        <v>96493</v>
      </c>
      <c r="J5" s="1">
        <f t="shared" si="5"/>
        <v>-44335.479999999996</v>
      </c>
      <c r="K5" s="1">
        <f t="shared" si="1"/>
        <v>1068431.26</v>
      </c>
    </row>
    <row r="6" spans="1:19" x14ac:dyDescent="0.25">
      <c r="A6" s="2" t="s">
        <v>24</v>
      </c>
      <c r="B6" s="1">
        <f t="shared" si="2"/>
        <v>2680534.4099999997</v>
      </c>
      <c r="C6" s="1">
        <v>4553.63</v>
      </c>
      <c r="D6" s="1"/>
      <c r="E6" s="1">
        <f t="shared" si="0"/>
        <v>2685088.0399999996</v>
      </c>
      <c r="G6" s="2" t="s">
        <v>24</v>
      </c>
      <c r="H6" s="1">
        <f t="shared" si="3"/>
        <v>1068431.26</v>
      </c>
      <c r="I6" s="1">
        <f t="shared" si="4"/>
        <v>43275.87</v>
      </c>
      <c r="J6" s="1">
        <f t="shared" si="5"/>
        <v>-86717.759999999995</v>
      </c>
      <c r="K6" s="1">
        <f t="shared" si="1"/>
        <v>1024989.3700000001</v>
      </c>
      <c r="N6" t="s">
        <v>30</v>
      </c>
      <c r="O6" s="4"/>
    </row>
    <row r="7" spans="1:19" x14ac:dyDescent="0.25">
      <c r="A7" s="2" t="s">
        <v>25</v>
      </c>
      <c r="B7" s="1">
        <f t="shared" si="2"/>
        <v>2685088.0399999996</v>
      </c>
      <c r="C7" s="1">
        <v>4824.75</v>
      </c>
      <c r="D7" s="1"/>
      <c r="E7" s="1">
        <f t="shared" si="0"/>
        <v>2689912.7899999996</v>
      </c>
      <c r="G7" s="2" t="s">
        <v>25</v>
      </c>
      <c r="H7" s="1">
        <f t="shared" si="3"/>
        <v>1024989.3700000001</v>
      </c>
      <c r="I7" s="1">
        <f t="shared" si="4"/>
        <v>107586.91</v>
      </c>
      <c r="J7" s="1">
        <f t="shared" si="5"/>
        <v>-78757.73</v>
      </c>
      <c r="K7" s="1">
        <f t="shared" si="1"/>
        <v>1053818.55</v>
      </c>
      <c r="N7" t="s">
        <v>31</v>
      </c>
    </row>
    <row r="8" spans="1:19" x14ac:dyDescent="0.25">
      <c r="A8" s="2" t="s">
        <v>26</v>
      </c>
      <c r="B8" s="1">
        <f t="shared" si="2"/>
        <v>2689912.7899999996</v>
      </c>
      <c r="C8" s="1">
        <v>2988</v>
      </c>
      <c r="D8" s="1"/>
      <c r="E8" s="1">
        <f t="shared" si="0"/>
        <v>2692900.7899999996</v>
      </c>
      <c r="G8" s="2" t="s">
        <v>26</v>
      </c>
      <c r="H8" s="1">
        <f t="shared" si="3"/>
        <v>1053818.55</v>
      </c>
      <c r="I8" s="1">
        <f t="shared" si="4"/>
        <v>46095.1</v>
      </c>
      <c r="J8" s="1">
        <f t="shared" si="5"/>
        <v>-74090.58</v>
      </c>
      <c r="K8" s="1">
        <f t="shared" si="1"/>
        <v>1025823.0700000002</v>
      </c>
    </row>
    <row r="9" spans="1:19" x14ac:dyDescent="0.25">
      <c r="A9" s="2" t="s">
        <v>27</v>
      </c>
      <c r="B9" s="1">
        <f t="shared" si="2"/>
        <v>2692900.7899999996</v>
      </c>
      <c r="C9" s="1">
        <v>3882.3</v>
      </c>
      <c r="D9" s="1"/>
      <c r="E9" s="1">
        <f t="shared" si="0"/>
        <v>2696783.0899999994</v>
      </c>
      <c r="G9" s="2" t="s">
        <v>27</v>
      </c>
      <c r="H9" s="1">
        <f t="shared" si="3"/>
        <v>1025823.0700000002</v>
      </c>
      <c r="I9" s="1">
        <f t="shared" si="4"/>
        <v>8070.08</v>
      </c>
      <c r="J9" s="1">
        <f t="shared" si="5"/>
        <v>-52690.794999999998</v>
      </c>
      <c r="K9" s="1">
        <f t="shared" si="1"/>
        <v>981202.3550000001</v>
      </c>
      <c r="O9" s="5"/>
      <c r="P9" s="4"/>
      <c r="Q9" s="5"/>
      <c r="R9" s="3"/>
      <c r="S9" s="3"/>
    </row>
    <row r="10" spans="1:19" x14ac:dyDescent="0.25">
      <c r="A10" s="2" t="s">
        <v>28</v>
      </c>
      <c r="B10" s="1">
        <f t="shared" si="2"/>
        <v>2696783.0899999994</v>
      </c>
      <c r="C10" s="1"/>
      <c r="D10" s="1"/>
      <c r="E10" s="1">
        <f t="shared" si="0"/>
        <v>2696783.0899999994</v>
      </c>
      <c r="G10" s="2" t="s">
        <v>28</v>
      </c>
      <c r="H10" s="1">
        <f t="shared" si="3"/>
        <v>981202.3550000001</v>
      </c>
      <c r="I10" s="1">
        <f t="shared" si="4"/>
        <v>0</v>
      </c>
      <c r="J10" s="1">
        <f t="shared" si="5"/>
        <v>0</v>
      </c>
      <c r="K10" s="1">
        <f t="shared" si="1"/>
        <v>981202.3550000001</v>
      </c>
      <c r="O10" s="5"/>
      <c r="P10" s="4"/>
      <c r="Q10" s="5"/>
      <c r="S10" s="3"/>
    </row>
    <row r="11" spans="1:19" x14ac:dyDescent="0.25">
      <c r="A11" s="2" t="s">
        <v>29</v>
      </c>
      <c r="B11" s="1">
        <f t="shared" si="2"/>
        <v>2696783.0899999994</v>
      </c>
      <c r="C11" s="1"/>
      <c r="D11" s="1"/>
      <c r="E11" s="1">
        <f t="shared" si="0"/>
        <v>2696783.0899999994</v>
      </c>
      <c r="G11" s="2" t="s">
        <v>29</v>
      </c>
      <c r="H11" s="1">
        <f t="shared" si="3"/>
        <v>981202.3550000001</v>
      </c>
      <c r="I11" s="1">
        <f t="shared" si="4"/>
        <v>0</v>
      </c>
      <c r="J11" s="1">
        <f t="shared" si="5"/>
        <v>0</v>
      </c>
      <c r="K11" s="1">
        <f t="shared" si="1"/>
        <v>981202.3550000001</v>
      </c>
      <c r="O11" s="5"/>
      <c r="P11" s="4"/>
      <c r="Q11" s="5"/>
      <c r="R11" s="3"/>
      <c r="S11" s="3"/>
    </row>
    <row r="12" spans="1:19" x14ac:dyDescent="0.25">
      <c r="A12" s="2" t="s">
        <v>18</v>
      </c>
      <c r="B12" s="1">
        <f t="shared" si="2"/>
        <v>2696783.0899999994</v>
      </c>
      <c r="C12" s="1"/>
      <c r="D12" s="1"/>
      <c r="E12" s="1">
        <f t="shared" si="0"/>
        <v>2696783.0899999994</v>
      </c>
      <c r="G12" s="2" t="s">
        <v>18</v>
      </c>
      <c r="H12" s="1">
        <f t="shared" si="3"/>
        <v>981202.3550000001</v>
      </c>
      <c r="I12" s="1">
        <f t="shared" si="4"/>
        <v>0</v>
      </c>
      <c r="J12" s="1">
        <f t="shared" si="5"/>
        <v>0</v>
      </c>
      <c r="K12" s="1">
        <f t="shared" si="1"/>
        <v>981202.3550000001</v>
      </c>
      <c r="O12" s="5"/>
      <c r="Q12" s="5"/>
    </row>
    <row r="13" spans="1:19" x14ac:dyDescent="0.25">
      <c r="A13" s="2" t="s">
        <v>19</v>
      </c>
      <c r="B13" s="1">
        <f t="shared" si="2"/>
        <v>2696783.0899999994</v>
      </c>
      <c r="C13" s="1"/>
      <c r="D13" s="1"/>
      <c r="E13" s="1">
        <f t="shared" si="0"/>
        <v>2696783.0899999994</v>
      </c>
      <c r="G13" s="2" t="s">
        <v>19</v>
      </c>
      <c r="H13" s="1">
        <f t="shared" si="3"/>
        <v>981202.3550000001</v>
      </c>
      <c r="I13" s="1">
        <f t="shared" si="4"/>
        <v>0</v>
      </c>
      <c r="J13" s="1">
        <f t="shared" si="5"/>
        <v>0</v>
      </c>
      <c r="K13" s="1">
        <f t="shared" si="1"/>
        <v>981202.3550000001</v>
      </c>
      <c r="O13" s="5"/>
      <c r="P13" s="4"/>
      <c r="Q13" s="5"/>
      <c r="R13" s="4"/>
      <c r="S13" s="1"/>
    </row>
    <row r="14" spans="1:19" x14ac:dyDescent="0.25">
      <c r="A14" s="2" t="s">
        <v>20</v>
      </c>
      <c r="B14" s="1">
        <f t="shared" si="2"/>
        <v>2696783.0899999994</v>
      </c>
      <c r="C14" s="1"/>
      <c r="D14" s="1"/>
      <c r="E14" s="1">
        <f t="shared" si="0"/>
        <v>2696783.0899999994</v>
      </c>
      <c r="G14" s="2" t="s">
        <v>20</v>
      </c>
      <c r="H14" s="1">
        <f t="shared" si="3"/>
        <v>981202.3550000001</v>
      </c>
      <c r="I14" s="1">
        <f t="shared" si="4"/>
        <v>0</v>
      </c>
      <c r="J14" s="1">
        <f t="shared" si="5"/>
        <v>0</v>
      </c>
      <c r="K14" s="1">
        <f t="shared" si="1"/>
        <v>981202.3550000001</v>
      </c>
    </row>
    <row r="15" spans="1:19" x14ac:dyDescent="0.25">
      <c r="R15" s="3"/>
    </row>
    <row r="17" spans="1:21" x14ac:dyDescent="0.25">
      <c r="B17" s="6" t="s">
        <v>10</v>
      </c>
      <c r="C17" s="6"/>
      <c r="D17" s="6"/>
      <c r="E17" s="6"/>
      <c r="H17" s="6" t="s">
        <v>9</v>
      </c>
      <c r="I17" s="6"/>
      <c r="J17" s="6"/>
      <c r="K17" s="6"/>
      <c r="O17" s="6" t="s">
        <v>8</v>
      </c>
      <c r="P17" s="6"/>
      <c r="Q17" s="6"/>
      <c r="R17" s="6"/>
    </row>
    <row r="18" spans="1:21" x14ac:dyDescent="0.25">
      <c r="A18" t="s">
        <v>4</v>
      </c>
      <c r="B18" t="s">
        <v>3</v>
      </c>
      <c r="C18" t="s">
        <v>2</v>
      </c>
      <c r="D18" t="s">
        <v>1</v>
      </c>
      <c r="E18" t="s">
        <v>0</v>
      </c>
      <c r="G18" t="s">
        <v>4</v>
      </c>
      <c r="H18" t="s">
        <v>3</v>
      </c>
      <c r="I18" t="s">
        <v>2</v>
      </c>
      <c r="J18" t="s">
        <v>1</v>
      </c>
      <c r="K18" t="s">
        <v>0</v>
      </c>
      <c r="N18" t="s">
        <v>4</v>
      </c>
      <c r="O18" t="s">
        <v>3</v>
      </c>
      <c r="P18" t="s">
        <v>2</v>
      </c>
      <c r="Q18" t="s">
        <v>1</v>
      </c>
      <c r="R18" t="s">
        <v>0</v>
      </c>
    </row>
    <row r="19" spans="1:21" x14ac:dyDescent="0.25">
      <c r="A19" s="2" t="s">
        <v>21</v>
      </c>
      <c r="B19" s="1">
        <v>682398.03</v>
      </c>
      <c r="C19" s="1">
        <v>20485.669999999998</v>
      </c>
      <c r="D19" s="1"/>
      <c r="E19" s="1">
        <f t="shared" ref="E19:E30" si="6">+B19+C19+D19</f>
        <v>702883.70000000007</v>
      </c>
      <c r="G19" s="2" t="s">
        <v>21</v>
      </c>
      <c r="H19" s="1">
        <v>296000</v>
      </c>
      <c r="I19" s="1"/>
      <c r="J19" s="1">
        <v>-13993</v>
      </c>
      <c r="K19" s="1">
        <f t="shared" ref="K19:K30" si="7">+H19+I19+J19</f>
        <v>282007</v>
      </c>
      <c r="N19" s="2" t="s">
        <v>21</v>
      </c>
      <c r="O19" s="1">
        <v>91528.29</v>
      </c>
      <c r="P19" s="1">
        <v>4750</v>
      </c>
      <c r="Q19" s="1"/>
      <c r="R19" s="1">
        <f t="shared" ref="R19:R30" si="8">+O19+P19+Q19</f>
        <v>96278.29</v>
      </c>
    </row>
    <row r="20" spans="1:21" x14ac:dyDescent="0.25">
      <c r="A20" s="2" t="s">
        <v>22</v>
      </c>
      <c r="B20" s="1">
        <f t="shared" ref="B20:B30" si="9">+E19</f>
        <v>702883.70000000007</v>
      </c>
      <c r="C20" s="1">
        <v>27485.49</v>
      </c>
      <c r="D20" s="1"/>
      <c r="E20" s="1">
        <f t="shared" si="6"/>
        <v>730369.19000000006</v>
      </c>
      <c r="G20" s="2" t="s">
        <v>22</v>
      </c>
      <c r="H20" s="1">
        <f t="shared" ref="H20:H30" si="10">+K19</f>
        <v>282007</v>
      </c>
      <c r="I20" s="1"/>
      <c r="J20" s="1">
        <v>-65280.7</v>
      </c>
      <c r="K20" s="1">
        <f t="shared" si="7"/>
        <v>216726.3</v>
      </c>
      <c r="N20" s="2" t="s">
        <v>22</v>
      </c>
      <c r="O20" s="1">
        <f t="shared" ref="O20:O30" si="11">+R19</f>
        <v>96278.29</v>
      </c>
      <c r="P20" s="1"/>
      <c r="Q20" s="1"/>
      <c r="R20" s="1">
        <f t="shared" si="8"/>
        <v>96278.29</v>
      </c>
    </row>
    <row r="21" spans="1:21" x14ac:dyDescent="0.25">
      <c r="A21" s="2" t="s">
        <v>23</v>
      </c>
      <c r="B21" s="1">
        <f t="shared" si="9"/>
        <v>730369.19000000006</v>
      </c>
      <c r="C21" s="1">
        <v>13753.19</v>
      </c>
      <c r="D21" s="1"/>
      <c r="E21" s="1">
        <f t="shared" si="6"/>
        <v>744122.38</v>
      </c>
      <c r="G21" s="2" t="s">
        <v>23</v>
      </c>
      <c r="H21" s="1">
        <f t="shared" si="10"/>
        <v>216726.3</v>
      </c>
      <c r="I21" s="1"/>
      <c r="J21" s="1">
        <v>-31205.31</v>
      </c>
      <c r="K21" s="1">
        <f t="shared" si="7"/>
        <v>185520.99</v>
      </c>
      <c r="N21" s="2" t="s">
        <v>23</v>
      </c>
      <c r="O21" s="1">
        <f t="shared" si="11"/>
        <v>96278.29</v>
      </c>
      <c r="P21" s="1"/>
      <c r="Q21" s="1">
        <v>-31568.57</v>
      </c>
      <c r="R21" s="1">
        <f t="shared" si="8"/>
        <v>64709.719999999994</v>
      </c>
    </row>
    <row r="22" spans="1:21" x14ac:dyDescent="0.25">
      <c r="A22" s="2" t="s">
        <v>24</v>
      </c>
      <c r="B22" s="1">
        <f t="shared" si="9"/>
        <v>744122.38</v>
      </c>
      <c r="C22" s="1">
        <v>12053.73</v>
      </c>
      <c r="D22" s="1"/>
      <c r="E22" s="1">
        <f t="shared" si="6"/>
        <v>756176.11</v>
      </c>
      <c r="G22" s="2" t="s">
        <v>24</v>
      </c>
      <c r="H22" s="1">
        <f t="shared" si="10"/>
        <v>185520.99</v>
      </c>
      <c r="I22" s="1"/>
      <c r="J22" s="1"/>
      <c r="K22" s="1">
        <f t="shared" si="7"/>
        <v>185520.99</v>
      </c>
      <c r="N22" s="2" t="s">
        <v>24</v>
      </c>
      <c r="O22" s="1">
        <f t="shared" si="11"/>
        <v>64709.719999999994</v>
      </c>
      <c r="P22" s="1">
        <v>18732.05</v>
      </c>
      <c r="Q22" s="1"/>
      <c r="R22" s="1">
        <f t="shared" si="8"/>
        <v>83441.76999999999</v>
      </c>
    </row>
    <row r="23" spans="1:21" x14ac:dyDescent="0.25">
      <c r="A23" s="2" t="s">
        <v>25</v>
      </c>
      <c r="B23" s="1">
        <f t="shared" si="9"/>
        <v>756176.11</v>
      </c>
      <c r="C23" s="1">
        <v>15259.53</v>
      </c>
      <c r="D23" s="1"/>
      <c r="E23" s="1">
        <f t="shared" si="6"/>
        <v>771435.64</v>
      </c>
      <c r="G23" s="2" t="s">
        <v>25</v>
      </c>
      <c r="H23" s="1">
        <f t="shared" si="10"/>
        <v>185520.99</v>
      </c>
      <c r="I23" s="1"/>
      <c r="J23" s="1">
        <v>-73469.240000000005</v>
      </c>
      <c r="K23" s="1">
        <f t="shared" si="7"/>
        <v>112051.74999999999</v>
      </c>
      <c r="N23" s="2" t="s">
        <v>25</v>
      </c>
      <c r="O23" s="1">
        <f t="shared" si="11"/>
        <v>83441.76999999999</v>
      </c>
      <c r="P23" s="1">
        <v>2602.8000000000002</v>
      </c>
      <c r="Q23" s="1"/>
      <c r="R23" s="1">
        <f t="shared" si="8"/>
        <v>86044.569999999992</v>
      </c>
    </row>
    <row r="24" spans="1:21" x14ac:dyDescent="0.25">
      <c r="A24" s="2" t="s">
        <v>26</v>
      </c>
      <c r="B24" s="1">
        <f t="shared" si="9"/>
        <v>771435.64</v>
      </c>
      <c r="C24" s="1">
        <v>17545.78</v>
      </c>
      <c r="D24" s="1"/>
      <c r="E24" s="1">
        <f t="shared" si="6"/>
        <v>788981.42</v>
      </c>
      <c r="G24" s="2" t="s">
        <v>26</v>
      </c>
      <c r="H24" s="1">
        <f t="shared" si="10"/>
        <v>112051.74999999999</v>
      </c>
      <c r="I24" s="1"/>
      <c r="J24" s="1"/>
      <c r="K24" s="1">
        <f t="shared" si="7"/>
        <v>112051.74999999999</v>
      </c>
      <c r="N24" s="2" t="s">
        <v>26</v>
      </c>
      <c r="O24" s="1">
        <f t="shared" si="11"/>
        <v>86044.569999999992</v>
      </c>
      <c r="P24" s="1"/>
      <c r="Q24" s="1">
        <v>-31350.76</v>
      </c>
      <c r="R24" s="1">
        <f t="shared" si="8"/>
        <v>54693.81</v>
      </c>
    </row>
    <row r="25" spans="1:21" x14ac:dyDescent="0.25">
      <c r="A25" s="2" t="s">
        <v>27</v>
      </c>
      <c r="B25" s="1">
        <f t="shared" si="9"/>
        <v>788981.42</v>
      </c>
      <c r="C25" s="1">
        <f>21508.73+2329.38+606.05</f>
        <v>24444.16</v>
      </c>
      <c r="D25" s="1"/>
      <c r="E25" s="1">
        <f t="shared" si="6"/>
        <v>813425.58000000007</v>
      </c>
      <c r="G25" s="2" t="s">
        <v>27</v>
      </c>
      <c r="H25" s="1">
        <f t="shared" si="10"/>
        <v>112051.74999999999</v>
      </c>
      <c r="I25" s="1"/>
      <c r="J25" s="1"/>
      <c r="K25" s="1">
        <f t="shared" si="7"/>
        <v>112051.74999999999</v>
      </c>
      <c r="N25" s="2" t="s">
        <v>27</v>
      </c>
      <c r="O25" s="1">
        <f t="shared" si="11"/>
        <v>54693.81</v>
      </c>
      <c r="P25" s="1"/>
      <c r="Q25" s="1"/>
      <c r="R25" s="1">
        <f t="shared" si="8"/>
        <v>54693.81</v>
      </c>
      <c r="U25" s="3"/>
    </row>
    <row r="26" spans="1:21" x14ac:dyDescent="0.25">
      <c r="A26" s="2" t="s">
        <v>28</v>
      </c>
      <c r="B26" s="1">
        <f t="shared" si="9"/>
        <v>813425.58000000007</v>
      </c>
      <c r="C26" s="1"/>
      <c r="D26" s="1"/>
      <c r="E26" s="1">
        <f t="shared" si="6"/>
        <v>813425.58000000007</v>
      </c>
      <c r="G26" s="2" t="s">
        <v>28</v>
      </c>
      <c r="H26" s="1">
        <f t="shared" si="10"/>
        <v>112051.74999999999</v>
      </c>
      <c r="I26" s="1"/>
      <c r="J26" s="1"/>
      <c r="K26" s="1">
        <f t="shared" si="7"/>
        <v>112051.74999999999</v>
      </c>
      <c r="N26" s="2" t="s">
        <v>28</v>
      </c>
      <c r="O26" s="1">
        <f t="shared" si="11"/>
        <v>54693.81</v>
      </c>
      <c r="P26" s="1"/>
      <c r="Q26" s="1"/>
      <c r="R26" s="1">
        <f t="shared" si="8"/>
        <v>54693.81</v>
      </c>
    </row>
    <row r="27" spans="1:21" x14ac:dyDescent="0.25">
      <c r="A27" s="2" t="s">
        <v>29</v>
      </c>
      <c r="B27" s="1">
        <f t="shared" si="9"/>
        <v>813425.58000000007</v>
      </c>
      <c r="C27" s="1"/>
      <c r="D27" s="1"/>
      <c r="E27" s="1">
        <f t="shared" si="6"/>
        <v>813425.58000000007</v>
      </c>
      <c r="G27" s="2" t="s">
        <v>29</v>
      </c>
      <c r="H27" s="1">
        <f t="shared" si="10"/>
        <v>112051.74999999999</v>
      </c>
      <c r="I27" s="1"/>
      <c r="J27" s="1"/>
      <c r="K27" s="1">
        <f t="shared" si="7"/>
        <v>112051.74999999999</v>
      </c>
      <c r="N27" s="2" t="s">
        <v>29</v>
      </c>
      <c r="O27" s="1">
        <f t="shared" si="11"/>
        <v>54693.81</v>
      </c>
      <c r="P27" s="1"/>
      <c r="Q27" s="1"/>
      <c r="R27" s="1">
        <f t="shared" si="8"/>
        <v>54693.81</v>
      </c>
    </row>
    <row r="28" spans="1:21" x14ac:dyDescent="0.25">
      <c r="A28" s="2" t="s">
        <v>18</v>
      </c>
      <c r="B28" s="1">
        <f t="shared" si="9"/>
        <v>813425.58000000007</v>
      </c>
      <c r="C28" s="1"/>
      <c r="D28" s="1"/>
      <c r="E28" s="1">
        <f t="shared" si="6"/>
        <v>813425.58000000007</v>
      </c>
      <c r="G28" s="2" t="s">
        <v>18</v>
      </c>
      <c r="H28" s="1">
        <f t="shared" si="10"/>
        <v>112051.74999999999</v>
      </c>
      <c r="I28" s="1"/>
      <c r="J28" s="1"/>
      <c r="K28" s="1">
        <f t="shared" si="7"/>
        <v>112051.74999999999</v>
      </c>
      <c r="N28" s="2" t="s">
        <v>18</v>
      </c>
      <c r="O28" s="1">
        <f t="shared" si="11"/>
        <v>54693.81</v>
      </c>
      <c r="P28" s="1"/>
      <c r="Q28" s="1"/>
      <c r="R28" s="1">
        <f t="shared" si="8"/>
        <v>54693.81</v>
      </c>
    </row>
    <row r="29" spans="1:21" x14ac:dyDescent="0.25">
      <c r="A29" s="2" t="s">
        <v>19</v>
      </c>
      <c r="B29" s="1">
        <f t="shared" si="9"/>
        <v>813425.58000000007</v>
      </c>
      <c r="C29" s="1"/>
      <c r="D29" s="1"/>
      <c r="E29" s="1">
        <f t="shared" si="6"/>
        <v>813425.58000000007</v>
      </c>
      <c r="G29" s="2" t="s">
        <v>19</v>
      </c>
      <c r="H29" s="1">
        <f t="shared" si="10"/>
        <v>112051.74999999999</v>
      </c>
      <c r="I29" s="1"/>
      <c r="J29" s="1"/>
      <c r="K29" s="1">
        <f t="shared" si="7"/>
        <v>112051.74999999999</v>
      </c>
      <c r="N29" s="2" t="s">
        <v>19</v>
      </c>
      <c r="O29" s="1">
        <f t="shared" si="11"/>
        <v>54693.81</v>
      </c>
      <c r="P29" s="1"/>
      <c r="Q29" s="1"/>
      <c r="R29" s="1">
        <f t="shared" si="8"/>
        <v>54693.81</v>
      </c>
    </row>
    <row r="30" spans="1:21" x14ac:dyDescent="0.25">
      <c r="A30" s="2" t="s">
        <v>20</v>
      </c>
      <c r="B30" s="1">
        <f t="shared" si="9"/>
        <v>813425.58000000007</v>
      </c>
      <c r="C30" s="1"/>
      <c r="D30" s="1"/>
      <c r="E30" s="1">
        <f t="shared" si="6"/>
        <v>813425.58000000007</v>
      </c>
      <c r="G30" s="2" t="s">
        <v>20</v>
      </c>
      <c r="H30" s="1">
        <f t="shared" si="10"/>
        <v>112051.74999999999</v>
      </c>
      <c r="I30" s="1"/>
      <c r="J30" s="1"/>
      <c r="K30" s="1">
        <f t="shared" si="7"/>
        <v>112051.74999999999</v>
      </c>
      <c r="N30" s="2" t="s">
        <v>20</v>
      </c>
      <c r="O30" s="1">
        <f t="shared" si="11"/>
        <v>54693.81</v>
      </c>
      <c r="P30" s="1"/>
      <c r="Q30" s="1"/>
      <c r="R30" s="1">
        <f t="shared" si="8"/>
        <v>54693.81</v>
      </c>
    </row>
    <row r="33" spans="1:20" x14ac:dyDescent="0.25">
      <c r="B33" s="6" t="s">
        <v>7</v>
      </c>
      <c r="C33" s="6"/>
      <c r="D33" s="6"/>
      <c r="E33" s="6"/>
      <c r="H33" s="6" t="s">
        <v>6</v>
      </c>
      <c r="I33" s="6"/>
      <c r="J33" s="6"/>
      <c r="K33" s="6"/>
      <c r="O33" s="6" t="s">
        <v>5</v>
      </c>
      <c r="P33" s="6"/>
      <c r="Q33" s="6"/>
      <c r="R33" s="6"/>
    </row>
    <row r="34" spans="1:20" x14ac:dyDescent="0.25">
      <c r="A34" t="s">
        <v>4</v>
      </c>
      <c r="B34" t="s">
        <v>3</v>
      </c>
      <c r="C34" t="s">
        <v>2</v>
      </c>
      <c r="D34" t="s">
        <v>1</v>
      </c>
      <c r="E34" t="s">
        <v>0</v>
      </c>
      <c r="G34" t="s">
        <v>4</v>
      </c>
      <c r="H34" t="s">
        <v>3</v>
      </c>
      <c r="I34" t="s">
        <v>2</v>
      </c>
      <c r="J34" t="s">
        <v>1</v>
      </c>
      <c r="K34" t="s">
        <v>0</v>
      </c>
      <c r="N34" t="s">
        <v>4</v>
      </c>
      <c r="O34" t="s">
        <v>3</v>
      </c>
      <c r="P34" t="s">
        <v>2</v>
      </c>
      <c r="Q34" t="s">
        <v>1</v>
      </c>
      <c r="R34" t="s">
        <v>0</v>
      </c>
    </row>
    <row r="35" spans="1:20" x14ac:dyDescent="0.25">
      <c r="A35" s="2" t="s">
        <v>21</v>
      </c>
      <c r="B35" s="1">
        <v>2197591.39</v>
      </c>
      <c r="C35" s="1"/>
      <c r="D35" s="1">
        <f>-(0.01+316.88+34852.5)</f>
        <v>-35169.39</v>
      </c>
      <c r="E35" s="1">
        <f t="shared" ref="E35:E46" si="12">+B35+C35+D35</f>
        <v>2162422</v>
      </c>
      <c r="G35" s="2" t="s">
        <v>21</v>
      </c>
      <c r="H35" s="1">
        <v>327443.37</v>
      </c>
      <c r="I35" s="1"/>
      <c r="J35" s="1"/>
      <c r="K35" s="1">
        <f t="shared" ref="K35:K46" si="13">+H35+I35+J35</f>
        <v>327443.37</v>
      </c>
      <c r="N35" s="2" t="s">
        <v>21</v>
      </c>
      <c r="O35" s="1">
        <v>45869.37</v>
      </c>
      <c r="P35" s="1"/>
      <c r="Q35" s="1"/>
      <c r="R35" s="1">
        <f t="shared" ref="R35:R46" si="14">+O35+P35+Q35</f>
        <v>45869.37</v>
      </c>
    </row>
    <row r="36" spans="1:20" x14ac:dyDescent="0.25">
      <c r="A36" s="2" t="s">
        <v>22</v>
      </c>
      <c r="B36" s="1">
        <f t="shared" ref="B36:B46" si="15">+E35</f>
        <v>2162422</v>
      </c>
      <c r="C36" s="1">
        <v>9026.5</v>
      </c>
      <c r="D36" s="1">
        <v>-32968.589999999997</v>
      </c>
      <c r="E36" s="1">
        <f t="shared" si="12"/>
        <v>2138479.91</v>
      </c>
      <c r="G36" s="2" t="s">
        <v>22</v>
      </c>
      <c r="H36" s="1">
        <f t="shared" ref="H36:H46" si="16">+K35</f>
        <v>327443.37</v>
      </c>
      <c r="I36" s="1"/>
      <c r="J36" s="1"/>
      <c r="K36" s="1">
        <f t="shared" si="13"/>
        <v>327443.37</v>
      </c>
      <c r="N36" s="2" t="s">
        <v>22</v>
      </c>
      <c r="O36" s="1">
        <f t="shared" ref="O36:O46" si="17">+R35</f>
        <v>45869.37</v>
      </c>
      <c r="P36" s="1"/>
      <c r="Q36" s="1"/>
      <c r="R36" s="1">
        <f t="shared" si="14"/>
        <v>45869.37</v>
      </c>
    </row>
    <row r="37" spans="1:20" x14ac:dyDescent="0.25">
      <c r="A37" s="2" t="s">
        <v>23</v>
      </c>
      <c r="B37" s="1">
        <f t="shared" si="15"/>
        <v>2138479.91</v>
      </c>
      <c r="C37" s="1">
        <v>22618.41</v>
      </c>
      <c r="D37" s="1">
        <v>-33719.120000000003</v>
      </c>
      <c r="E37" s="1">
        <f t="shared" si="12"/>
        <v>2127379.2000000002</v>
      </c>
      <c r="G37" s="2" t="s">
        <v>23</v>
      </c>
      <c r="H37" s="1">
        <f t="shared" si="16"/>
        <v>327443.37</v>
      </c>
      <c r="I37" s="1"/>
      <c r="J37" s="1">
        <v>-3215.19</v>
      </c>
      <c r="K37" s="1">
        <f t="shared" si="13"/>
        <v>324228.18</v>
      </c>
      <c r="N37" s="2" t="s">
        <v>23</v>
      </c>
      <c r="O37" s="1">
        <f t="shared" si="17"/>
        <v>45869.37</v>
      </c>
      <c r="P37" s="1"/>
      <c r="Q37" s="1"/>
      <c r="R37" s="1">
        <f t="shared" si="14"/>
        <v>45869.37</v>
      </c>
    </row>
    <row r="38" spans="1:20" x14ac:dyDescent="0.25">
      <c r="A38" s="2" t="s">
        <v>24</v>
      </c>
      <c r="B38" s="1">
        <f t="shared" si="15"/>
        <v>2127379.2000000002</v>
      </c>
      <c r="C38" s="1">
        <v>42009.85</v>
      </c>
      <c r="D38" s="1">
        <v>-37740.870000000003</v>
      </c>
      <c r="E38" s="1">
        <f t="shared" si="12"/>
        <v>2131648.1800000002</v>
      </c>
      <c r="G38" s="2" t="s">
        <v>24</v>
      </c>
      <c r="H38" s="1">
        <f t="shared" si="16"/>
        <v>324228.18</v>
      </c>
      <c r="I38" s="1"/>
      <c r="J38" s="1"/>
      <c r="K38" s="1">
        <f t="shared" si="13"/>
        <v>324228.18</v>
      </c>
      <c r="N38" s="2" t="s">
        <v>24</v>
      </c>
      <c r="O38" s="1">
        <f t="shared" si="17"/>
        <v>45869.37</v>
      </c>
      <c r="P38" s="1">
        <v>9368.5</v>
      </c>
      <c r="Q38" s="1">
        <v>-5535</v>
      </c>
      <c r="R38" s="1">
        <f t="shared" si="14"/>
        <v>49702.87</v>
      </c>
      <c r="T38" s="3"/>
    </row>
    <row r="39" spans="1:20" x14ac:dyDescent="0.25">
      <c r="A39" s="2" t="s">
        <v>25</v>
      </c>
      <c r="B39" s="1">
        <f t="shared" si="15"/>
        <v>2131648.1800000002</v>
      </c>
      <c r="C39" s="1">
        <v>56070.65</v>
      </c>
      <c r="D39" s="1">
        <v>-17859.2</v>
      </c>
      <c r="E39" s="1">
        <f t="shared" si="12"/>
        <v>2169859.63</v>
      </c>
      <c r="G39" s="2" t="s">
        <v>25</v>
      </c>
      <c r="H39" s="1">
        <f t="shared" si="16"/>
        <v>324228.18</v>
      </c>
      <c r="I39" s="1"/>
      <c r="J39" s="1"/>
      <c r="K39" s="1">
        <f t="shared" si="13"/>
        <v>324228.18</v>
      </c>
      <c r="N39" s="2" t="s">
        <v>25</v>
      </c>
      <c r="O39" s="1">
        <f t="shared" si="17"/>
        <v>49702.87</v>
      </c>
      <c r="P39" s="1"/>
      <c r="Q39" s="1">
        <v>-16258.47</v>
      </c>
      <c r="R39" s="1">
        <f t="shared" si="14"/>
        <v>33444.400000000001</v>
      </c>
    </row>
    <row r="40" spans="1:20" x14ac:dyDescent="0.25">
      <c r="A40" s="2" t="s">
        <v>26</v>
      </c>
      <c r="B40" s="1">
        <f t="shared" si="15"/>
        <v>2169859.63</v>
      </c>
      <c r="C40" s="1">
        <v>53556.800000000003</v>
      </c>
      <c r="D40" s="1">
        <v>-14744.34</v>
      </c>
      <c r="E40" s="1">
        <f t="shared" si="12"/>
        <v>2208672.09</v>
      </c>
      <c r="G40" s="2" t="s">
        <v>26</v>
      </c>
      <c r="H40" s="1">
        <f t="shared" si="16"/>
        <v>324228.18</v>
      </c>
      <c r="I40" s="1"/>
      <c r="J40" s="1"/>
      <c r="K40" s="1">
        <f t="shared" si="13"/>
        <v>324228.18</v>
      </c>
      <c r="N40" s="2" t="s">
        <v>26</v>
      </c>
      <c r="O40" s="1">
        <f t="shared" si="17"/>
        <v>33444.400000000001</v>
      </c>
      <c r="P40" s="1"/>
      <c r="Q40" s="1"/>
      <c r="R40" s="1">
        <f t="shared" si="14"/>
        <v>33444.400000000001</v>
      </c>
    </row>
    <row r="41" spans="1:20" x14ac:dyDescent="0.25">
      <c r="A41" s="2" t="s">
        <v>27</v>
      </c>
      <c r="B41" s="1">
        <f t="shared" si="15"/>
        <v>2208672.09</v>
      </c>
      <c r="C41" s="1">
        <f>48728.67/2</f>
        <v>24364.334999999999</v>
      </c>
      <c r="D41" s="1">
        <v>-7835.08</v>
      </c>
      <c r="E41" s="1">
        <f t="shared" si="12"/>
        <v>2225201.3449999997</v>
      </c>
      <c r="G41" s="2" t="s">
        <v>27</v>
      </c>
      <c r="H41" s="1">
        <f t="shared" si="16"/>
        <v>324228.18</v>
      </c>
      <c r="I41" s="1"/>
      <c r="J41" s="1">
        <f>-218.75-393.75-481.25</f>
        <v>-1093.75</v>
      </c>
      <c r="K41" s="1">
        <f t="shared" si="13"/>
        <v>323134.43</v>
      </c>
      <c r="N41" s="2" t="s">
        <v>27</v>
      </c>
      <c r="O41" s="1">
        <f t="shared" si="17"/>
        <v>33444.400000000001</v>
      </c>
      <c r="P41" s="1"/>
      <c r="Q41" s="1">
        <v>-235</v>
      </c>
      <c r="R41" s="1">
        <f t="shared" si="14"/>
        <v>33209.4</v>
      </c>
    </row>
    <row r="42" spans="1:20" x14ac:dyDescent="0.25">
      <c r="A42" s="2" t="s">
        <v>28</v>
      </c>
      <c r="B42" s="1">
        <f t="shared" si="15"/>
        <v>2225201.3449999997</v>
      </c>
      <c r="C42" s="1"/>
      <c r="D42" s="1"/>
      <c r="E42" s="1">
        <f t="shared" si="12"/>
        <v>2225201.3449999997</v>
      </c>
      <c r="G42" s="2" t="s">
        <v>28</v>
      </c>
      <c r="H42" s="1">
        <f t="shared" si="16"/>
        <v>323134.43</v>
      </c>
      <c r="I42" s="1"/>
      <c r="J42" s="1"/>
      <c r="K42" s="1">
        <f t="shared" si="13"/>
        <v>323134.43</v>
      </c>
      <c r="N42" s="2" t="s">
        <v>28</v>
      </c>
      <c r="O42" s="1">
        <f t="shared" si="17"/>
        <v>33209.4</v>
      </c>
      <c r="P42" s="1"/>
      <c r="Q42" s="1"/>
      <c r="R42" s="1">
        <f t="shared" si="14"/>
        <v>33209.4</v>
      </c>
    </row>
    <row r="43" spans="1:20" x14ac:dyDescent="0.25">
      <c r="A43" s="2" t="s">
        <v>29</v>
      </c>
      <c r="B43" s="1">
        <f t="shared" si="15"/>
        <v>2225201.3449999997</v>
      </c>
      <c r="C43" s="1"/>
      <c r="D43" s="1"/>
      <c r="E43" s="1">
        <f t="shared" si="12"/>
        <v>2225201.3449999997</v>
      </c>
      <c r="G43" s="2" t="s">
        <v>29</v>
      </c>
      <c r="H43" s="1">
        <f t="shared" si="16"/>
        <v>323134.43</v>
      </c>
      <c r="I43" s="1"/>
      <c r="J43" s="1"/>
      <c r="K43" s="1">
        <f t="shared" si="13"/>
        <v>323134.43</v>
      </c>
      <c r="N43" s="2" t="s">
        <v>29</v>
      </c>
      <c r="O43" s="1">
        <f t="shared" si="17"/>
        <v>33209.4</v>
      </c>
      <c r="P43" s="1"/>
      <c r="Q43" s="1"/>
      <c r="R43" s="1">
        <f t="shared" si="14"/>
        <v>33209.4</v>
      </c>
    </row>
    <row r="44" spans="1:20" x14ac:dyDescent="0.25">
      <c r="A44" s="2" t="s">
        <v>18</v>
      </c>
      <c r="B44" s="1">
        <f t="shared" si="15"/>
        <v>2225201.3449999997</v>
      </c>
      <c r="C44" s="1"/>
      <c r="D44" s="1"/>
      <c r="E44" s="1">
        <f t="shared" si="12"/>
        <v>2225201.3449999997</v>
      </c>
      <c r="G44" s="2" t="s">
        <v>18</v>
      </c>
      <c r="H44" s="1">
        <f t="shared" si="16"/>
        <v>323134.43</v>
      </c>
      <c r="I44" s="1"/>
      <c r="J44" s="1"/>
      <c r="K44" s="1">
        <f t="shared" si="13"/>
        <v>323134.43</v>
      </c>
      <c r="N44" s="2" t="s">
        <v>18</v>
      </c>
      <c r="O44" s="1">
        <f t="shared" si="17"/>
        <v>33209.4</v>
      </c>
      <c r="P44" s="1"/>
      <c r="Q44" s="1"/>
      <c r="R44" s="1">
        <f t="shared" si="14"/>
        <v>33209.4</v>
      </c>
    </row>
    <row r="45" spans="1:20" x14ac:dyDescent="0.25">
      <c r="A45" s="2" t="s">
        <v>19</v>
      </c>
      <c r="B45" s="1">
        <f t="shared" si="15"/>
        <v>2225201.3449999997</v>
      </c>
      <c r="C45" s="1"/>
      <c r="D45" s="1"/>
      <c r="E45" s="1">
        <f t="shared" si="12"/>
        <v>2225201.3449999997</v>
      </c>
      <c r="G45" s="2" t="s">
        <v>19</v>
      </c>
      <c r="H45" s="1">
        <f t="shared" si="16"/>
        <v>323134.43</v>
      </c>
      <c r="I45" s="1"/>
      <c r="J45" s="1"/>
      <c r="K45" s="1">
        <f t="shared" si="13"/>
        <v>323134.43</v>
      </c>
      <c r="N45" s="2" t="s">
        <v>19</v>
      </c>
      <c r="O45" s="1">
        <f t="shared" si="17"/>
        <v>33209.4</v>
      </c>
      <c r="P45" s="1"/>
      <c r="Q45" s="1"/>
      <c r="R45" s="1">
        <f t="shared" si="14"/>
        <v>33209.4</v>
      </c>
    </row>
    <row r="46" spans="1:20" x14ac:dyDescent="0.25">
      <c r="A46" s="2" t="s">
        <v>20</v>
      </c>
      <c r="B46" s="1">
        <f t="shared" si="15"/>
        <v>2225201.3449999997</v>
      </c>
      <c r="C46" s="1"/>
      <c r="D46" s="1"/>
      <c r="E46" s="1">
        <f t="shared" si="12"/>
        <v>2225201.3449999997</v>
      </c>
      <c r="G46" s="2" t="s">
        <v>20</v>
      </c>
      <c r="H46" s="1">
        <f t="shared" si="16"/>
        <v>323134.43</v>
      </c>
      <c r="I46" s="1"/>
      <c r="J46" s="1"/>
      <c r="K46" s="1">
        <f t="shared" si="13"/>
        <v>323134.43</v>
      </c>
      <c r="N46" s="2" t="s">
        <v>20</v>
      </c>
      <c r="O46" s="1">
        <f t="shared" si="17"/>
        <v>33209.4</v>
      </c>
      <c r="P46" s="1"/>
      <c r="Q46" s="1"/>
      <c r="R46" s="1">
        <f t="shared" si="14"/>
        <v>33209.4</v>
      </c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D622-472F-4232-913A-2544E009690D}">
  <sheetPr>
    <pageSetUpPr fitToPage="1"/>
  </sheetPr>
  <dimension ref="A1:AD388"/>
  <sheetViews>
    <sheetView zoomScale="160" zoomScaleNormal="160" workbookViewId="0">
      <pane xSplit="2" ySplit="4" topLeftCell="R150" activePane="bottomRight" state="frozen"/>
      <selection pane="topRight" activeCell="C1" sqref="C1"/>
      <selection pane="bottomLeft" activeCell="A5" sqref="A5"/>
      <selection pane="bottomRight" activeCell="Y164" sqref="Y164"/>
    </sheetView>
  </sheetViews>
  <sheetFormatPr defaultColWidth="10.42578125" defaultRowHeight="11.25" x14ac:dyDescent="0.2"/>
  <cols>
    <col min="1" max="1" width="17.28515625" style="59" bestFit="1" customWidth="1"/>
    <col min="2" max="2" width="45.5703125" style="59" bestFit="1" customWidth="1"/>
    <col min="3" max="3" width="9.85546875" style="59" customWidth="1"/>
    <col min="4" max="4" width="2.7109375" style="59" customWidth="1"/>
    <col min="5" max="5" width="9.85546875" style="59" customWidth="1"/>
    <col min="6" max="6" width="2.7109375" style="59" customWidth="1"/>
    <col min="7" max="7" width="9.85546875" style="59" customWidth="1"/>
    <col min="8" max="8" width="2.7109375" style="59" customWidth="1"/>
    <col min="9" max="9" width="9.85546875" style="59" customWidth="1"/>
    <col min="10" max="10" width="2.7109375" style="59" customWidth="1"/>
    <col min="11" max="11" width="10.5703125" style="59" bestFit="1" customWidth="1"/>
    <col min="12" max="12" width="2.7109375" style="59" customWidth="1"/>
    <col min="13" max="13" width="13.85546875" style="59" bestFit="1" customWidth="1"/>
    <col min="14" max="14" width="2.7109375" style="59" customWidth="1"/>
    <col min="15" max="15" width="13.85546875" style="59" bestFit="1" customWidth="1"/>
    <col min="16" max="16" width="2.7109375" style="59" customWidth="1"/>
    <col min="17" max="17" width="13.85546875" style="131" customWidth="1"/>
    <col min="18" max="18" width="2.7109375" style="131" customWidth="1"/>
    <col min="19" max="19" width="13.85546875" style="131" customWidth="1"/>
    <col min="20" max="20" width="2.7109375" style="131" customWidth="1"/>
    <col min="21" max="21" width="13.85546875" style="131" customWidth="1"/>
    <col min="22" max="22" width="2.7109375" style="131" customWidth="1"/>
    <col min="23" max="23" width="13.85546875" style="131" customWidth="1"/>
    <col min="24" max="24" width="2.7109375" style="131" customWidth="1"/>
    <col min="25" max="25" width="13.85546875" style="131" customWidth="1"/>
    <col min="26" max="26" width="16.42578125" style="59" bestFit="1" customWidth="1"/>
    <col min="27" max="27" width="2.7109375" style="59" customWidth="1"/>
    <col min="28" max="28" width="11.140625" style="59" bestFit="1" customWidth="1"/>
    <col min="29" max="29" width="2.7109375" style="59" customWidth="1"/>
    <col min="30" max="16384" width="10.42578125" style="59"/>
  </cols>
  <sheetData>
    <row r="1" spans="1:29" ht="15" customHeight="1" x14ac:dyDescent="0.2">
      <c r="A1" s="122" t="s">
        <v>509</v>
      </c>
      <c r="B1" s="119" t="s">
        <v>508</v>
      </c>
      <c r="C1" s="120" t="s">
        <v>507</v>
      </c>
      <c r="D1" s="118"/>
      <c r="E1" s="120" t="s">
        <v>505</v>
      </c>
      <c r="F1" s="118"/>
      <c r="G1" s="120" t="s">
        <v>503</v>
      </c>
      <c r="H1" s="118"/>
      <c r="I1" s="120" t="s">
        <v>501</v>
      </c>
      <c r="J1" s="118"/>
      <c r="K1" s="120" t="s">
        <v>499</v>
      </c>
      <c r="L1" s="118"/>
      <c r="M1" s="120" t="s">
        <v>497</v>
      </c>
      <c r="N1" s="118"/>
      <c r="O1" s="120" t="s">
        <v>495</v>
      </c>
      <c r="P1" s="123"/>
      <c r="Q1" s="124" t="s">
        <v>510</v>
      </c>
      <c r="R1" s="125"/>
      <c r="S1" s="124" t="s">
        <v>511</v>
      </c>
      <c r="T1" s="125"/>
      <c r="U1" s="124" t="s">
        <v>512</v>
      </c>
      <c r="V1" s="125"/>
      <c r="W1" s="124" t="s">
        <v>513</v>
      </c>
      <c r="X1" s="125"/>
      <c r="Y1" s="124" t="s">
        <v>514</v>
      </c>
      <c r="Z1" s="119" t="s">
        <v>515</v>
      </c>
      <c r="AA1" s="118"/>
      <c r="AB1" s="117" t="s">
        <v>491</v>
      </c>
    </row>
    <row r="2" spans="1:29" x14ac:dyDescent="0.2">
      <c r="A2" s="122"/>
      <c r="B2" s="119"/>
      <c r="C2" s="120"/>
      <c r="D2" s="118"/>
      <c r="E2" s="120"/>
      <c r="F2" s="118"/>
      <c r="G2" s="120"/>
      <c r="H2" s="118"/>
      <c r="I2" s="120"/>
      <c r="J2" s="118"/>
      <c r="K2" s="120"/>
      <c r="L2" s="118"/>
      <c r="M2" s="120"/>
      <c r="N2" s="118"/>
      <c r="O2" s="120"/>
      <c r="P2" s="123"/>
      <c r="Q2" s="124"/>
      <c r="R2" s="125"/>
      <c r="S2" s="124"/>
      <c r="T2" s="125"/>
      <c r="U2" s="124"/>
      <c r="V2" s="125"/>
      <c r="W2" s="124"/>
      <c r="X2" s="125"/>
      <c r="Y2" s="124"/>
      <c r="Z2" s="119"/>
      <c r="AA2" s="118"/>
      <c r="AB2" s="117"/>
    </row>
    <row r="3" spans="1:29" s="111" customFormat="1" x14ac:dyDescent="0.2">
      <c r="A3" s="115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26"/>
      <c r="R3" s="126"/>
      <c r="S3" s="126"/>
      <c r="T3" s="126"/>
      <c r="U3" s="126"/>
      <c r="V3" s="126"/>
      <c r="W3" s="126"/>
      <c r="X3" s="126"/>
      <c r="Y3" s="126"/>
      <c r="Z3" s="113"/>
      <c r="AA3" s="113"/>
      <c r="AC3" s="112"/>
    </row>
    <row r="4" spans="1:29" ht="15" customHeight="1" x14ac:dyDescent="0.2">
      <c r="A4" s="102" t="s">
        <v>488</v>
      </c>
      <c r="B4" s="101" t="s">
        <v>487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27"/>
      <c r="R4" s="127"/>
      <c r="S4" s="127"/>
      <c r="T4" s="127"/>
      <c r="U4" s="127"/>
      <c r="V4" s="127"/>
      <c r="W4" s="127"/>
      <c r="X4" s="127"/>
      <c r="Y4" s="127"/>
      <c r="Z4" s="101"/>
      <c r="AA4" s="101"/>
      <c r="AC4" s="103"/>
    </row>
    <row r="5" spans="1:29" ht="15" customHeight="1" x14ac:dyDescent="0.2">
      <c r="A5" s="88" t="s">
        <v>486</v>
      </c>
      <c r="B5" s="87" t="s">
        <v>485</v>
      </c>
      <c r="C5" s="108">
        <f>+(C13*0.03)+((C26+C27)*0.05)+(C29*0.2)</f>
        <v>20503.170000000002</v>
      </c>
      <c r="D5" s="87"/>
      <c r="E5" s="108">
        <f>+(E13*0.03)+((E26+E27)*0.05)+(E29*0.2)</f>
        <v>27485.486000000001</v>
      </c>
      <c r="F5" s="87"/>
      <c r="G5" s="108">
        <f>+(G13*0.03)+((G26+G27)*0.05)+(G29*0.2)</f>
        <v>13753.183000000001</v>
      </c>
      <c r="H5" s="87"/>
      <c r="I5" s="108">
        <f>+(I13*0.03)+((I26+I27)*0.05)+(I29*0.2)</f>
        <v>12053.727999999999</v>
      </c>
      <c r="J5" s="87"/>
      <c r="K5" s="108">
        <f>+(K13*0.03)+((K26+K27)*0.05)+(K29*0.2)</f>
        <v>15259.528</v>
      </c>
      <c r="L5" s="87"/>
      <c r="M5" s="108">
        <f>+(M13*0.03)+((M26+M27)*0.05)+(M29*0.2)</f>
        <v>17545.784</v>
      </c>
      <c r="N5" s="87"/>
      <c r="O5" s="108">
        <f>+(O13*0.03)+((O26+O27)*0.05)+(O29*0.2)</f>
        <v>24444.164000000001</v>
      </c>
      <c r="P5" s="108"/>
      <c r="Q5" s="128">
        <f>+(Q13*0.03)+((Q26+Q27)*0.05)+(Q29*0.2)</f>
        <v>13885.968000000001</v>
      </c>
      <c r="R5" s="128"/>
      <c r="S5" s="128">
        <f>+(S13*0.03)+((S26+S27)*0.05)+(S29*0.2)</f>
        <v>20791.574000000001</v>
      </c>
      <c r="T5" s="128"/>
      <c r="U5" s="128">
        <f>+(U13*0.03)+((U26+U27)*0.05)+(U29*0.2)</f>
        <v>8483.4979999999996</v>
      </c>
      <c r="V5" s="128"/>
      <c r="W5" s="128">
        <f>+(W13*0.03)+((W26+W27)*0.05)+(W29*0.2)</f>
        <v>10923.464</v>
      </c>
      <c r="X5" s="128"/>
      <c r="Y5" s="128">
        <f>+(Y13*0.03)+((Y26+Y27)*0.05)+(Y29*0.2)</f>
        <v>11486.09</v>
      </c>
      <c r="Z5" s="86">
        <f>SUM(C5:Y5)</f>
        <v>196615.63700000002</v>
      </c>
      <c r="AA5" s="87"/>
      <c r="AB5" s="108">
        <f>+(AB13*0.03)+((AB26+AB27)*0.05)+(AB29*0.2)</f>
        <v>203871.1</v>
      </c>
      <c r="AC5" s="109"/>
    </row>
    <row r="6" spans="1:29" ht="15" customHeight="1" x14ac:dyDescent="0.2">
      <c r="A6" s="88">
        <v>3200750</v>
      </c>
      <c r="B6" s="87" t="s">
        <v>7</v>
      </c>
      <c r="C6" s="108">
        <f>+C15*0.5</f>
        <v>0</v>
      </c>
      <c r="D6" s="87"/>
      <c r="E6" s="108">
        <f>+E15*0.5</f>
        <v>9026.5</v>
      </c>
      <c r="F6" s="87"/>
      <c r="G6" s="108">
        <f>+G15*0.5</f>
        <v>22618.404999999999</v>
      </c>
      <c r="H6" s="87"/>
      <c r="I6" s="108">
        <f>+I15*0.5</f>
        <v>42009.845000000001</v>
      </c>
      <c r="J6" s="87"/>
      <c r="K6" s="108">
        <f>+K15*0.5</f>
        <v>56070.65</v>
      </c>
      <c r="L6" s="87"/>
      <c r="M6" s="108">
        <f>+M15*0.5</f>
        <v>53556.800000000003</v>
      </c>
      <c r="N6" s="87"/>
      <c r="O6" s="108">
        <f>+O15*0.5</f>
        <v>24364.334999999999</v>
      </c>
      <c r="P6" s="108"/>
      <c r="Q6" s="128">
        <f>+Q15*0.5</f>
        <v>11390.46</v>
      </c>
      <c r="R6" s="128"/>
      <c r="S6" s="128">
        <f>+S15*0.5</f>
        <v>3447.66</v>
      </c>
      <c r="T6" s="128"/>
      <c r="U6" s="128">
        <f>+U15*0.5</f>
        <v>3026.49</v>
      </c>
      <c r="V6" s="128"/>
      <c r="W6" s="128">
        <f>+W15*0.5</f>
        <v>1370.875</v>
      </c>
      <c r="X6" s="128"/>
      <c r="Y6" s="128">
        <f>+Y15*0.5</f>
        <v>9649.2950000000001</v>
      </c>
      <c r="Z6" s="86">
        <f>SUM(C6:Y6)</f>
        <v>236531.315</v>
      </c>
      <c r="AA6" s="87"/>
      <c r="AB6" s="108">
        <f>+AB15*0.5</f>
        <v>250000</v>
      </c>
      <c r="AC6" s="109"/>
    </row>
    <row r="7" spans="1:29" ht="15" customHeight="1" x14ac:dyDescent="0.2">
      <c r="A7" s="88" t="s">
        <v>484</v>
      </c>
      <c r="B7" s="87" t="s">
        <v>17</v>
      </c>
      <c r="C7" s="108">
        <f>+C13*0.05</f>
        <v>0</v>
      </c>
      <c r="D7" s="87"/>
      <c r="E7" s="108">
        <f>+E13*0.05</f>
        <v>5080.5</v>
      </c>
      <c r="F7" s="87"/>
      <c r="G7" s="108">
        <f>+G13*0.05</f>
        <v>7963.875</v>
      </c>
      <c r="H7" s="87"/>
      <c r="I7" s="108">
        <f>+I13*0.05</f>
        <v>4553.625</v>
      </c>
      <c r="J7" s="87"/>
      <c r="K7" s="108">
        <f>+K13*0.05</f>
        <v>4824.75</v>
      </c>
      <c r="L7" s="87"/>
      <c r="M7" s="108">
        <f>+M13*0.05</f>
        <v>2988</v>
      </c>
      <c r="N7" s="87"/>
      <c r="O7" s="108">
        <f>+O13*0.05</f>
        <v>3882.3</v>
      </c>
      <c r="P7" s="108"/>
      <c r="Q7" s="128">
        <f>+Q13*0.05</f>
        <v>1935</v>
      </c>
      <c r="R7" s="128"/>
      <c r="S7" s="128">
        <f>+S13*0.05</f>
        <v>1500</v>
      </c>
      <c r="T7" s="128"/>
      <c r="U7" s="128">
        <f>+U13*0.05</f>
        <v>1500</v>
      </c>
      <c r="V7" s="128"/>
      <c r="W7" s="128">
        <f>+W13*0.05</f>
        <v>1500</v>
      </c>
      <c r="X7" s="128"/>
      <c r="Y7" s="128">
        <f>+Y13*0.05</f>
        <v>1500</v>
      </c>
      <c r="Z7" s="86">
        <f>SUM(C7:Y7)</f>
        <v>37228.050000000003</v>
      </c>
      <c r="AA7" s="87"/>
      <c r="AB7" s="108">
        <f>+AB13*0.05</f>
        <v>25000</v>
      </c>
      <c r="AC7" s="109"/>
    </row>
    <row r="8" spans="1:29" ht="15" customHeight="1" x14ac:dyDescent="0.2">
      <c r="A8" s="88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129"/>
      <c r="R8" s="129"/>
      <c r="S8" s="129"/>
      <c r="T8" s="129"/>
      <c r="U8" s="129"/>
      <c r="V8" s="129"/>
      <c r="W8" s="129"/>
      <c r="X8" s="129"/>
      <c r="Y8" s="129"/>
      <c r="Z8" s="87"/>
      <c r="AA8" s="87"/>
      <c r="AB8" s="108"/>
      <c r="AC8" s="109"/>
    </row>
    <row r="9" spans="1:29" ht="15" customHeight="1" x14ac:dyDescent="0.2">
      <c r="A9" s="81" t="s">
        <v>105</v>
      </c>
      <c r="B9" s="80" t="s">
        <v>483</v>
      </c>
      <c r="C9" s="106">
        <f>SUM(C5:C7)</f>
        <v>20503.170000000002</v>
      </c>
      <c r="D9" s="80"/>
      <c r="E9" s="106">
        <f>SUM(E5:E7)</f>
        <v>41592.486000000004</v>
      </c>
      <c r="F9" s="80"/>
      <c r="G9" s="106">
        <f>SUM(G5:G7)</f>
        <v>44335.463000000003</v>
      </c>
      <c r="H9" s="80"/>
      <c r="I9" s="106">
        <f>SUM(I5:I7)</f>
        <v>58617.198000000004</v>
      </c>
      <c r="J9" s="80"/>
      <c r="K9" s="106">
        <f>SUM(K5:K7)</f>
        <v>76154.928</v>
      </c>
      <c r="L9" s="80"/>
      <c r="M9" s="106">
        <f>SUM(M5:M7)</f>
        <v>74090.584000000003</v>
      </c>
      <c r="N9" s="80"/>
      <c r="O9" s="106">
        <f>SUM(O5:O7)</f>
        <v>52690.798999999999</v>
      </c>
      <c r="P9" s="106"/>
      <c r="Q9" s="130">
        <f>SUM(Q5:Q7)</f>
        <v>27211.428</v>
      </c>
      <c r="R9" s="130"/>
      <c r="S9" s="130">
        <f>SUM(S5:S7)</f>
        <v>25739.234</v>
      </c>
      <c r="T9" s="130"/>
      <c r="U9" s="130">
        <f>SUM(U5:U7)</f>
        <v>13009.987999999999</v>
      </c>
      <c r="V9" s="130"/>
      <c r="W9" s="130">
        <f>SUM(W5:W7)</f>
        <v>13794.339</v>
      </c>
      <c r="X9" s="130"/>
      <c r="Y9" s="130">
        <f>SUM(Y5:Y7)</f>
        <v>22635.385000000002</v>
      </c>
      <c r="Z9" s="106">
        <f>SUM(Z5:Z7)</f>
        <v>470375.00200000004</v>
      </c>
      <c r="AA9" s="80"/>
      <c r="AB9" s="106">
        <f>SUM(AB5:AB7)</f>
        <v>478871.1</v>
      </c>
      <c r="AC9" s="103"/>
    </row>
    <row r="10" spans="1:29" ht="15" customHeight="1" x14ac:dyDescent="0.2">
      <c r="AC10" s="103"/>
    </row>
    <row r="11" spans="1:29" x14ac:dyDescent="0.2">
      <c r="A11" s="102" t="s">
        <v>482</v>
      </c>
      <c r="B11" s="101" t="s">
        <v>39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27"/>
      <c r="R11" s="127"/>
      <c r="S11" s="127"/>
      <c r="T11" s="127"/>
      <c r="U11" s="127"/>
      <c r="V11" s="127"/>
      <c r="W11" s="127"/>
      <c r="X11" s="127"/>
      <c r="Y11" s="127"/>
      <c r="Z11" s="101"/>
      <c r="AA11" s="101"/>
      <c r="AB11" s="59" t="s">
        <v>46</v>
      </c>
      <c r="AC11" s="103"/>
    </row>
    <row r="12" spans="1:29" ht="15" customHeight="1" x14ac:dyDescent="0.2">
      <c r="A12" s="91" t="s">
        <v>481</v>
      </c>
      <c r="B12" s="90" t="s">
        <v>480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32"/>
      <c r="R12" s="132"/>
      <c r="S12" s="132"/>
      <c r="T12" s="132"/>
      <c r="U12" s="132"/>
      <c r="V12" s="132"/>
      <c r="W12" s="132"/>
      <c r="X12" s="132"/>
      <c r="Y12" s="132"/>
      <c r="Z12" s="90"/>
      <c r="AA12" s="90"/>
      <c r="AC12" s="103"/>
    </row>
    <row r="13" spans="1:29" x14ac:dyDescent="0.2">
      <c r="A13" s="88" t="s">
        <v>479</v>
      </c>
      <c r="B13" s="87" t="s">
        <v>45</v>
      </c>
      <c r="C13" s="85">
        <v>0</v>
      </c>
      <c r="D13" s="85"/>
      <c r="E13" s="85">
        <v>101610</v>
      </c>
      <c r="F13" s="85"/>
      <c r="G13" s="85">
        <v>159277.5</v>
      </c>
      <c r="H13" s="85"/>
      <c r="I13" s="85">
        <v>91072.5</v>
      </c>
      <c r="J13" s="85"/>
      <c r="K13" s="85">
        <v>96495</v>
      </c>
      <c r="L13" s="85"/>
      <c r="M13" s="85">
        <v>59760</v>
      </c>
      <c r="N13" s="85"/>
      <c r="O13" s="85">
        <v>77646</v>
      </c>
      <c r="P13" s="85"/>
      <c r="Q13" s="133">
        <v>38700</v>
      </c>
      <c r="R13" s="133"/>
      <c r="S13" s="133">
        <v>30000</v>
      </c>
      <c r="T13" s="133"/>
      <c r="U13" s="133">
        <v>30000</v>
      </c>
      <c r="V13" s="133"/>
      <c r="W13" s="133">
        <v>30000</v>
      </c>
      <c r="X13" s="133"/>
      <c r="Y13" s="133">
        <v>30000</v>
      </c>
      <c r="Z13" s="86">
        <f t="shared" ref="Z13:Z17" si="0">SUM(C13:Y13)</f>
        <v>744561</v>
      </c>
      <c r="AA13" s="85"/>
      <c r="AB13" s="82">
        <v>500000</v>
      </c>
      <c r="AC13" s="70"/>
    </row>
    <row r="14" spans="1:29" x14ac:dyDescent="0.2">
      <c r="A14" s="88" t="s">
        <v>478</v>
      </c>
      <c r="B14" s="87" t="s">
        <v>477</v>
      </c>
      <c r="C14" s="85">
        <v>47863.86</v>
      </c>
      <c r="D14" s="85"/>
      <c r="E14" s="85">
        <v>21070.57</v>
      </c>
      <c r="F14" s="85"/>
      <c r="G14" s="85">
        <v>7132.76</v>
      </c>
      <c r="H14" s="85"/>
      <c r="I14" s="85">
        <v>834.9</v>
      </c>
      <c r="J14" s="85"/>
      <c r="K14" s="85">
        <v>1452.22</v>
      </c>
      <c r="L14" s="85"/>
      <c r="M14" s="85">
        <v>19693.79</v>
      </c>
      <c r="N14" s="85"/>
      <c r="O14" s="85">
        <v>663599.88</v>
      </c>
      <c r="P14" s="85"/>
      <c r="Q14" s="133">
        <v>30000</v>
      </c>
      <c r="R14" s="133"/>
      <c r="S14" s="133">
        <v>15000</v>
      </c>
      <c r="T14" s="133"/>
      <c r="U14" s="133">
        <v>7500</v>
      </c>
      <c r="V14" s="133"/>
      <c r="W14" s="133">
        <v>7500</v>
      </c>
      <c r="X14" s="133"/>
      <c r="Y14" s="133">
        <v>15000</v>
      </c>
      <c r="Z14" s="86">
        <f t="shared" si="0"/>
        <v>836647.98</v>
      </c>
      <c r="AA14" s="85"/>
      <c r="AB14" s="82">
        <v>750000</v>
      </c>
      <c r="AC14" s="70"/>
    </row>
    <row r="15" spans="1:29" x14ac:dyDescent="0.2">
      <c r="A15" s="88" t="s">
        <v>476</v>
      </c>
      <c r="B15" s="87" t="s">
        <v>48</v>
      </c>
      <c r="C15" s="85"/>
      <c r="D15" s="85"/>
      <c r="E15" s="85">
        <v>18053</v>
      </c>
      <c r="F15" s="85"/>
      <c r="G15" s="85">
        <v>45236.81</v>
      </c>
      <c r="H15" s="85"/>
      <c r="I15" s="85">
        <v>84019.69</v>
      </c>
      <c r="J15" s="85"/>
      <c r="K15" s="85">
        <v>112141.3</v>
      </c>
      <c r="L15" s="85"/>
      <c r="M15" s="85">
        <v>107113.60000000001</v>
      </c>
      <c r="N15" s="85"/>
      <c r="O15" s="85">
        <v>48728.67</v>
      </c>
      <c r="P15" s="85"/>
      <c r="Q15" s="133">
        <v>22780.92</v>
      </c>
      <c r="R15" s="133"/>
      <c r="S15" s="133">
        <v>6895.32</v>
      </c>
      <c r="T15" s="133"/>
      <c r="U15" s="133">
        <v>6052.98</v>
      </c>
      <c r="V15" s="133"/>
      <c r="W15" s="133">
        <v>2741.75</v>
      </c>
      <c r="X15" s="133"/>
      <c r="Y15" s="133">
        <f>1802.21+17496.38</f>
        <v>19298.59</v>
      </c>
      <c r="Z15" s="86">
        <f t="shared" si="0"/>
        <v>473062.63</v>
      </c>
      <c r="AA15" s="85"/>
      <c r="AB15" s="82">
        <v>500000</v>
      </c>
      <c r="AC15" s="70"/>
    </row>
    <row r="16" spans="1:29" x14ac:dyDescent="0.2">
      <c r="A16" s="88" t="s">
        <v>475</v>
      </c>
      <c r="B16" s="87" t="s">
        <v>474</v>
      </c>
      <c r="C16" s="85"/>
      <c r="D16" s="85"/>
      <c r="E16" s="85">
        <v>11719.69</v>
      </c>
      <c r="F16" s="85"/>
      <c r="G16" s="85"/>
      <c r="H16" s="85"/>
      <c r="I16" s="85">
        <v>0</v>
      </c>
      <c r="J16" s="85"/>
      <c r="K16" s="85">
        <v>13586.46</v>
      </c>
      <c r="L16" s="85"/>
      <c r="M16" s="85">
        <v>0</v>
      </c>
      <c r="N16" s="85"/>
      <c r="O16" s="85">
        <v>0</v>
      </c>
      <c r="P16" s="85"/>
      <c r="Q16" s="133">
        <v>13655.61</v>
      </c>
      <c r="R16" s="133"/>
      <c r="S16" s="133"/>
      <c r="T16" s="133"/>
      <c r="U16" s="133"/>
      <c r="V16" s="133"/>
      <c r="W16" s="133">
        <v>11038.24</v>
      </c>
      <c r="X16" s="133"/>
      <c r="Y16" s="133"/>
      <c r="Z16" s="86">
        <f t="shared" si="0"/>
        <v>50000</v>
      </c>
      <c r="AA16" s="85"/>
      <c r="AB16" s="82">
        <v>50000</v>
      </c>
      <c r="AC16" s="70"/>
    </row>
    <row r="17" spans="1:29" x14ac:dyDescent="0.2">
      <c r="A17" s="88" t="s">
        <v>473</v>
      </c>
      <c r="B17" s="87" t="s">
        <v>472</v>
      </c>
      <c r="C17" s="85"/>
      <c r="D17" s="85"/>
      <c r="E17" s="85"/>
      <c r="F17" s="85"/>
      <c r="G17" s="85"/>
      <c r="H17" s="85"/>
      <c r="I17" s="85">
        <v>42500</v>
      </c>
      <c r="J17" s="85"/>
      <c r="K17" s="85">
        <v>42500</v>
      </c>
      <c r="L17" s="85"/>
      <c r="M17" s="85">
        <v>0</v>
      </c>
      <c r="N17" s="85"/>
      <c r="O17" s="85">
        <v>0</v>
      </c>
      <c r="P17" s="85"/>
      <c r="Q17" s="133"/>
      <c r="R17" s="133"/>
      <c r="S17" s="133"/>
      <c r="T17" s="133"/>
      <c r="U17" s="133"/>
      <c r="V17" s="133"/>
      <c r="W17" s="133"/>
      <c r="X17" s="133"/>
      <c r="Y17" s="133"/>
      <c r="Z17" s="86">
        <f t="shared" si="0"/>
        <v>85000</v>
      </c>
      <c r="AA17" s="85"/>
      <c r="AB17" s="82">
        <v>85000</v>
      </c>
      <c r="AC17" s="70"/>
    </row>
    <row r="18" spans="1:29" x14ac:dyDescent="0.2">
      <c r="A18" s="88"/>
      <c r="B18" s="87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133"/>
      <c r="R18" s="133"/>
      <c r="S18" s="133"/>
      <c r="T18" s="133"/>
      <c r="U18" s="133"/>
      <c r="V18" s="133"/>
      <c r="W18" s="133"/>
      <c r="X18" s="133"/>
      <c r="Y18" s="133"/>
      <c r="Z18" s="85"/>
      <c r="AA18" s="85"/>
      <c r="AB18" s="82"/>
      <c r="AC18" s="70"/>
    </row>
    <row r="19" spans="1:29" x14ac:dyDescent="0.2">
      <c r="A19" s="81" t="s">
        <v>105</v>
      </c>
      <c r="B19" s="80" t="s">
        <v>471</v>
      </c>
      <c r="C19" s="79">
        <f>SUM(C13:C18)</f>
        <v>47863.86</v>
      </c>
      <c r="D19" s="76"/>
      <c r="E19" s="79">
        <f>SUM(E13:E18)</f>
        <v>152453.26</v>
      </c>
      <c r="F19" s="76"/>
      <c r="G19" s="79">
        <f>SUM(G13:G18)</f>
        <v>211647.07</v>
      </c>
      <c r="H19" s="76"/>
      <c r="I19" s="79">
        <f>SUM(I13:I18)</f>
        <v>218427.09</v>
      </c>
      <c r="J19" s="76"/>
      <c r="K19" s="79">
        <f>SUM(K13:K18)</f>
        <v>266174.98</v>
      </c>
      <c r="L19" s="76"/>
      <c r="M19" s="79">
        <f>SUM(M13:M18)</f>
        <v>186567.39</v>
      </c>
      <c r="N19" s="76"/>
      <c r="O19" s="79">
        <f>SUM(O13:O18)</f>
        <v>789974.55</v>
      </c>
      <c r="P19" s="79"/>
      <c r="Q19" s="134">
        <f>SUM(Q13:Q18)</f>
        <v>105136.53</v>
      </c>
      <c r="R19" s="134"/>
      <c r="S19" s="134">
        <f>SUM(S13:S18)</f>
        <v>51895.32</v>
      </c>
      <c r="T19" s="134"/>
      <c r="U19" s="134">
        <f>SUM(U13:U18)</f>
        <v>43552.979999999996</v>
      </c>
      <c r="V19" s="134"/>
      <c r="W19" s="134">
        <f>SUM(W13:W18)</f>
        <v>51279.99</v>
      </c>
      <c r="X19" s="134"/>
      <c r="Y19" s="134">
        <f>SUM(Y13:Y18)</f>
        <v>64298.59</v>
      </c>
      <c r="Z19" s="79">
        <f>SUM(Z13:Z18)</f>
        <v>2189271.61</v>
      </c>
      <c r="AA19" s="76"/>
      <c r="AB19" s="79">
        <f>SUM(AB13:AB18)</f>
        <v>1885000</v>
      </c>
      <c r="AC19" s="70"/>
    </row>
    <row r="20" spans="1:29" x14ac:dyDescent="0.2"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35"/>
      <c r="R20" s="135"/>
      <c r="S20" s="135"/>
      <c r="T20" s="135"/>
      <c r="U20" s="135"/>
      <c r="V20" s="135"/>
      <c r="W20" s="135"/>
      <c r="X20" s="135"/>
      <c r="Y20" s="135"/>
      <c r="Z20" s="67"/>
      <c r="AA20" s="67"/>
      <c r="AB20" s="67"/>
      <c r="AC20" s="70"/>
    </row>
    <row r="21" spans="1:29" x14ac:dyDescent="0.2">
      <c r="A21" s="91" t="s">
        <v>470</v>
      </c>
      <c r="B21" s="90" t="s">
        <v>469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36"/>
      <c r="R21" s="136"/>
      <c r="S21" s="136"/>
      <c r="T21" s="136"/>
      <c r="U21" s="136"/>
      <c r="V21" s="136"/>
      <c r="W21" s="136"/>
      <c r="X21" s="136"/>
      <c r="Y21" s="136"/>
      <c r="Z21" s="89"/>
      <c r="AA21" s="89"/>
      <c r="AB21" s="67"/>
      <c r="AC21" s="70"/>
    </row>
    <row r="22" spans="1:29" x14ac:dyDescent="0.2">
      <c r="A22" s="88" t="s">
        <v>468</v>
      </c>
      <c r="B22" s="87" t="s">
        <v>467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133"/>
      <c r="R22" s="133"/>
      <c r="S22" s="133"/>
      <c r="T22" s="133"/>
      <c r="U22" s="133"/>
      <c r="V22" s="133"/>
      <c r="W22" s="133"/>
      <c r="X22" s="133"/>
      <c r="Y22" s="133"/>
      <c r="Z22" s="86">
        <f t="shared" ref="Z22:Z32" si="1">SUM(C22:Y22)</f>
        <v>0</v>
      </c>
      <c r="AA22" s="85"/>
      <c r="AB22" s="82"/>
      <c r="AC22" s="70"/>
    </row>
    <row r="23" spans="1:29" x14ac:dyDescent="0.2">
      <c r="A23" s="88" t="s">
        <v>466</v>
      </c>
      <c r="B23" s="87" t="s">
        <v>465</v>
      </c>
      <c r="C23" s="85">
        <f>69015+188</f>
        <v>69203</v>
      </c>
      <c r="D23" s="85"/>
      <c r="E23" s="85">
        <v>36975</v>
      </c>
      <c r="F23" s="85"/>
      <c r="G23" s="85">
        <v>9157</v>
      </c>
      <c r="H23" s="85"/>
      <c r="I23" s="85">
        <v>7747</v>
      </c>
      <c r="J23" s="85"/>
      <c r="K23" s="85">
        <v>4353</v>
      </c>
      <c r="L23" s="85"/>
      <c r="M23" s="85">
        <v>579</v>
      </c>
      <c r="N23" s="85"/>
      <c r="O23" s="85">
        <v>1594</v>
      </c>
      <c r="P23" s="85"/>
      <c r="Q23" s="133">
        <v>1261.77</v>
      </c>
      <c r="R23" s="133"/>
      <c r="S23" s="133">
        <v>1261.77</v>
      </c>
      <c r="T23" s="133"/>
      <c r="U23" s="133">
        <v>1261.77</v>
      </c>
      <c r="V23" s="133"/>
      <c r="W23" s="133">
        <v>1261.77</v>
      </c>
      <c r="X23" s="133"/>
      <c r="Y23" s="133">
        <v>1261.77</v>
      </c>
      <c r="Z23" s="86">
        <f t="shared" si="1"/>
        <v>135916.84999999998</v>
      </c>
      <c r="AA23" s="85"/>
      <c r="AB23" s="82">
        <v>126177</v>
      </c>
      <c r="AC23" s="70"/>
    </row>
    <row r="24" spans="1:29" x14ac:dyDescent="0.2">
      <c r="A24" s="88" t="s">
        <v>464</v>
      </c>
      <c r="B24" s="87" t="s">
        <v>463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>
        <v>0</v>
      </c>
      <c r="N24" s="85"/>
      <c r="O24" s="85"/>
      <c r="P24" s="85"/>
      <c r="Q24" s="133"/>
      <c r="R24" s="133"/>
      <c r="S24" s="133"/>
      <c r="T24" s="133"/>
      <c r="U24" s="133"/>
      <c r="V24" s="133"/>
      <c r="W24" s="133"/>
      <c r="X24" s="133"/>
      <c r="Y24" s="133"/>
      <c r="Z24" s="86">
        <f t="shared" si="1"/>
        <v>0</v>
      </c>
      <c r="AA24" s="85"/>
      <c r="AB24" s="82">
        <v>0</v>
      </c>
      <c r="AC24" s="70"/>
    </row>
    <row r="25" spans="1:29" x14ac:dyDescent="0.2">
      <c r="A25" s="88" t="s">
        <v>462</v>
      </c>
      <c r="B25" s="87" t="s">
        <v>461</v>
      </c>
      <c r="C25" s="85">
        <v>90079.679999999993</v>
      </c>
      <c r="D25" s="85"/>
      <c r="E25" s="85">
        <f>503+154389.32</f>
        <v>154892.32</v>
      </c>
      <c r="F25" s="85"/>
      <c r="G25" s="85">
        <v>14266</v>
      </c>
      <c r="H25" s="85"/>
      <c r="I25" s="85">
        <v>14076</v>
      </c>
      <c r="J25" s="85"/>
      <c r="K25" s="85">
        <v>7894</v>
      </c>
      <c r="L25" s="85"/>
      <c r="M25" s="85">
        <v>8458</v>
      </c>
      <c r="N25" s="85"/>
      <c r="O25" s="85">
        <v>6318</v>
      </c>
      <c r="P25" s="85"/>
      <c r="Q25" s="133">
        <v>7932.98</v>
      </c>
      <c r="R25" s="133"/>
      <c r="S25" s="133">
        <v>19832.45</v>
      </c>
      <c r="T25" s="133"/>
      <c r="U25" s="133">
        <v>19832.45</v>
      </c>
      <c r="V25" s="133"/>
      <c r="W25" s="133">
        <v>19832.45</v>
      </c>
      <c r="X25" s="133"/>
      <c r="Y25" s="133">
        <v>19832.45</v>
      </c>
      <c r="Z25" s="86">
        <f t="shared" si="1"/>
        <v>383246.78</v>
      </c>
      <c r="AA25" s="85"/>
      <c r="AB25" s="82">
        <v>396649</v>
      </c>
      <c r="AC25" s="70"/>
    </row>
    <row r="26" spans="1:29" x14ac:dyDescent="0.2">
      <c r="A26" s="88" t="s">
        <v>460</v>
      </c>
      <c r="B26" s="87" t="s">
        <v>459</v>
      </c>
      <c r="C26" s="85">
        <v>89985</v>
      </c>
      <c r="D26" s="85"/>
      <c r="E26" s="85">
        <v>307603</v>
      </c>
      <c r="F26" s="85"/>
      <c r="G26" s="85">
        <v>55855</v>
      </c>
      <c r="H26" s="85"/>
      <c r="I26" s="85">
        <v>21500</v>
      </c>
      <c r="J26" s="85"/>
      <c r="K26" s="85">
        <v>2550</v>
      </c>
      <c r="L26" s="85"/>
      <c r="M26" s="85">
        <v>-75</v>
      </c>
      <c r="N26" s="85"/>
      <c r="O26" s="85">
        <v>0</v>
      </c>
      <c r="P26" s="85"/>
      <c r="Q26" s="133">
        <v>0</v>
      </c>
      <c r="R26" s="133"/>
      <c r="S26" s="133">
        <v>0</v>
      </c>
      <c r="T26" s="133"/>
      <c r="U26" s="133">
        <v>0</v>
      </c>
      <c r="V26" s="133"/>
      <c r="W26" s="133">
        <v>0</v>
      </c>
      <c r="X26" s="133"/>
      <c r="Y26" s="133">
        <v>0</v>
      </c>
      <c r="Z26" s="86">
        <f t="shared" si="1"/>
        <v>477418</v>
      </c>
      <c r="AA26" s="85"/>
      <c r="AB26" s="82">
        <v>497337</v>
      </c>
      <c r="AC26" s="70"/>
    </row>
    <row r="27" spans="1:29" x14ac:dyDescent="0.2">
      <c r="A27" s="88" t="s">
        <v>458</v>
      </c>
      <c r="B27" s="87" t="s">
        <v>457</v>
      </c>
      <c r="C27" s="85"/>
      <c r="D27" s="85"/>
      <c r="E27" s="85">
        <v>7385</v>
      </c>
      <c r="F27" s="85"/>
      <c r="G27" s="85">
        <v>48906</v>
      </c>
      <c r="H27" s="85"/>
      <c r="I27" s="85">
        <v>111824.5</v>
      </c>
      <c r="J27" s="85"/>
      <c r="K27" s="85">
        <v>106783</v>
      </c>
      <c r="L27" s="85"/>
      <c r="M27" s="85">
        <v>74034</v>
      </c>
      <c r="N27" s="85"/>
      <c r="O27" s="85">
        <v>12121</v>
      </c>
      <c r="P27" s="85"/>
      <c r="Q27" s="133">
        <v>0</v>
      </c>
      <c r="R27" s="133"/>
      <c r="S27" s="133">
        <v>0</v>
      </c>
      <c r="T27" s="133"/>
      <c r="U27" s="133">
        <v>0</v>
      </c>
      <c r="V27" s="133"/>
      <c r="W27" s="133">
        <v>0</v>
      </c>
      <c r="X27" s="133"/>
      <c r="Y27" s="133">
        <v>0</v>
      </c>
      <c r="Z27" s="86">
        <f t="shared" si="1"/>
        <v>361053.5</v>
      </c>
      <c r="AA27" s="85"/>
      <c r="AB27" s="82">
        <v>880085</v>
      </c>
      <c r="AC27" s="70"/>
    </row>
    <row r="28" spans="1:29" x14ac:dyDescent="0.2">
      <c r="A28" s="88" t="s">
        <v>456</v>
      </c>
      <c r="B28" s="87" t="s">
        <v>455</v>
      </c>
      <c r="C28" s="85"/>
      <c r="D28" s="85"/>
      <c r="E28" s="85">
        <v>3079.98</v>
      </c>
      <c r="F28" s="85"/>
      <c r="G28" s="85">
        <v>120476.34</v>
      </c>
      <c r="H28" s="85"/>
      <c r="I28" s="85">
        <v>295795.67</v>
      </c>
      <c r="J28" s="85"/>
      <c r="K28" s="85">
        <v>347179.93</v>
      </c>
      <c r="L28" s="85"/>
      <c r="M28" s="85">
        <v>310389.46000000002</v>
      </c>
      <c r="N28" s="85"/>
      <c r="O28" s="85">
        <v>96764.5</v>
      </c>
      <c r="P28" s="85"/>
      <c r="Q28" s="133">
        <v>0</v>
      </c>
      <c r="R28" s="133"/>
      <c r="S28" s="133">
        <v>0</v>
      </c>
      <c r="T28" s="133"/>
      <c r="U28" s="133">
        <v>0</v>
      </c>
      <c r="V28" s="133"/>
      <c r="W28" s="133">
        <v>0</v>
      </c>
      <c r="X28" s="133"/>
      <c r="Y28" s="133">
        <v>0</v>
      </c>
      <c r="Z28" s="86">
        <f t="shared" si="1"/>
        <v>1173685.8799999999</v>
      </c>
      <c r="AA28" s="85"/>
      <c r="AB28" s="82">
        <f>411257+128000</f>
        <v>539257</v>
      </c>
      <c r="AC28" s="70"/>
    </row>
    <row r="29" spans="1:29" x14ac:dyDescent="0.2">
      <c r="A29" s="88" t="s">
        <v>454</v>
      </c>
      <c r="B29" s="87" t="s">
        <v>453</v>
      </c>
      <c r="C29" s="85">
        <v>80019.600000000006</v>
      </c>
      <c r="D29" s="85"/>
      <c r="E29" s="85">
        <v>43438.93</v>
      </c>
      <c r="F29" s="85"/>
      <c r="G29" s="85">
        <v>18684.04</v>
      </c>
      <c r="H29" s="85"/>
      <c r="I29" s="85">
        <v>13276.64</v>
      </c>
      <c r="J29" s="85"/>
      <c r="K29" s="85">
        <v>34490.14</v>
      </c>
      <c r="L29" s="85"/>
      <c r="M29" s="85">
        <v>60275.17</v>
      </c>
      <c r="N29" s="85"/>
      <c r="O29" s="85">
        <v>107543.67</v>
      </c>
      <c r="P29" s="85"/>
      <c r="Q29" s="133">
        <v>63624.84</v>
      </c>
      <c r="R29" s="133"/>
      <c r="S29" s="133">
        <v>99457.87</v>
      </c>
      <c r="T29" s="133"/>
      <c r="U29" s="133">
        <v>37917.49</v>
      </c>
      <c r="V29" s="133"/>
      <c r="W29" s="133">
        <v>50117.32</v>
      </c>
      <c r="X29" s="133"/>
      <c r="Y29" s="133">
        <v>52930.45</v>
      </c>
      <c r="Z29" s="86">
        <f t="shared" si="1"/>
        <v>661776.15999999992</v>
      </c>
      <c r="AA29" s="85"/>
      <c r="AB29" s="82">
        <v>600000</v>
      </c>
      <c r="AC29" s="70"/>
    </row>
    <row r="30" spans="1:29" x14ac:dyDescent="0.2">
      <c r="A30" s="88" t="s">
        <v>452</v>
      </c>
      <c r="B30" s="87" t="s">
        <v>451</v>
      </c>
      <c r="C30" s="85">
        <v>2100</v>
      </c>
      <c r="D30" s="85"/>
      <c r="E30" s="85">
        <v>2100</v>
      </c>
      <c r="F30" s="85"/>
      <c r="G30" s="85">
        <v>1050</v>
      </c>
      <c r="H30" s="85"/>
      <c r="I30" s="85">
        <v>900</v>
      </c>
      <c r="J30" s="85"/>
      <c r="K30" s="85">
        <v>1200</v>
      </c>
      <c r="L30" s="85"/>
      <c r="M30" s="85">
        <v>1350</v>
      </c>
      <c r="N30" s="85"/>
      <c r="O30" s="85">
        <v>1350</v>
      </c>
      <c r="P30" s="85"/>
      <c r="Q30" s="133">
        <v>1990</v>
      </c>
      <c r="R30" s="133"/>
      <c r="S30" s="133">
        <v>1990</v>
      </c>
      <c r="T30" s="133"/>
      <c r="U30" s="133">
        <v>1990</v>
      </c>
      <c r="V30" s="133"/>
      <c r="W30" s="133">
        <v>1990</v>
      </c>
      <c r="X30" s="133"/>
      <c r="Y30" s="133">
        <v>1990</v>
      </c>
      <c r="Z30" s="86">
        <f t="shared" si="1"/>
        <v>20000</v>
      </c>
      <c r="AA30" s="85"/>
      <c r="AB30" s="82">
        <v>20000</v>
      </c>
      <c r="AC30" s="70"/>
    </row>
    <row r="31" spans="1:29" x14ac:dyDescent="0.2">
      <c r="A31" s="88" t="s">
        <v>450</v>
      </c>
      <c r="B31" s="87" t="s">
        <v>449</v>
      </c>
      <c r="C31" s="85">
        <v>4850</v>
      </c>
      <c r="D31" s="85"/>
      <c r="E31" s="85">
        <v>6795</v>
      </c>
      <c r="F31" s="85"/>
      <c r="G31" s="85">
        <v>11185</v>
      </c>
      <c r="H31" s="85"/>
      <c r="I31" s="85">
        <v>11670</v>
      </c>
      <c r="J31" s="85"/>
      <c r="K31" s="85">
        <v>9350</v>
      </c>
      <c r="L31" s="85"/>
      <c r="M31" s="85">
        <v>4070</v>
      </c>
      <c r="N31" s="85"/>
      <c r="O31" s="85">
        <v>1570</v>
      </c>
      <c r="P31" s="85"/>
      <c r="Q31" s="133">
        <v>0</v>
      </c>
      <c r="R31" s="133"/>
      <c r="S31" s="133">
        <v>0</v>
      </c>
      <c r="T31" s="133"/>
      <c r="U31" s="133">
        <v>0</v>
      </c>
      <c r="V31" s="133"/>
      <c r="W31" s="133">
        <v>0</v>
      </c>
      <c r="X31" s="133"/>
      <c r="Y31" s="133">
        <v>0</v>
      </c>
      <c r="Z31" s="86">
        <f t="shared" si="1"/>
        <v>49490</v>
      </c>
      <c r="AA31" s="85"/>
      <c r="AB31" s="82">
        <v>30000</v>
      </c>
      <c r="AC31" s="70"/>
    </row>
    <row r="32" spans="1:29" x14ac:dyDescent="0.2">
      <c r="A32" s="88" t="s">
        <v>448</v>
      </c>
      <c r="B32" s="87" t="s">
        <v>447</v>
      </c>
      <c r="C32" s="85">
        <v>5737</v>
      </c>
      <c r="D32" s="85"/>
      <c r="E32" s="85">
        <v>8795</v>
      </c>
      <c r="F32" s="85"/>
      <c r="G32" s="85">
        <v>9892</v>
      </c>
      <c r="H32" s="85"/>
      <c r="I32" s="85">
        <v>11454</v>
      </c>
      <c r="J32" s="85"/>
      <c r="K32" s="85">
        <v>8965</v>
      </c>
      <c r="L32" s="85"/>
      <c r="M32" s="85">
        <v>6729</v>
      </c>
      <c r="N32" s="85"/>
      <c r="O32" s="85">
        <v>2278</v>
      </c>
      <c r="P32" s="85"/>
      <c r="Q32" s="133">
        <v>1020</v>
      </c>
      <c r="R32" s="133"/>
      <c r="S32" s="133">
        <v>490</v>
      </c>
      <c r="T32" s="133"/>
      <c r="U32" s="133">
        <v>835</v>
      </c>
      <c r="V32" s="133"/>
      <c r="W32" s="133">
        <v>1120</v>
      </c>
      <c r="X32" s="133"/>
      <c r="Y32" s="133">
        <v>2070</v>
      </c>
      <c r="Z32" s="86">
        <f t="shared" si="1"/>
        <v>59385</v>
      </c>
      <c r="AA32" s="85"/>
      <c r="AB32" s="82">
        <v>55000</v>
      </c>
      <c r="AC32" s="70"/>
    </row>
    <row r="33" spans="1:29" x14ac:dyDescent="0.2">
      <c r="A33" s="88"/>
      <c r="B33" s="87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133"/>
      <c r="R33" s="133"/>
      <c r="S33" s="133"/>
      <c r="T33" s="133"/>
      <c r="U33" s="133"/>
      <c r="V33" s="133"/>
      <c r="W33" s="133"/>
      <c r="X33" s="133"/>
      <c r="Y33" s="133"/>
      <c r="Z33" s="85"/>
      <c r="AA33" s="85"/>
      <c r="AB33" s="82"/>
      <c r="AC33" s="70"/>
    </row>
    <row r="34" spans="1:29" x14ac:dyDescent="0.2">
      <c r="A34" s="81" t="s">
        <v>105</v>
      </c>
      <c r="B34" s="80" t="s">
        <v>446</v>
      </c>
      <c r="C34" s="79">
        <f>SUM(C22:C33)</f>
        <v>341974.28</v>
      </c>
      <c r="D34" s="76"/>
      <c r="E34" s="79">
        <f>SUM(E22:E33)</f>
        <v>571064.23</v>
      </c>
      <c r="F34" s="76"/>
      <c r="G34" s="79">
        <f>SUM(G22:G33)</f>
        <v>289471.38</v>
      </c>
      <c r="H34" s="76"/>
      <c r="I34" s="79">
        <f>SUM(I22:I33)</f>
        <v>488243.81</v>
      </c>
      <c r="J34" s="76"/>
      <c r="K34" s="79">
        <f>SUM(K22:K33)</f>
        <v>522765.07</v>
      </c>
      <c r="L34" s="76"/>
      <c r="M34" s="79">
        <f>SUM(M22:M33)</f>
        <v>465809.63</v>
      </c>
      <c r="N34" s="76"/>
      <c r="O34" s="79">
        <f>SUM(O22:O33)</f>
        <v>229539.16999999998</v>
      </c>
      <c r="P34" s="79"/>
      <c r="Q34" s="134">
        <f>SUM(Q22:Q33)</f>
        <v>75829.59</v>
      </c>
      <c r="R34" s="134"/>
      <c r="S34" s="134">
        <f>SUM(S22:S33)</f>
        <v>123032.09</v>
      </c>
      <c r="T34" s="134"/>
      <c r="U34" s="134">
        <f>SUM(U22:U33)</f>
        <v>61836.71</v>
      </c>
      <c r="V34" s="134"/>
      <c r="W34" s="134">
        <f>SUM(W22:W33)</f>
        <v>74321.540000000008</v>
      </c>
      <c r="X34" s="134"/>
      <c r="Y34" s="134">
        <f>SUM(Y22:Y33)</f>
        <v>78084.67</v>
      </c>
      <c r="Z34" s="79">
        <f>SUM(Z22:Z33)</f>
        <v>3321972.17</v>
      </c>
      <c r="AA34" s="76"/>
      <c r="AB34" s="79">
        <f>SUM(AB22:AB33)</f>
        <v>3144505</v>
      </c>
      <c r="AC34" s="70"/>
    </row>
    <row r="35" spans="1:29" x14ac:dyDescent="0.2"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35"/>
      <c r="R35" s="135"/>
      <c r="S35" s="135"/>
      <c r="T35" s="135"/>
      <c r="U35" s="135"/>
      <c r="V35" s="135"/>
      <c r="W35" s="135"/>
      <c r="X35" s="135"/>
      <c r="Y35" s="135"/>
      <c r="Z35" s="67"/>
      <c r="AA35" s="67"/>
      <c r="AB35" s="67"/>
      <c r="AC35" s="70"/>
    </row>
    <row r="36" spans="1:29" x14ac:dyDescent="0.2">
      <c r="A36" s="91" t="s">
        <v>445</v>
      </c>
      <c r="B36" s="90" t="s">
        <v>444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136"/>
      <c r="R36" s="136"/>
      <c r="S36" s="136"/>
      <c r="T36" s="136"/>
      <c r="U36" s="136"/>
      <c r="V36" s="136"/>
      <c r="W36" s="136"/>
      <c r="X36" s="136"/>
      <c r="Y36" s="136"/>
      <c r="Z36" s="89"/>
      <c r="AA36" s="89"/>
      <c r="AB36" s="67"/>
      <c r="AC36" s="70"/>
    </row>
    <row r="37" spans="1:29" x14ac:dyDescent="0.2">
      <c r="A37" s="88" t="s">
        <v>443</v>
      </c>
      <c r="B37" s="87" t="s">
        <v>442</v>
      </c>
      <c r="C37" s="85">
        <v>4187.41</v>
      </c>
      <c r="D37" s="85"/>
      <c r="E37" s="85">
        <v>20978.83</v>
      </c>
      <c r="F37" s="85"/>
      <c r="G37" s="85">
        <v>45813.8</v>
      </c>
      <c r="H37" s="85"/>
      <c r="I37" s="85">
        <v>56375.58</v>
      </c>
      <c r="J37" s="85"/>
      <c r="K37" s="85">
        <v>60287.15</v>
      </c>
      <c r="L37" s="85"/>
      <c r="M37" s="85">
        <v>52554.86</v>
      </c>
      <c r="N37" s="85"/>
      <c r="O37" s="85">
        <v>20980</v>
      </c>
      <c r="P37" s="85"/>
      <c r="Q37" s="133">
        <v>10670.16</v>
      </c>
      <c r="R37" s="133"/>
      <c r="S37" s="133">
        <v>6930.69</v>
      </c>
      <c r="T37" s="133"/>
      <c r="U37" s="133">
        <v>7031.56</v>
      </c>
      <c r="V37" s="133"/>
      <c r="W37" s="133">
        <v>5105.9799999999996</v>
      </c>
      <c r="X37" s="133"/>
      <c r="Y37" s="133">
        <v>6060.93</v>
      </c>
      <c r="Z37" s="86">
        <f t="shared" ref="Z37:Z43" si="2">SUM(C37:Y37)</f>
        <v>296976.94999999995</v>
      </c>
      <c r="AA37" s="85"/>
      <c r="AB37" s="82">
        <v>301500</v>
      </c>
      <c r="AC37" s="70"/>
    </row>
    <row r="38" spans="1:29" x14ac:dyDescent="0.2">
      <c r="A38" s="88" t="s">
        <v>441</v>
      </c>
      <c r="B38" s="87" t="s">
        <v>440</v>
      </c>
      <c r="C38" s="85"/>
      <c r="D38" s="85"/>
      <c r="E38" s="85"/>
      <c r="F38" s="85"/>
      <c r="G38" s="85">
        <v>1152.25</v>
      </c>
      <c r="H38" s="85"/>
      <c r="I38" s="85">
        <v>725</v>
      </c>
      <c r="J38" s="85"/>
      <c r="K38" s="85">
        <v>1095.25</v>
      </c>
      <c r="L38" s="85"/>
      <c r="M38" s="85">
        <v>887.25</v>
      </c>
      <c r="N38" s="85"/>
      <c r="O38" s="85">
        <v>1325</v>
      </c>
      <c r="P38" s="85"/>
      <c r="Q38" s="133">
        <v>0</v>
      </c>
      <c r="R38" s="133"/>
      <c r="S38" s="133">
        <v>0</v>
      </c>
      <c r="T38" s="133"/>
      <c r="U38" s="133">
        <v>0</v>
      </c>
      <c r="V38" s="133"/>
      <c r="W38" s="133">
        <v>0</v>
      </c>
      <c r="X38" s="133"/>
      <c r="Y38" s="133">
        <v>0</v>
      </c>
      <c r="Z38" s="86">
        <f t="shared" si="2"/>
        <v>5184.75</v>
      </c>
      <c r="AA38" s="85"/>
      <c r="AB38" s="82"/>
      <c r="AC38" s="70"/>
    </row>
    <row r="39" spans="1:29" x14ac:dyDescent="0.2">
      <c r="A39" s="88" t="s">
        <v>439</v>
      </c>
      <c r="B39" s="87" t="s">
        <v>438</v>
      </c>
      <c r="C39" s="85">
        <v>2499.33</v>
      </c>
      <c r="D39" s="85"/>
      <c r="E39" s="85">
        <v>2600</v>
      </c>
      <c r="F39" s="85"/>
      <c r="G39" s="85">
        <v>16161.99</v>
      </c>
      <c r="H39" s="85"/>
      <c r="I39" s="85">
        <v>18149.490000000002</v>
      </c>
      <c r="J39" s="85"/>
      <c r="K39" s="85">
        <v>10143.11</v>
      </c>
      <c r="L39" s="85"/>
      <c r="M39" s="85">
        <v>6459.24</v>
      </c>
      <c r="N39" s="85"/>
      <c r="O39" s="85">
        <v>4475.74</v>
      </c>
      <c r="P39" s="85"/>
      <c r="Q39" s="133">
        <v>2000</v>
      </c>
      <c r="R39" s="133"/>
      <c r="S39" s="133">
        <v>2000</v>
      </c>
      <c r="T39" s="133"/>
      <c r="U39" s="133">
        <v>2000</v>
      </c>
      <c r="V39" s="133"/>
      <c r="W39" s="133">
        <v>2000</v>
      </c>
      <c r="X39" s="133"/>
      <c r="Y39" s="133">
        <v>2000</v>
      </c>
      <c r="Z39" s="86">
        <f t="shared" si="2"/>
        <v>70488.899999999994</v>
      </c>
      <c r="AA39" s="85"/>
      <c r="AB39" s="82">
        <v>60000</v>
      </c>
      <c r="AC39" s="70"/>
    </row>
    <row r="40" spans="1:29" x14ac:dyDescent="0.2">
      <c r="A40" s="88" t="s">
        <v>437</v>
      </c>
      <c r="B40" s="87" t="s">
        <v>436</v>
      </c>
      <c r="C40" s="85">
        <v>1088.75</v>
      </c>
      <c r="D40" s="85"/>
      <c r="E40" s="85">
        <v>1544</v>
      </c>
      <c r="F40" s="85"/>
      <c r="G40" s="85">
        <v>2842</v>
      </c>
      <c r="H40" s="85"/>
      <c r="I40" s="85">
        <v>2986.75</v>
      </c>
      <c r="J40" s="85"/>
      <c r="K40" s="85">
        <v>1480</v>
      </c>
      <c r="L40" s="85"/>
      <c r="M40" s="85">
        <v>1968.75</v>
      </c>
      <c r="N40" s="85"/>
      <c r="O40" s="85">
        <v>1950.64</v>
      </c>
      <c r="P40" s="85"/>
      <c r="Q40" s="133">
        <v>1000</v>
      </c>
      <c r="R40" s="133"/>
      <c r="S40" s="133">
        <v>1000</v>
      </c>
      <c r="T40" s="133"/>
      <c r="U40" s="133">
        <v>1000</v>
      </c>
      <c r="V40" s="133"/>
      <c r="W40" s="133">
        <v>1000</v>
      </c>
      <c r="X40" s="133"/>
      <c r="Y40" s="133">
        <v>1000</v>
      </c>
      <c r="Z40" s="86">
        <f t="shared" si="2"/>
        <v>18860.89</v>
      </c>
      <c r="AA40" s="85"/>
      <c r="AB40" s="82">
        <v>12500</v>
      </c>
      <c r="AC40" s="70"/>
    </row>
    <row r="41" spans="1:29" x14ac:dyDescent="0.2">
      <c r="A41" s="88" t="s">
        <v>435</v>
      </c>
      <c r="B41" s="87" t="s">
        <v>434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>
        <v>0</v>
      </c>
      <c r="N41" s="85"/>
      <c r="O41" s="85">
        <v>0</v>
      </c>
      <c r="P41" s="85"/>
      <c r="Q41" s="133"/>
      <c r="R41" s="133"/>
      <c r="S41" s="133"/>
      <c r="T41" s="133"/>
      <c r="U41" s="133"/>
      <c r="V41" s="133"/>
      <c r="W41" s="133"/>
      <c r="X41" s="133"/>
      <c r="Y41" s="133"/>
      <c r="Z41" s="86">
        <f t="shared" si="2"/>
        <v>0</v>
      </c>
      <c r="AA41" s="85"/>
      <c r="AB41" s="82"/>
      <c r="AC41" s="70"/>
    </row>
    <row r="42" spans="1:29" x14ac:dyDescent="0.2">
      <c r="A42" s="88" t="s">
        <v>433</v>
      </c>
      <c r="B42" s="87" t="s">
        <v>432</v>
      </c>
      <c r="C42" s="85"/>
      <c r="D42" s="85"/>
      <c r="E42" s="85"/>
      <c r="F42" s="85"/>
      <c r="G42" s="85"/>
      <c r="H42" s="85"/>
      <c r="I42" s="85"/>
      <c r="J42" s="85"/>
      <c r="K42" s="85">
        <v>229.57</v>
      </c>
      <c r="L42" s="85"/>
      <c r="M42" s="85">
        <v>0</v>
      </c>
      <c r="N42" s="85"/>
      <c r="O42" s="85">
        <v>0</v>
      </c>
      <c r="P42" s="85"/>
      <c r="Q42" s="133"/>
      <c r="R42" s="133"/>
      <c r="S42" s="133"/>
      <c r="T42" s="133"/>
      <c r="U42" s="133"/>
      <c r="V42" s="133"/>
      <c r="W42" s="133"/>
      <c r="X42" s="133"/>
      <c r="Y42" s="133"/>
      <c r="Z42" s="86">
        <f t="shared" si="2"/>
        <v>229.57</v>
      </c>
      <c r="AA42" s="85"/>
      <c r="AB42" s="82"/>
      <c r="AC42" s="70"/>
    </row>
    <row r="43" spans="1:29" x14ac:dyDescent="0.2">
      <c r="A43" s="88" t="s">
        <v>431</v>
      </c>
      <c r="B43" s="87" t="s">
        <v>430</v>
      </c>
      <c r="C43" s="85">
        <v>328.75</v>
      </c>
      <c r="D43" s="85"/>
      <c r="E43" s="85">
        <v>225</v>
      </c>
      <c r="F43" s="85"/>
      <c r="G43" s="85">
        <v>250</v>
      </c>
      <c r="H43" s="85"/>
      <c r="I43" s="85">
        <v>634</v>
      </c>
      <c r="J43" s="85"/>
      <c r="K43" s="85">
        <v>240</v>
      </c>
      <c r="L43" s="85"/>
      <c r="M43" s="85">
        <v>475</v>
      </c>
      <c r="N43" s="85"/>
      <c r="O43" s="85">
        <v>525</v>
      </c>
      <c r="P43" s="85"/>
      <c r="Q43" s="133">
        <v>500</v>
      </c>
      <c r="R43" s="133"/>
      <c r="S43" s="133">
        <v>500</v>
      </c>
      <c r="T43" s="133"/>
      <c r="U43" s="133">
        <v>500</v>
      </c>
      <c r="V43" s="133"/>
      <c r="W43" s="133">
        <v>500</v>
      </c>
      <c r="X43" s="133"/>
      <c r="Y43" s="133">
        <v>500</v>
      </c>
      <c r="Z43" s="86">
        <f t="shared" si="2"/>
        <v>5177.75</v>
      </c>
      <c r="AA43" s="85"/>
      <c r="AB43" s="82">
        <v>4500</v>
      </c>
      <c r="AC43" s="70"/>
    </row>
    <row r="44" spans="1:29" x14ac:dyDescent="0.2">
      <c r="A44" s="88"/>
      <c r="B44" s="87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133"/>
      <c r="R44" s="133"/>
      <c r="S44" s="133"/>
      <c r="T44" s="133"/>
      <c r="U44" s="133"/>
      <c r="V44" s="133"/>
      <c r="W44" s="133"/>
      <c r="X44" s="133"/>
      <c r="Y44" s="133"/>
      <c r="Z44" s="85"/>
      <c r="AA44" s="85"/>
      <c r="AB44" s="82"/>
      <c r="AC44" s="70"/>
    </row>
    <row r="45" spans="1:29" x14ac:dyDescent="0.2">
      <c r="A45" s="81" t="s">
        <v>105</v>
      </c>
      <c r="B45" s="80" t="s">
        <v>429</v>
      </c>
      <c r="C45" s="79">
        <f>SUM(C37:C44)</f>
        <v>8104.24</v>
      </c>
      <c r="D45" s="76"/>
      <c r="E45" s="79">
        <f>SUM(E37:E44)</f>
        <v>25347.83</v>
      </c>
      <c r="F45" s="76"/>
      <c r="G45" s="79">
        <f>SUM(G37:G44)</f>
        <v>66220.040000000008</v>
      </c>
      <c r="H45" s="76"/>
      <c r="I45" s="79">
        <f>SUM(I37:I44)</f>
        <v>78870.820000000007</v>
      </c>
      <c r="J45" s="76"/>
      <c r="K45" s="79">
        <f>SUM(K37:K44)</f>
        <v>73475.080000000016</v>
      </c>
      <c r="L45" s="76"/>
      <c r="M45" s="79">
        <f>SUM(M37:M44)</f>
        <v>62345.1</v>
      </c>
      <c r="N45" s="76"/>
      <c r="O45" s="79">
        <f>SUM(O37:O44)</f>
        <v>29256.379999999997</v>
      </c>
      <c r="P45" s="79"/>
      <c r="Q45" s="134">
        <f>SUM(Q37:Q44)</f>
        <v>14170.16</v>
      </c>
      <c r="R45" s="134"/>
      <c r="S45" s="134">
        <f>SUM(S37:S44)</f>
        <v>10430.689999999999</v>
      </c>
      <c r="T45" s="134"/>
      <c r="U45" s="134">
        <f>SUM(U37:U44)</f>
        <v>10531.560000000001</v>
      </c>
      <c r="V45" s="134"/>
      <c r="W45" s="134">
        <f>SUM(W37:W44)</f>
        <v>8605.98</v>
      </c>
      <c r="X45" s="134"/>
      <c r="Y45" s="134">
        <f>SUM(Y37:Y44)</f>
        <v>9560.93</v>
      </c>
      <c r="Z45" s="79">
        <f>SUM(Z37:Z44)</f>
        <v>396918.81</v>
      </c>
      <c r="AA45" s="76"/>
      <c r="AB45" s="79">
        <f>SUM(AB37:AB44)</f>
        <v>378500</v>
      </c>
      <c r="AC45" s="70"/>
    </row>
    <row r="46" spans="1:29" x14ac:dyDescent="0.2"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35"/>
      <c r="R46" s="135"/>
      <c r="S46" s="135"/>
      <c r="T46" s="135"/>
      <c r="U46" s="135"/>
      <c r="V46" s="135"/>
      <c r="W46" s="135"/>
      <c r="X46" s="135"/>
      <c r="Y46" s="135"/>
      <c r="Z46" s="67"/>
      <c r="AA46" s="67"/>
      <c r="AB46" s="67"/>
      <c r="AC46" s="70"/>
    </row>
    <row r="47" spans="1:29" x14ac:dyDescent="0.2">
      <c r="A47" s="91" t="s">
        <v>428</v>
      </c>
      <c r="B47" s="90" t="s">
        <v>427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136"/>
      <c r="R47" s="136"/>
      <c r="S47" s="136"/>
      <c r="T47" s="136"/>
      <c r="U47" s="136"/>
      <c r="V47" s="136"/>
      <c r="W47" s="136"/>
      <c r="X47" s="136"/>
      <c r="Y47" s="136"/>
      <c r="Z47" s="89"/>
      <c r="AA47" s="89"/>
      <c r="AB47" s="67"/>
      <c r="AC47" s="70"/>
    </row>
    <row r="48" spans="1:29" x14ac:dyDescent="0.2">
      <c r="A48" s="88">
        <v>4040980</v>
      </c>
      <c r="B48" s="87" t="s">
        <v>6</v>
      </c>
      <c r="C48" s="85"/>
      <c r="D48" s="85"/>
      <c r="E48" s="85"/>
      <c r="F48" s="85"/>
      <c r="G48" s="85">
        <v>3215.19</v>
      </c>
      <c r="H48" s="85"/>
      <c r="I48" s="85"/>
      <c r="J48" s="85"/>
      <c r="K48" s="85"/>
      <c r="L48" s="85"/>
      <c r="M48" s="85">
        <v>0</v>
      </c>
      <c r="N48" s="85"/>
      <c r="O48" s="85">
        <v>3215.19</v>
      </c>
      <c r="P48" s="85"/>
      <c r="Q48" s="133"/>
      <c r="R48" s="133"/>
      <c r="S48" s="133"/>
      <c r="T48" s="133"/>
      <c r="U48" s="133"/>
      <c r="V48" s="133"/>
      <c r="W48" s="133"/>
      <c r="X48" s="133"/>
      <c r="Y48" s="133"/>
      <c r="Z48" s="86">
        <f t="shared" ref="Z48:Z57" si="3">SUM(C48:Y48)</f>
        <v>6430.38</v>
      </c>
      <c r="AA48" s="85"/>
      <c r="AB48" s="82">
        <v>75000</v>
      </c>
      <c r="AC48" s="70"/>
    </row>
    <row r="49" spans="1:29" x14ac:dyDescent="0.2">
      <c r="A49" s="88" t="s">
        <v>426</v>
      </c>
      <c r="B49" s="87" t="s">
        <v>425</v>
      </c>
      <c r="C49" s="85"/>
      <c r="D49" s="85"/>
      <c r="E49" s="85"/>
      <c r="F49" s="85"/>
      <c r="G49" s="85"/>
      <c r="H49" s="85"/>
      <c r="I49" s="85">
        <v>0</v>
      </c>
      <c r="J49" s="85"/>
      <c r="K49" s="85">
        <v>0</v>
      </c>
      <c r="L49" s="85"/>
      <c r="M49" s="85">
        <v>0</v>
      </c>
      <c r="N49" s="85"/>
      <c r="O49" s="85">
        <v>0</v>
      </c>
      <c r="P49" s="85"/>
      <c r="Q49" s="133"/>
      <c r="R49" s="133"/>
      <c r="S49" s="133"/>
      <c r="T49" s="133"/>
      <c r="U49" s="133"/>
      <c r="V49" s="133"/>
      <c r="W49" s="133"/>
      <c r="X49" s="133"/>
      <c r="Y49" s="133"/>
      <c r="Z49" s="86">
        <f t="shared" si="3"/>
        <v>0</v>
      </c>
      <c r="AA49" s="85"/>
      <c r="AB49" s="82">
        <v>5000</v>
      </c>
      <c r="AC49" s="70"/>
    </row>
    <row r="50" spans="1:29" x14ac:dyDescent="0.2">
      <c r="A50" s="88" t="s">
        <v>424</v>
      </c>
      <c r="B50" s="87" t="s">
        <v>423</v>
      </c>
      <c r="C50" s="85">
        <v>1242.94</v>
      </c>
      <c r="D50" s="85"/>
      <c r="E50" s="85"/>
      <c r="F50" s="85"/>
      <c r="G50" s="85"/>
      <c r="H50" s="85"/>
      <c r="I50" s="85"/>
      <c r="J50" s="85"/>
      <c r="K50" s="85"/>
      <c r="L50" s="85"/>
      <c r="M50" s="85">
        <v>0</v>
      </c>
      <c r="N50" s="85"/>
      <c r="O50" s="85">
        <v>0</v>
      </c>
      <c r="P50" s="85"/>
      <c r="Q50" s="133"/>
      <c r="R50" s="133"/>
      <c r="S50" s="133"/>
      <c r="T50" s="133"/>
      <c r="U50" s="133"/>
      <c r="V50" s="133"/>
      <c r="W50" s="133"/>
      <c r="X50" s="133"/>
      <c r="Y50" s="133"/>
      <c r="Z50" s="86">
        <f t="shared" si="3"/>
        <v>1242.94</v>
      </c>
      <c r="AA50" s="85"/>
      <c r="AB50" s="82">
        <v>5000</v>
      </c>
      <c r="AC50" s="70"/>
    </row>
    <row r="51" spans="1:29" x14ac:dyDescent="0.2">
      <c r="A51" s="88" t="s">
        <v>422</v>
      </c>
      <c r="B51" s="87" t="s">
        <v>421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>
        <v>10436.52</v>
      </c>
      <c r="N51" s="85"/>
      <c r="O51" s="85">
        <v>0</v>
      </c>
      <c r="P51" s="85"/>
      <c r="Q51" s="133"/>
      <c r="R51" s="133"/>
      <c r="S51" s="133"/>
      <c r="T51" s="133"/>
      <c r="U51" s="133"/>
      <c r="V51" s="133"/>
      <c r="W51" s="133"/>
      <c r="X51" s="133"/>
      <c r="Y51" s="133"/>
      <c r="Z51" s="86">
        <f t="shared" si="3"/>
        <v>10436.52</v>
      </c>
      <c r="AA51" s="85"/>
      <c r="AB51" s="82">
        <v>20000</v>
      </c>
      <c r="AC51" s="70"/>
    </row>
    <row r="52" spans="1:29" x14ac:dyDescent="0.2">
      <c r="A52" s="88">
        <v>4060400</v>
      </c>
      <c r="B52" s="87" t="s">
        <v>420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>
        <v>0</v>
      </c>
      <c r="N52" s="85"/>
      <c r="O52" s="85"/>
      <c r="P52" s="85"/>
      <c r="Q52" s="133"/>
      <c r="R52" s="133"/>
      <c r="S52" s="133"/>
      <c r="T52" s="133"/>
      <c r="U52" s="133"/>
      <c r="V52" s="133"/>
      <c r="W52" s="133"/>
      <c r="X52" s="133"/>
      <c r="Y52" s="133"/>
      <c r="Z52" s="86">
        <f t="shared" si="3"/>
        <v>0</v>
      </c>
      <c r="AA52" s="85"/>
      <c r="AB52" s="82"/>
      <c r="AC52" s="70"/>
    </row>
    <row r="53" spans="1:29" x14ac:dyDescent="0.2">
      <c r="A53" s="88" t="s">
        <v>419</v>
      </c>
      <c r="B53" s="87" t="s">
        <v>418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>
        <v>0</v>
      </c>
      <c r="N53" s="85"/>
      <c r="O53" s="85">
        <v>57500</v>
      </c>
      <c r="P53" s="85"/>
      <c r="Q53" s="133"/>
      <c r="R53" s="133"/>
      <c r="S53" s="133"/>
      <c r="T53" s="133"/>
      <c r="U53" s="133"/>
      <c r="V53" s="133"/>
      <c r="W53" s="133"/>
      <c r="X53" s="133"/>
      <c r="Y53" s="133"/>
      <c r="Z53" s="86">
        <f t="shared" si="3"/>
        <v>57500</v>
      </c>
      <c r="AA53" s="85"/>
      <c r="AB53" s="82">
        <v>0</v>
      </c>
      <c r="AC53" s="70"/>
    </row>
    <row r="54" spans="1:29" x14ac:dyDescent="0.2">
      <c r="A54" s="88">
        <v>4060600</v>
      </c>
      <c r="B54" s="87" t="s">
        <v>417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>
        <v>0</v>
      </c>
      <c r="N54" s="85"/>
      <c r="O54" s="85"/>
      <c r="P54" s="85"/>
      <c r="Q54" s="133"/>
      <c r="R54" s="133"/>
      <c r="S54" s="133"/>
      <c r="T54" s="133"/>
      <c r="U54" s="133"/>
      <c r="V54" s="133"/>
      <c r="W54" s="133"/>
      <c r="X54" s="133"/>
      <c r="Y54" s="133"/>
      <c r="Z54" s="86">
        <f t="shared" si="3"/>
        <v>0</v>
      </c>
      <c r="AA54" s="85"/>
      <c r="AB54" s="82">
        <v>0</v>
      </c>
      <c r="AC54" s="70"/>
    </row>
    <row r="55" spans="1:29" x14ac:dyDescent="0.2">
      <c r="A55" s="88">
        <v>4060800</v>
      </c>
      <c r="B55" s="87" t="s">
        <v>416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>
        <v>0</v>
      </c>
      <c r="N55" s="85"/>
      <c r="O55" s="85"/>
      <c r="P55" s="85"/>
      <c r="Q55" s="133"/>
      <c r="R55" s="133"/>
      <c r="S55" s="133"/>
      <c r="T55" s="133"/>
      <c r="U55" s="133"/>
      <c r="V55" s="133"/>
      <c r="W55" s="133"/>
      <c r="X55" s="133"/>
      <c r="Y55" s="133"/>
      <c r="Z55" s="86">
        <f t="shared" si="3"/>
        <v>0</v>
      </c>
      <c r="AA55" s="85"/>
      <c r="AB55" s="82">
        <v>0</v>
      </c>
      <c r="AC55" s="70"/>
    </row>
    <row r="56" spans="1:29" x14ac:dyDescent="0.2">
      <c r="A56" s="88">
        <v>4060900</v>
      </c>
      <c r="B56" s="87" t="s">
        <v>415</v>
      </c>
      <c r="C56" s="85"/>
      <c r="D56" s="85"/>
      <c r="E56" s="85"/>
      <c r="F56" s="85"/>
      <c r="G56" s="85">
        <v>10174.450000000001</v>
      </c>
      <c r="H56" s="85"/>
      <c r="I56" s="85">
        <v>5000</v>
      </c>
      <c r="J56" s="85"/>
      <c r="K56" s="85"/>
      <c r="L56" s="85"/>
      <c r="M56" s="85">
        <v>1957.9</v>
      </c>
      <c r="N56" s="85"/>
      <c r="O56" s="85"/>
      <c r="P56" s="85"/>
      <c r="Q56" s="133"/>
      <c r="R56" s="133"/>
      <c r="S56" s="133"/>
      <c r="T56" s="133"/>
      <c r="U56" s="133"/>
      <c r="V56" s="133"/>
      <c r="W56" s="133"/>
      <c r="X56" s="133"/>
      <c r="Y56" s="133"/>
      <c r="Z56" s="86">
        <f t="shared" si="3"/>
        <v>17132.350000000002</v>
      </c>
      <c r="AA56" s="85"/>
      <c r="AB56" s="82">
        <v>0</v>
      </c>
      <c r="AC56" s="70"/>
    </row>
    <row r="57" spans="1:29" x14ac:dyDescent="0.2">
      <c r="A57" s="88" t="s">
        <v>414</v>
      </c>
      <c r="B57" s="87" t="s">
        <v>413</v>
      </c>
      <c r="C57" s="85">
        <v>4750</v>
      </c>
      <c r="D57" s="85"/>
      <c r="E57" s="85">
        <v>500</v>
      </c>
      <c r="F57" s="85"/>
      <c r="G57" s="85">
        <v>425</v>
      </c>
      <c r="H57" s="85"/>
      <c r="I57" s="85">
        <v>16494</v>
      </c>
      <c r="J57" s="85"/>
      <c r="K57" s="85">
        <v>40000</v>
      </c>
      <c r="L57" s="85"/>
      <c r="M57" s="85">
        <v>0</v>
      </c>
      <c r="N57" s="85"/>
      <c r="O57" s="85">
        <v>21000</v>
      </c>
      <c r="P57" s="85"/>
      <c r="Q57" s="133"/>
      <c r="R57" s="133"/>
      <c r="S57" s="133"/>
      <c r="T57" s="133"/>
      <c r="U57" s="133"/>
      <c r="V57" s="133"/>
      <c r="W57" s="133"/>
      <c r="X57" s="133"/>
      <c r="Y57" s="133"/>
      <c r="Z57" s="86">
        <f t="shared" si="3"/>
        <v>83169</v>
      </c>
      <c r="AA57" s="85"/>
      <c r="AB57" s="82">
        <f>30000+130000</f>
        <v>160000</v>
      </c>
      <c r="AC57" s="70"/>
    </row>
    <row r="58" spans="1:29" x14ac:dyDescent="0.2">
      <c r="A58" s="84"/>
      <c r="B58" s="83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137"/>
      <c r="R58" s="137"/>
      <c r="S58" s="137"/>
      <c r="T58" s="137"/>
      <c r="U58" s="137"/>
      <c r="V58" s="137"/>
      <c r="W58" s="137"/>
      <c r="X58" s="137"/>
      <c r="Y58" s="137"/>
      <c r="Z58" s="82"/>
      <c r="AA58" s="82"/>
      <c r="AB58" s="82"/>
      <c r="AC58" s="70"/>
    </row>
    <row r="59" spans="1:29" x14ac:dyDescent="0.2">
      <c r="A59" s="81" t="s">
        <v>105</v>
      </c>
      <c r="B59" s="80" t="s">
        <v>412</v>
      </c>
      <c r="C59" s="79">
        <f>SUM(C48:C58)</f>
        <v>5992.9400000000005</v>
      </c>
      <c r="D59" s="76"/>
      <c r="E59" s="79">
        <f>SUM(E48:E58)</f>
        <v>500</v>
      </c>
      <c r="F59" s="76"/>
      <c r="G59" s="79">
        <f>SUM(G48:G58)</f>
        <v>13814.640000000001</v>
      </c>
      <c r="H59" s="76"/>
      <c r="I59" s="79">
        <f>SUM(I48:I58)</f>
        <v>21494</v>
      </c>
      <c r="J59" s="76"/>
      <c r="K59" s="79">
        <f>SUM(K48:K58)</f>
        <v>40000</v>
      </c>
      <c r="L59" s="76"/>
      <c r="M59" s="79">
        <f>SUM(M48:M58)</f>
        <v>12394.42</v>
      </c>
      <c r="N59" s="76"/>
      <c r="O59" s="79">
        <f>SUM(O48:O58)</f>
        <v>81715.19</v>
      </c>
      <c r="P59" s="79"/>
      <c r="Q59" s="134">
        <f>SUM(Q48:Q58)</f>
        <v>0</v>
      </c>
      <c r="R59" s="134"/>
      <c r="S59" s="134">
        <f>SUM(S48:S58)</f>
        <v>0</v>
      </c>
      <c r="T59" s="134"/>
      <c r="U59" s="134">
        <f>SUM(U48:U58)</f>
        <v>0</v>
      </c>
      <c r="V59" s="134"/>
      <c r="W59" s="134">
        <f>SUM(W48:W58)</f>
        <v>0</v>
      </c>
      <c r="X59" s="134"/>
      <c r="Y59" s="134">
        <f>SUM(Y48:Y58)</f>
        <v>0</v>
      </c>
      <c r="Z59" s="79">
        <f>SUM(Z48:Z58)</f>
        <v>175911.19</v>
      </c>
      <c r="AA59" s="76"/>
      <c r="AB59" s="79">
        <f>SUM(AB48:AB58)</f>
        <v>265000</v>
      </c>
      <c r="AC59" s="70"/>
    </row>
    <row r="60" spans="1:29" x14ac:dyDescent="0.2"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135"/>
      <c r="R60" s="135"/>
      <c r="S60" s="135"/>
      <c r="T60" s="135"/>
      <c r="U60" s="135"/>
      <c r="V60" s="135"/>
      <c r="W60" s="135"/>
      <c r="X60" s="135"/>
      <c r="Y60" s="135"/>
      <c r="Z60" s="67"/>
      <c r="AA60" s="67"/>
      <c r="AB60" s="67"/>
      <c r="AC60" s="70"/>
    </row>
    <row r="61" spans="1:29" x14ac:dyDescent="0.2">
      <c r="A61" s="91" t="s">
        <v>411</v>
      </c>
      <c r="B61" s="90" t="s">
        <v>410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136"/>
      <c r="R61" s="136"/>
      <c r="S61" s="136"/>
      <c r="T61" s="136"/>
      <c r="U61" s="136"/>
      <c r="V61" s="136"/>
      <c r="W61" s="136"/>
      <c r="X61" s="136"/>
      <c r="Y61" s="136"/>
      <c r="Z61" s="89"/>
      <c r="AA61" s="89"/>
      <c r="AB61" s="67"/>
      <c r="AC61" s="70"/>
    </row>
    <row r="62" spans="1:29" x14ac:dyDescent="0.2">
      <c r="A62" s="88" t="s">
        <v>409</v>
      </c>
      <c r="B62" s="87" t="s">
        <v>344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133"/>
      <c r="R62" s="133"/>
      <c r="S62" s="133"/>
      <c r="T62" s="133"/>
      <c r="U62" s="133"/>
      <c r="V62" s="133"/>
      <c r="W62" s="133"/>
      <c r="X62" s="133"/>
      <c r="Y62" s="133"/>
      <c r="Z62" s="86">
        <f t="shared" ref="Z62:Z66" si="4">SUM(C62:Y62)</f>
        <v>0</v>
      </c>
      <c r="AA62" s="85"/>
      <c r="AB62" s="82"/>
      <c r="AC62" s="70"/>
    </row>
    <row r="63" spans="1:29" x14ac:dyDescent="0.2">
      <c r="A63" s="88" t="s">
        <v>408</v>
      </c>
      <c r="B63" s="87" t="s">
        <v>407</v>
      </c>
      <c r="C63" s="85">
        <v>2000</v>
      </c>
      <c r="D63" s="85"/>
      <c r="E63" s="85">
        <v>1100</v>
      </c>
      <c r="F63" s="85"/>
      <c r="G63" s="85">
        <v>660</v>
      </c>
      <c r="H63" s="85"/>
      <c r="I63" s="85">
        <v>118</v>
      </c>
      <c r="J63" s="85"/>
      <c r="K63" s="85">
        <v>200</v>
      </c>
      <c r="L63" s="85"/>
      <c r="M63" s="85">
        <v>1000</v>
      </c>
      <c r="N63" s="85"/>
      <c r="O63" s="85">
        <v>0</v>
      </c>
      <c r="P63" s="85"/>
      <c r="Q63" s="133"/>
      <c r="R63" s="133"/>
      <c r="S63" s="133"/>
      <c r="T63" s="133"/>
      <c r="U63" s="133"/>
      <c r="V63" s="133"/>
      <c r="W63" s="133"/>
      <c r="X63" s="133"/>
      <c r="Y63" s="133"/>
      <c r="Z63" s="86">
        <f t="shared" si="4"/>
        <v>5078</v>
      </c>
      <c r="AA63" s="85"/>
      <c r="AB63" s="82">
        <v>5000</v>
      </c>
      <c r="AC63" s="70"/>
    </row>
    <row r="64" spans="1:29" x14ac:dyDescent="0.2">
      <c r="A64" s="88" t="s">
        <v>406</v>
      </c>
      <c r="B64" s="87" t="s">
        <v>405</v>
      </c>
      <c r="C64" s="85"/>
      <c r="D64" s="85"/>
      <c r="E64" s="85"/>
      <c r="F64" s="85"/>
      <c r="G64" s="85">
        <v>200</v>
      </c>
      <c r="H64" s="85"/>
      <c r="I64" s="85">
        <v>100</v>
      </c>
      <c r="J64" s="85"/>
      <c r="K64" s="85">
        <v>175</v>
      </c>
      <c r="L64" s="85"/>
      <c r="M64" s="85">
        <v>125</v>
      </c>
      <c r="N64" s="85"/>
      <c r="O64" s="85">
        <v>150</v>
      </c>
      <c r="P64" s="85"/>
      <c r="Q64" s="133"/>
      <c r="R64" s="133"/>
      <c r="S64" s="133"/>
      <c r="T64" s="133"/>
      <c r="U64" s="133"/>
      <c r="V64" s="133"/>
      <c r="W64" s="133"/>
      <c r="X64" s="133"/>
      <c r="Y64" s="133"/>
      <c r="Z64" s="86">
        <f t="shared" si="4"/>
        <v>750</v>
      </c>
      <c r="AA64" s="85"/>
      <c r="AB64" s="82">
        <v>1000</v>
      </c>
      <c r="AC64" s="70"/>
    </row>
    <row r="65" spans="1:29" x14ac:dyDescent="0.2">
      <c r="A65" s="88" t="s">
        <v>404</v>
      </c>
      <c r="B65" s="87" t="s">
        <v>403</v>
      </c>
      <c r="C65" s="85">
        <v>1794.12</v>
      </c>
      <c r="D65" s="85"/>
      <c r="E65" s="85">
        <v>642.24</v>
      </c>
      <c r="F65" s="85"/>
      <c r="G65" s="85"/>
      <c r="H65" s="85"/>
      <c r="I65" s="85">
        <v>14832.17</v>
      </c>
      <c r="J65" s="85"/>
      <c r="K65" s="85">
        <v>11906.59</v>
      </c>
      <c r="L65" s="85"/>
      <c r="M65" s="85">
        <v>14521.7</v>
      </c>
      <c r="N65" s="85"/>
      <c r="O65" s="85">
        <v>10853.84</v>
      </c>
      <c r="P65" s="85"/>
      <c r="Q65" s="133"/>
      <c r="R65" s="133"/>
      <c r="S65" s="133"/>
      <c r="T65" s="133"/>
      <c r="U65" s="133"/>
      <c r="V65" s="133"/>
      <c r="W65" s="133"/>
      <c r="X65" s="133"/>
      <c r="Y65" s="133"/>
      <c r="Z65" s="86">
        <f t="shared" si="4"/>
        <v>54550.66</v>
      </c>
      <c r="AA65" s="85"/>
      <c r="AB65" s="82">
        <v>15000</v>
      </c>
      <c r="AC65" s="70"/>
    </row>
    <row r="66" spans="1:29" x14ac:dyDescent="0.2">
      <c r="A66" s="88" t="s">
        <v>402</v>
      </c>
      <c r="B66" s="87" t="s">
        <v>401</v>
      </c>
      <c r="C66" s="85"/>
      <c r="D66" s="85"/>
      <c r="E66" s="85">
        <v>35739.71</v>
      </c>
      <c r="F66" s="85"/>
      <c r="G66" s="85"/>
      <c r="H66" s="85"/>
      <c r="I66" s="85"/>
      <c r="J66" s="85"/>
      <c r="K66" s="85"/>
      <c r="L66" s="85"/>
      <c r="M66" s="85">
        <v>0</v>
      </c>
      <c r="N66" s="85"/>
      <c r="O66" s="85">
        <v>0</v>
      </c>
      <c r="P66" s="85"/>
      <c r="Q66" s="133">
        <v>34260.29</v>
      </c>
      <c r="R66" s="133"/>
      <c r="S66" s="133"/>
      <c r="T66" s="133"/>
      <c r="U66" s="133"/>
      <c r="V66" s="133"/>
      <c r="W66" s="133"/>
      <c r="X66" s="133"/>
      <c r="Y66" s="133"/>
      <c r="Z66" s="86">
        <f t="shared" si="4"/>
        <v>70000</v>
      </c>
      <c r="AA66" s="85"/>
      <c r="AB66" s="82">
        <v>70000</v>
      </c>
      <c r="AC66" s="70"/>
    </row>
    <row r="67" spans="1:29" x14ac:dyDescent="0.2">
      <c r="A67" s="88"/>
      <c r="B67" s="87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133"/>
      <c r="R67" s="133"/>
      <c r="S67" s="133"/>
      <c r="T67" s="133"/>
      <c r="U67" s="133"/>
      <c r="V67" s="133"/>
      <c r="W67" s="133"/>
      <c r="X67" s="133"/>
      <c r="Y67" s="133"/>
      <c r="Z67" s="85"/>
      <c r="AA67" s="85"/>
      <c r="AB67" s="82"/>
      <c r="AC67" s="70"/>
    </row>
    <row r="68" spans="1:29" x14ac:dyDescent="0.2">
      <c r="A68" s="81" t="s">
        <v>105</v>
      </c>
      <c r="B68" s="80" t="s">
        <v>400</v>
      </c>
      <c r="C68" s="79">
        <f>SUM(C62:C67)</f>
        <v>3794.12</v>
      </c>
      <c r="D68" s="76"/>
      <c r="E68" s="79">
        <f>SUM(E62:E67)</f>
        <v>37481.949999999997</v>
      </c>
      <c r="F68" s="76"/>
      <c r="G68" s="79">
        <f>SUM(G62:G67)</f>
        <v>860</v>
      </c>
      <c r="H68" s="76"/>
      <c r="I68" s="79">
        <f>SUM(I62:I67)</f>
        <v>15050.17</v>
      </c>
      <c r="J68" s="76"/>
      <c r="K68" s="79">
        <f>SUM(K62:K67)</f>
        <v>12281.59</v>
      </c>
      <c r="L68" s="76"/>
      <c r="M68" s="79">
        <f>SUM(M62:M67)</f>
        <v>15646.7</v>
      </c>
      <c r="N68" s="76"/>
      <c r="O68" s="79">
        <f>SUM(O62:O67)</f>
        <v>11003.84</v>
      </c>
      <c r="P68" s="79"/>
      <c r="Q68" s="134">
        <f>SUM(Q62:Q67)</f>
        <v>34260.29</v>
      </c>
      <c r="R68" s="134"/>
      <c r="S68" s="134">
        <f>SUM(S62:S67)</f>
        <v>0</v>
      </c>
      <c r="T68" s="134"/>
      <c r="U68" s="134">
        <f>SUM(U62:U67)</f>
        <v>0</v>
      </c>
      <c r="V68" s="134"/>
      <c r="W68" s="134">
        <f>SUM(W62:W67)</f>
        <v>0</v>
      </c>
      <c r="X68" s="134"/>
      <c r="Y68" s="134">
        <f>SUM(Y62:Y67)</f>
        <v>0</v>
      </c>
      <c r="Z68" s="79">
        <f>SUM(Z62:Z67)</f>
        <v>130378.66</v>
      </c>
      <c r="AA68" s="76"/>
      <c r="AB68" s="79">
        <f>SUM(AB62:AB67)</f>
        <v>91000</v>
      </c>
      <c r="AC68" s="70"/>
    </row>
    <row r="69" spans="1:29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135"/>
      <c r="R69" s="135"/>
      <c r="S69" s="135"/>
      <c r="T69" s="135"/>
      <c r="U69" s="135"/>
      <c r="V69" s="135"/>
      <c r="W69" s="135"/>
      <c r="X69" s="135"/>
      <c r="Y69" s="135"/>
      <c r="Z69" s="67"/>
      <c r="AA69" s="67"/>
      <c r="AB69" s="67"/>
      <c r="AC69" s="70"/>
    </row>
    <row r="70" spans="1:29" x14ac:dyDescent="0.2">
      <c r="A70" s="91" t="s">
        <v>399</v>
      </c>
      <c r="B70" s="90" t="s">
        <v>398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136"/>
      <c r="R70" s="136"/>
      <c r="S70" s="136"/>
      <c r="T70" s="136"/>
      <c r="U70" s="136"/>
      <c r="V70" s="136"/>
      <c r="W70" s="136"/>
      <c r="X70" s="136"/>
      <c r="Y70" s="136"/>
      <c r="Z70" s="89"/>
      <c r="AA70" s="89"/>
      <c r="AB70" s="67"/>
      <c r="AC70" s="70"/>
    </row>
    <row r="71" spans="1:29" x14ac:dyDescent="0.2">
      <c r="A71" s="88" t="s">
        <v>397</v>
      </c>
      <c r="B71" s="87" t="s">
        <v>396</v>
      </c>
      <c r="C71" s="85"/>
      <c r="D71" s="85"/>
      <c r="E71" s="85"/>
      <c r="F71" s="85"/>
      <c r="G71" s="85">
        <v>250</v>
      </c>
      <c r="H71" s="85"/>
      <c r="I71" s="85">
        <v>1715</v>
      </c>
      <c r="J71" s="85"/>
      <c r="K71" s="85">
        <v>850</v>
      </c>
      <c r="L71" s="85"/>
      <c r="M71" s="85">
        <v>1100</v>
      </c>
      <c r="N71" s="85"/>
      <c r="O71" s="85">
        <v>500</v>
      </c>
      <c r="P71" s="85"/>
      <c r="Q71" s="133"/>
      <c r="R71" s="133"/>
      <c r="S71" s="133"/>
      <c r="T71" s="133"/>
      <c r="U71" s="133"/>
      <c r="V71" s="133"/>
      <c r="W71" s="133"/>
      <c r="X71" s="133"/>
      <c r="Y71" s="133"/>
      <c r="Z71" s="86">
        <f t="shared" ref="Z71:Z73" si="5">SUM(C71:Y71)</f>
        <v>4415</v>
      </c>
      <c r="AA71" s="85"/>
      <c r="AB71" s="82">
        <v>2000</v>
      </c>
      <c r="AC71" s="70"/>
    </row>
    <row r="72" spans="1:29" x14ac:dyDescent="0.2">
      <c r="A72" s="88" t="s">
        <v>395</v>
      </c>
      <c r="B72" s="87" t="s">
        <v>394</v>
      </c>
      <c r="C72" s="85">
        <v>401</v>
      </c>
      <c r="D72" s="85"/>
      <c r="E72" s="85">
        <v>275</v>
      </c>
      <c r="F72" s="85"/>
      <c r="G72" s="85">
        <v>2250</v>
      </c>
      <c r="H72" s="85"/>
      <c r="I72" s="85">
        <v>1595</v>
      </c>
      <c r="J72" s="85"/>
      <c r="K72" s="85">
        <v>0</v>
      </c>
      <c r="L72" s="85"/>
      <c r="M72" s="85">
        <v>0</v>
      </c>
      <c r="N72" s="85"/>
      <c r="O72" s="85"/>
      <c r="P72" s="85"/>
      <c r="Q72" s="133"/>
      <c r="R72" s="133"/>
      <c r="S72" s="133"/>
      <c r="T72" s="133"/>
      <c r="U72" s="133"/>
      <c r="V72" s="133"/>
      <c r="W72" s="133"/>
      <c r="X72" s="133"/>
      <c r="Y72" s="133"/>
      <c r="Z72" s="86">
        <f t="shared" si="5"/>
        <v>4521</v>
      </c>
      <c r="AA72" s="85"/>
      <c r="AB72" s="82">
        <v>3000</v>
      </c>
      <c r="AC72" s="70"/>
    </row>
    <row r="73" spans="1:29" x14ac:dyDescent="0.2">
      <c r="A73" s="88" t="s">
        <v>393</v>
      </c>
      <c r="B73" s="87" t="s">
        <v>392</v>
      </c>
      <c r="C73" s="85"/>
      <c r="D73" s="85"/>
      <c r="E73" s="85">
        <v>1104</v>
      </c>
      <c r="F73" s="85"/>
      <c r="G73" s="85"/>
      <c r="H73" s="85"/>
      <c r="I73" s="85">
        <v>2225</v>
      </c>
      <c r="J73" s="85"/>
      <c r="K73" s="85">
        <v>2550</v>
      </c>
      <c r="L73" s="85"/>
      <c r="M73" s="85">
        <v>0</v>
      </c>
      <c r="N73" s="85"/>
      <c r="O73" s="85"/>
      <c r="P73" s="85"/>
      <c r="Q73" s="133"/>
      <c r="R73" s="133"/>
      <c r="S73" s="133"/>
      <c r="T73" s="133"/>
      <c r="U73" s="133"/>
      <c r="V73" s="133"/>
      <c r="W73" s="133"/>
      <c r="X73" s="133"/>
      <c r="Y73" s="133"/>
      <c r="Z73" s="86">
        <f t="shared" si="5"/>
        <v>5879</v>
      </c>
      <c r="AA73" s="85"/>
      <c r="AB73" s="82">
        <v>3000</v>
      </c>
      <c r="AC73" s="70"/>
    </row>
    <row r="74" spans="1:29" x14ac:dyDescent="0.2">
      <c r="A74" s="88"/>
      <c r="B74" s="87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33"/>
      <c r="R74" s="133"/>
      <c r="S74" s="133"/>
      <c r="T74" s="133"/>
      <c r="U74" s="133"/>
      <c r="V74" s="133"/>
      <c r="W74" s="133"/>
      <c r="X74" s="133"/>
      <c r="Y74" s="133"/>
      <c r="Z74" s="85"/>
      <c r="AA74" s="85"/>
      <c r="AB74" s="82"/>
      <c r="AC74" s="70"/>
    </row>
    <row r="75" spans="1:29" x14ac:dyDescent="0.2">
      <c r="A75" s="81" t="s">
        <v>105</v>
      </c>
      <c r="B75" s="80" t="s">
        <v>391</v>
      </c>
      <c r="C75" s="79">
        <f>SUM(C71:C74)</f>
        <v>401</v>
      </c>
      <c r="D75" s="76"/>
      <c r="E75" s="79">
        <f>SUM(E71:E74)</f>
        <v>1379</v>
      </c>
      <c r="F75" s="76"/>
      <c r="G75" s="79">
        <f>SUM(G71:G74)</f>
        <v>2500</v>
      </c>
      <c r="H75" s="76"/>
      <c r="I75" s="79">
        <f>SUM(I71:I74)</f>
        <v>5535</v>
      </c>
      <c r="J75" s="76"/>
      <c r="K75" s="79">
        <f>SUM(K71:K74)</f>
        <v>3400</v>
      </c>
      <c r="L75" s="76"/>
      <c r="M75" s="79">
        <f>SUM(M71:M74)</f>
        <v>1100</v>
      </c>
      <c r="N75" s="76"/>
      <c r="O75" s="79">
        <f>SUM(O71:O74)</f>
        <v>500</v>
      </c>
      <c r="P75" s="79"/>
      <c r="Q75" s="134">
        <f>SUM(Q71:Q74)</f>
        <v>0</v>
      </c>
      <c r="R75" s="134"/>
      <c r="S75" s="134">
        <f>SUM(S71:S74)</f>
        <v>0</v>
      </c>
      <c r="T75" s="134"/>
      <c r="U75" s="134">
        <f>SUM(U71:U74)</f>
        <v>0</v>
      </c>
      <c r="V75" s="134"/>
      <c r="W75" s="134">
        <f>SUM(W71:W74)</f>
        <v>0</v>
      </c>
      <c r="X75" s="134"/>
      <c r="Y75" s="134">
        <f>SUM(Y71:Y74)</f>
        <v>0</v>
      </c>
      <c r="Z75" s="79">
        <f>SUM(Z71:Z74)</f>
        <v>14815</v>
      </c>
      <c r="AA75" s="76"/>
      <c r="AB75" s="79">
        <f>SUM(AB71:AB74)</f>
        <v>8000</v>
      </c>
      <c r="AC75" s="70"/>
    </row>
    <row r="76" spans="1:29" x14ac:dyDescent="0.2"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135"/>
      <c r="R76" s="135"/>
      <c r="S76" s="135"/>
      <c r="T76" s="135"/>
      <c r="U76" s="135"/>
      <c r="V76" s="135"/>
      <c r="W76" s="135"/>
      <c r="X76" s="135"/>
      <c r="Y76" s="135"/>
      <c r="Z76" s="67"/>
      <c r="AA76" s="67"/>
      <c r="AB76" s="67"/>
      <c r="AC76" s="70"/>
    </row>
    <row r="77" spans="1:29" x14ac:dyDescent="0.2">
      <c r="A77" s="91" t="s">
        <v>390</v>
      </c>
      <c r="B77" s="90" t="s">
        <v>386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136"/>
      <c r="R77" s="136"/>
      <c r="S77" s="136"/>
      <c r="T77" s="136"/>
      <c r="U77" s="136"/>
      <c r="V77" s="136"/>
      <c r="W77" s="136"/>
      <c r="X77" s="136"/>
      <c r="Y77" s="136"/>
      <c r="Z77" s="89"/>
      <c r="AA77" s="89"/>
      <c r="AB77" s="67"/>
      <c r="AC77" s="70"/>
    </row>
    <row r="78" spans="1:29" x14ac:dyDescent="0.2">
      <c r="A78" s="88" t="s">
        <v>389</v>
      </c>
      <c r="B78" s="87" t="s">
        <v>388</v>
      </c>
      <c r="C78" s="85">
        <v>28743.07</v>
      </c>
      <c r="D78" s="85"/>
      <c r="E78" s="85">
        <v>22963.22</v>
      </c>
      <c r="F78" s="85"/>
      <c r="G78" s="85">
        <v>38583.21</v>
      </c>
      <c r="H78" s="85"/>
      <c r="I78" s="85">
        <v>31404.16</v>
      </c>
      <c r="J78" s="85"/>
      <c r="K78" s="85">
        <v>31580.99</v>
      </c>
      <c r="L78" s="85"/>
      <c r="M78" s="85">
        <v>33087.58</v>
      </c>
      <c r="N78" s="85"/>
      <c r="O78" s="85">
        <v>31376.26</v>
      </c>
      <c r="P78" s="85"/>
      <c r="Q78" s="133">
        <v>30000</v>
      </c>
      <c r="R78" s="133"/>
      <c r="S78" s="133">
        <v>30000</v>
      </c>
      <c r="T78" s="133"/>
      <c r="U78" s="133">
        <v>30000</v>
      </c>
      <c r="V78" s="133"/>
      <c r="W78" s="133">
        <v>30000</v>
      </c>
      <c r="X78" s="133"/>
      <c r="Y78" s="133">
        <v>30000</v>
      </c>
      <c r="Z78" s="86">
        <f t="shared" ref="Z78:Z79" si="6">SUM(C78:Y78)</f>
        <v>367738.49</v>
      </c>
      <c r="AA78" s="85"/>
      <c r="AB78" s="82">
        <v>266000</v>
      </c>
      <c r="AC78" s="70"/>
    </row>
    <row r="79" spans="1:29" x14ac:dyDescent="0.2">
      <c r="A79" s="88" t="s">
        <v>387</v>
      </c>
      <c r="B79" s="87" t="s">
        <v>386</v>
      </c>
      <c r="C79" s="85">
        <v>18472.009999999998</v>
      </c>
      <c r="D79" s="85"/>
      <c r="E79" s="85">
        <v>4038.69</v>
      </c>
      <c r="F79" s="85"/>
      <c r="G79" s="85">
        <v>5368.52</v>
      </c>
      <c r="H79" s="85"/>
      <c r="I79" s="85">
        <v>5475.28</v>
      </c>
      <c r="J79" s="85"/>
      <c r="K79" s="85">
        <v>2663.16</v>
      </c>
      <c r="L79" s="85"/>
      <c r="M79" s="85">
        <v>11374.71</v>
      </c>
      <c r="N79" s="85"/>
      <c r="O79" s="85">
        <v>5680.11</v>
      </c>
      <c r="P79" s="85"/>
      <c r="Q79" s="133"/>
      <c r="R79" s="133"/>
      <c r="S79" s="133"/>
      <c r="T79" s="133"/>
      <c r="U79" s="133"/>
      <c r="V79" s="133"/>
      <c r="W79" s="133"/>
      <c r="X79" s="133"/>
      <c r="Y79" s="133"/>
      <c r="Z79" s="86">
        <f t="shared" si="6"/>
        <v>53072.480000000003</v>
      </c>
      <c r="AA79" s="85"/>
      <c r="AB79" s="82">
        <v>0</v>
      </c>
      <c r="AC79" s="70"/>
    </row>
    <row r="80" spans="1:29" x14ac:dyDescent="0.2">
      <c r="A80" s="88"/>
      <c r="B80" s="8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133"/>
      <c r="R80" s="133"/>
      <c r="S80" s="133"/>
      <c r="T80" s="133"/>
      <c r="U80" s="133"/>
      <c r="V80" s="133"/>
      <c r="W80" s="133"/>
      <c r="X80" s="133"/>
      <c r="Y80" s="133"/>
      <c r="Z80" s="85"/>
      <c r="AA80" s="85"/>
      <c r="AB80" s="82">
        <v>0</v>
      </c>
      <c r="AC80" s="70"/>
    </row>
    <row r="81" spans="1:29" x14ac:dyDescent="0.2">
      <c r="A81" s="81" t="s">
        <v>105</v>
      </c>
      <c r="B81" s="80" t="s">
        <v>385</v>
      </c>
      <c r="C81" s="79">
        <f>SUM(C78:C80)</f>
        <v>47215.08</v>
      </c>
      <c r="D81" s="76"/>
      <c r="E81" s="79">
        <f>SUM(E78:E80)</f>
        <v>27001.91</v>
      </c>
      <c r="F81" s="76"/>
      <c r="G81" s="79">
        <f>SUM(G78:G80)</f>
        <v>43951.729999999996</v>
      </c>
      <c r="H81" s="76"/>
      <c r="I81" s="79">
        <f>SUM(I78:I80)</f>
        <v>36879.440000000002</v>
      </c>
      <c r="J81" s="76"/>
      <c r="K81" s="79">
        <f>SUM(K78:K80)</f>
        <v>34244.15</v>
      </c>
      <c r="L81" s="76"/>
      <c r="M81" s="79">
        <f>SUM(M78:M80)</f>
        <v>44462.29</v>
      </c>
      <c r="N81" s="76"/>
      <c r="O81" s="79">
        <f>SUM(O78:O80)</f>
        <v>37056.369999999995</v>
      </c>
      <c r="P81" s="79"/>
      <c r="Q81" s="134">
        <f>SUM(Q78:Q80)</f>
        <v>30000</v>
      </c>
      <c r="R81" s="134"/>
      <c r="S81" s="134">
        <f>SUM(S78:S80)</f>
        <v>30000</v>
      </c>
      <c r="T81" s="134"/>
      <c r="U81" s="134">
        <f>SUM(U78:U80)</f>
        <v>30000</v>
      </c>
      <c r="V81" s="134"/>
      <c r="W81" s="134">
        <f>SUM(W78:W80)</f>
        <v>30000</v>
      </c>
      <c r="X81" s="134"/>
      <c r="Y81" s="134">
        <f>SUM(Y78:Y80)</f>
        <v>30000</v>
      </c>
      <c r="Z81" s="79">
        <f>SUM(Z78:Z80)</f>
        <v>420810.97</v>
      </c>
      <c r="AA81" s="76"/>
      <c r="AB81" s="79">
        <f>SUM(AB78:AB80)</f>
        <v>266000</v>
      </c>
      <c r="AC81" s="70"/>
    </row>
    <row r="82" spans="1:29" x14ac:dyDescent="0.2"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135"/>
      <c r="R82" s="135"/>
      <c r="S82" s="135"/>
      <c r="T82" s="135"/>
      <c r="U82" s="135"/>
      <c r="V82" s="135"/>
      <c r="W82" s="135"/>
      <c r="X82" s="135"/>
      <c r="Y82" s="135"/>
      <c r="Z82" s="67"/>
      <c r="AA82" s="67"/>
      <c r="AB82" s="67"/>
      <c r="AC82" s="70"/>
    </row>
    <row r="83" spans="1:29" x14ac:dyDescent="0.2">
      <c r="A83" s="91" t="s">
        <v>384</v>
      </c>
      <c r="B83" s="90" t="s">
        <v>383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136"/>
      <c r="R83" s="136"/>
      <c r="S83" s="136"/>
      <c r="T83" s="136"/>
      <c r="U83" s="136"/>
      <c r="V83" s="136"/>
      <c r="W83" s="136"/>
      <c r="X83" s="136"/>
      <c r="Y83" s="136"/>
      <c r="Z83" s="89"/>
      <c r="AA83" s="89"/>
      <c r="AB83" s="67"/>
      <c r="AC83" s="70"/>
    </row>
    <row r="84" spans="1:29" x14ac:dyDescent="0.2">
      <c r="A84" s="88" t="s">
        <v>382</v>
      </c>
      <c r="B84" s="87" t="s">
        <v>381</v>
      </c>
      <c r="C84" s="85">
        <v>35380.83</v>
      </c>
      <c r="D84" s="85"/>
      <c r="E84" s="85"/>
      <c r="F84" s="85"/>
      <c r="G84" s="85"/>
      <c r="H84" s="85"/>
      <c r="I84" s="85">
        <v>1077.51</v>
      </c>
      <c r="J84" s="85"/>
      <c r="K84" s="85">
        <v>4152.96</v>
      </c>
      <c r="L84" s="85"/>
      <c r="M84" s="85">
        <v>-9415.4500000000007</v>
      </c>
      <c r="N84" s="85"/>
      <c r="O84" s="85">
        <v>-18189.240000000002</v>
      </c>
      <c r="P84" s="85"/>
      <c r="Q84" s="133"/>
      <c r="R84" s="133"/>
      <c r="S84" s="133"/>
      <c r="T84" s="133"/>
      <c r="U84" s="133"/>
      <c r="V84" s="133"/>
      <c r="W84" s="133"/>
      <c r="X84" s="133"/>
      <c r="Y84" s="133"/>
      <c r="Z84" s="86">
        <f t="shared" ref="Z84:Z85" si="7">SUM(C84:Y84)</f>
        <v>13006.61</v>
      </c>
      <c r="AA84" s="85"/>
      <c r="AB84" s="82"/>
      <c r="AC84" s="70"/>
    </row>
    <row r="85" spans="1:29" x14ac:dyDescent="0.2">
      <c r="A85" s="88">
        <v>4050400</v>
      </c>
      <c r="B85" s="87" t="s">
        <v>380</v>
      </c>
      <c r="C85" s="85">
        <v>-67112.539999999994</v>
      </c>
      <c r="D85" s="85"/>
      <c r="E85" s="85">
        <v>974.99</v>
      </c>
      <c r="F85" s="85"/>
      <c r="G85" s="85">
        <v>3344.2</v>
      </c>
      <c r="H85" s="85"/>
      <c r="I85" s="85"/>
      <c r="J85" s="85"/>
      <c r="K85" s="85"/>
      <c r="L85" s="85"/>
      <c r="M85" s="85">
        <v>0</v>
      </c>
      <c r="N85" s="85"/>
      <c r="O85" s="85"/>
      <c r="P85" s="85"/>
      <c r="Q85" s="133"/>
      <c r="R85" s="133"/>
      <c r="S85" s="133"/>
      <c r="T85" s="133"/>
      <c r="U85" s="133"/>
      <c r="V85" s="133"/>
      <c r="W85" s="133"/>
      <c r="X85" s="133"/>
      <c r="Y85" s="133"/>
      <c r="Z85" s="86">
        <f t="shared" si="7"/>
        <v>-62793.349999999991</v>
      </c>
      <c r="AA85" s="85"/>
      <c r="AB85" s="82"/>
      <c r="AC85" s="70"/>
    </row>
    <row r="86" spans="1:29" x14ac:dyDescent="0.2">
      <c r="A86" s="88"/>
      <c r="B86" s="87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133"/>
      <c r="R86" s="133"/>
      <c r="S86" s="133"/>
      <c r="T86" s="133"/>
      <c r="U86" s="133"/>
      <c r="V86" s="133"/>
      <c r="W86" s="133"/>
      <c r="X86" s="133"/>
      <c r="Y86" s="133"/>
      <c r="Z86" s="85"/>
      <c r="AA86" s="85"/>
      <c r="AB86" s="82"/>
      <c r="AC86" s="70"/>
    </row>
    <row r="87" spans="1:29" x14ac:dyDescent="0.2">
      <c r="A87" s="81" t="s">
        <v>105</v>
      </c>
      <c r="B87" s="80" t="s">
        <v>379</v>
      </c>
      <c r="C87" s="79">
        <f>SUM(C84:C86)</f>
        <v>-31731.709999999992</v>
      </c>
      <c r="D87" s="76"/>
      <c r="E87" s="79">
        <f>SUM(E84:E86)</f>
        <v>974.99</v>
      </c>
      <c r="F87" s="76"/>
      <c r="G87" s="79">
        <f>SUM(G84:G86)</f>
        <v>3344.2</v>
      </c>
      <c r="H87" s="76"/>
      <c r="I87" s="79">
        <f>SUM(I84:I86)</f>
        <v>1077.51</v>
      </c>
      <c r="J87" s="76"/>
      <c r="K87" s="79">
        <f>SUM(K84:K86)</f>
        <v>4152.96</v>
      </c>
      <c r="L87" s="76"/>
      <c r="M87" s="79">
        <f>SUM(M84:M86)</f>
        <v>-9415.4500000000007</v>
      </c>
      <c r="N87" s="76"/>
      <c r="O87" s="79">
        <f>SUM(O84:O86)</f>
        <v>-18189.240000000002</v>
      </c>
      <c r="P87" s="79"/>
      <c r="Q87" s="134">
        <f>SUM(Q84:Q86)</f>
        <v>0</v>
      </c>
      <c r="R87" s="134"/>
      <c r="S87" s="134">
        <f>SUM(S84:S86)</f>
        <v>0</v>
      </c>
      <c r="T87" s="134"/>
      <c r="U87" s="134">
        <f>SUM(U84:U86)</f>
        <v>0</v>
      </c>
      <c r="V87" s="134"/>
      <c r="W87" s="134">
        <f>SUM(W84:W86)</f>
        <v>0</v>
      </c>
      <c r="X87" s="134"/>
      <c r="Y87" s="134">
        <f>SUM(Y84:Y86)</f>
        <v>0</v>
      </c>
      <c r="Z87" s="79">
        <f>SUM(Z84:Z86)</f>
        <v>-49786.739999999991</v>
      </c>
      <c r="AA87" s="76"/>
      <c r="AB87" s="79">
        <f>SUM(AB84:AB86)</f>
        <v>0</v>
      </c>
      <c r="AC87" s="70"/>
    </row>
    <row r="88" spans="1:29" x14ac:dyDescent="0.2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135"/>
      <c r="R88" s="135"/>
      <c r="S88" s="135"/>
      <c r="T88" s="135"/>
      <c r="U88" s="135"/>
      <c r="V88" s="135"/>
      <c r="W88" s="135"/>
      <c r="X88" s="135"/>
      <c r="Y88" s="135"/>
      <c r="Z88" s="67"/>
      <c r="AA88" s="67"/>
      <c r="AB88" s="67"/>
      <c r="AC88" s="70"/>
    </row>
    <row r="89" spans="1:29" x14ac:dyDescent="0.2">
      <c r="A89" s="91" t="s">
        <v>378</v>
      </c>
      <c r="B89" s="90" t="s">
        <v>377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136"/>
      <c r="R89" s="136"/>
      <c r="S89" s="136"/>
      <c r="T89" s="136"/>
      <c r="U89" s="136"/>
      <c r="V89" s="136"/>
      <c r="W89" s="136"/>
      <c r="X89" s="136"/>
      <c r="Y89" s="136"/>
      <c r="Z89" s="89"/>
      <c r="AA89" s="89"/>
      <c r="AB89" s="67"/>
      <c r="AC89" s="70"/>
    </row>
    <row r="90" spans="1:29" x14ac:dyDescent="0.2">
      <c r="A90" s="88" t="s">
        <v>376</v>
      </c>
      <c r="B90" s="87" t="s">
        <v>375</v>
      </c>
      <c r="C90" s="85">
        <v>750</v>
      </c>
      <c r="D90" s="85"/>
      <c r="E90" s="85"/>
      <c r="F90" s="85"/>
      <c r="G90" s="85"/>
      <c r="H90" s="85"/>
      <c r="I90" s="85">
        <v>1000</v>
      </c>
      <c r="J90" s="85"/>
      <c r="K90" s="85"/>
      <c r="L90" s="85"/>
      <c r="M90" s="85">
        <v>0</v>
      </c>
      <c r="N90" s="85"/>
      <c r="O90" s="85">
        <v>1750</v>
      </c>
      <c r="P90" s="85"/>
      <c r="Q90" s="133"/>
      <c r="R90" s="133"/>
      <c r="S90" s="133"/>
      <c r="T90" s="133"/>
      <c r="U90" s="133"/>
      <c r="V90" s="133"/>
      <c r="W90" s="133"/>
      <c r="X90" s="133"/>
      <c r="Y90" s="133"/>
      <c r="Z90" s="86">
        <f t="shared" ref="Z90:Z96" si="8">SUM(C90:Y90)</f>
        <v>3500</v>
      </c>
      <c r="AA90" s="85"/>
      <c r="AB90" s="82">
        <v>1500</v>
      </c>
      <c r="AC90" s="70"/>
    </row>
    <row r="91" spans="1:29" x14ac:dyDescent="0.2">
      <c r="A91" s="88" t="s">
        <v>374</v>
      </c>
      <c r="B91" s="87" t="s">
        <v>373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>
        <v>0</v>
      </c>
      <c r="N91" s="85"/>
      <c r="O91" s="85"/>
      <c r="P91" s="85"/>
      <c r="Q91" s="133"/>
      <c r="R91" s="133"/>
      <c r="S91" s="133"/>
      <c r="T91" s="133"/>
      <c r="U91" s="133"/>
      <c r="V91" s="133"/>
      <c r="W91" s="133"/>
      <c r="X91" s="133"/>
      <c r="Y91" s="133"/>
      <c r="Z91" s="86">
        <f t="shared" si="8"/>
        <v>0</v>
      </c>
      <c r="AA91" s="85"/>
      <c r="AB91" s="82"/>
      <c r="AC91" s="70"/>
    </row>
    <row r="92" spans="1:29" x14ac:dyDescent="0.2">
      <c r="A92" s="88" t="s">
        <v>372</v>
      </c>
      <c r="B92" s="87" t="s">
        <v>112</v>
      </c>
      <c r="C92" s="85">
        <v>6332.73</v>
      </c>
      <c r="D92" s="85"/>
      <c r="E92" s="85">
        <v>513</v>
      </c>
      <c r="F92" s="85"/>
      <c r="G92" s="85">
        <v>1678.45</v>
      </c>
      <c r="H92" s="85"/>
      <c r="I92" s="85">
        <v>6097.75</v>
      </c>
      <c r="J92" s="85"/>
      <c r="K92" s="85">
        <v>3499.26</v>
      </c>
      <c r="L92" s="85"/>
      <c r="M92" s="85">
        <v>2531.4499999999998</v>
      </c>
      <c r="N92" s="85"/>
      <c r="O92" s="85">
        <v>3420.15</v>
      </c>
      <c r="P92" s="85"/>
      <c r="Q92" s="133"/>
      <c r="R92" s="133"/>
      <c r="S92" s="133"/>
      <c r="T92" s="133"/>
      <c r="U92" s="133"/>
      <c r="V92" s="133"/>
      <c r="W92" s="133"/>
      <c r="X92" s="133"/>
      <c r="Y92" s="133"/>
      <c r="Z92" s="86">
        <f t="shared" si="8"/>
        <v>24072.790000000005</v>
      </c>
      <c r="AA92" s="85"/>
      <c r="AB92" s="82">
        <v>2500</v>
      </c>
      <c r="AC92" s="70"/>
    </row>
    <row r="93" spans="1:29" x14ac:dyDescent="0.2">
      <c r="A93" s="88" t="s">
        <v>371</v>
      </c>
      <c r="B93" s="87" t="s">
        <v>370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>
        <v>0</v>
      </c>
      <c r="N93" s="85"/>
      <c r="O93" s="85"/>
      <c r="P93" s="85"/>
      <c r="Q93" s="133"/>
      <c r="R93" s="133"/>
      <c r="S93" s="133"/>
      <c r="T93" s="133"/>
      <c r="U93" s="133"/>
      <c r="V93" s="133"/>
      <c r="W93" s="133"/>
      <c r="X93" s="133"/>
      <c r="Y93" s="133"/>
      <c r="Z93" s="86">
        <f t="shared" si="8"/>
        <v>0</v>
      </c>
      <c r="AA93" s="85"/>
      <c r="AB93" s="82">
        <v>0</v>
      </c>
      <c r="AC93" s="70"/>
    </row>
    <row r="94" spans="1:29" x14ac:dyDescent="0.2">
      <c r="A94" s="88" t="s">
        <v>369</v>
      </c>
      <c r="B94" s="87" t="s">
        <v>368</v>
      </c>
      <c r="C94" s="85"/>
      <c r="D94" s="85"/>
      <c r="E94" s="85">
        <v>12312</v>
      </c>
      <c r="F94" s="85"/>
      <c r="G94" s="85"/>
      <c r="H94" s="85"/>
      <c r="I94" s="85"/>
      <c r="J94" s="85"/>
      <c r="K94" s="85"/>
      <c r="L94" s="85"/>
      <c r="M94" s="85">
        <v>0</v>
      </c>
      <c r="N94" s="85"/>
      <c r="O94" s="85">
        <v>0</v>
      </c>
      <c r="P94" s="85"/>
      <c r="Q94" s="133"/>
      <c r="R94" s="133"/>
      <c r="S94" s="133"/>
      <c r="T94" s="133"/>
      <c r="U94" s="133"/>
      <c r="V94" s="133"/>
      <c r="W94" s="133"/>
      <c r="X94" s="133"/>
      <c r="Y94" s="133"/>
      <c r="Z94" s="86">
        <f t="shared" si="8"/>
        <v>12312</v>
      </c>
      <c r="AA94" s="85"/>
      <c r="AB94" s="82">
        <v>2000000</v>
      </c>
      <c r="AC94" s="70"/>
    </row>
    <row r="95" spans="1:29" x14ac:dyDescent="0.2">
      <c r="A95" s="88" t="s">
        <v>367</v>
      </c>
      <c r="B95" s="87" t="s">
        <v>366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>
        <v>0</v>
      </c>
      <c r="N95" s="85"/>
      <c r="O95" s="85"/>
      <c r="P95" s="85"/>
      <c r="Q95" s="133"/>
      <c r="R95" s="133"/>
      <c r="S95" s="133"/>
      <c r="T95" s="133"/>
      <c r="U95" s="133"/>
      <c r="V95" s="133"/>
      <c r="W95" s="133"/>
      <c r="X95" s="133"/>
      <c r="Y95" s="133"/>
      <c r="Z95" s="86">
        <f t="shared" si="8"/>
        <v>0</v>
      </c>
      <c r="AA95" s="85"/>
      <c r="AB95" s="82"/>
      <c r="AC95" s="70"/>
    </row>
    <row r="96" spans="1:29" x14ac:dyDescent="0.2">
      <c r="A96" s="88" t="s">
        <v>365</v>
      </c>
      <c r="B96" s="87" t="s">
        <v>364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>
        <v>0</v>
      </c>
      <c r="N96" s="85"/>
      <c r="O96" s="85"/>
      <c r="P96" s="85"/>
      <c r="Q96" s="133"/>
      <c r="R96" s="133"/>
      <c r="S96" s="133"/>
      <c r="T96" s="133"/>
      <c r="U96" s="133">
        <v>50000</v>
      </c>
      <c r="V96" s="133"/>
      <c r="W96" s="133"/>
      <c r="X96" s="133"/>
      <c r="Y96" s="133"/>
      <c r="Z96" s="86">
        <f t="shared" si="8"/>
        <v>50000</v>
      </c>
      <c r="AA96" s="85"/>
      <c r="AB96" s="82">
        <v>50000</v>
      </c>
      <c r="AC96" s="70"/>
    </row>
    <row r="97" spans="1:29" x14ac:dyDescent="0.2">
      <c r="A97" s="84"/>
      <c r="B97" s="83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137"/>
      <c r="R97" s="137"/>
      <c r="S97" s="137"/>
      <c r="T97" s="137"/>
      <c r="U97" s="137"/>
      <c r="V97" s="137"/>
      <c r="W97" s="137"/>
      <c r="X97" s="137"/>
      <c r="Y97" s="137"/>
      <c r="Z97" s="82"/>
      <c r="AA97" s="82"/>
      <c r="AB97" s="82"/>
      <c r="AC97" s="70"/>
    </row>
    <row r="98" spans="1:29" x14ac:dyDescent="0.2">
      <c r="A98" s="81" t="s">
        <v>105</v>
      </c>
      <c r="B98" s="80" t="s">
        <v>363</v>
      </c>
      <c r="C98" s="79">
        <f>SUM(C90:C97)</f>
        <v>7082.73</v>
      </c>
      <c r="D98" s="76"/>
      <c r="E98" s="79">
        <f>SUM(E90:E97)</f>
        <v>12825</v>
      </c>
      <c r="F98" s="76"/>
      <c r="G98" s="79">
        <f>SUM(G90:G97)</f>
        <v>1678.45</v>
      </c>
      <c r="H98" s="76"/>
      <c r="I98" s="79">
        <f>SUM(I90:I97)</f>
        <v>7097.75</v>
      </c>
      <c r="J98" s="76"/>
      <c r="K98" s="79">
        <f>SUM(K90:K97)</f>
        <v>3499.26</v>
      </c>
      <c r="L98" s="76"/>
      <c r="M98" s="79">
        <f>SUM(M90:M97)</f>
        <v>2531.4499999999998</v>
      </c>
      <c r="N98" s="76"/>
      <c r="O98" s="79">
        <f>SUM(O90:O97)</f>
        <v>5170.1499999999996</v>
      </c>
      <c r="P98" s="79"/>
      <c r="Q98" s="134">
        <f>SUM(Q90:Q97)</f>
        <v>0</v>
      </c>
      <c r="R98" s="134"/>
      <c r="S98" s="134">
        <f>SUM(S90:S97)</f>
        <v>0</v>
      </c>
      <c r="T98" s="134"/>
      <c r="U98" s="134">
        <f>SUM(U90:U97)</f>
        <v>50000</v>
      </c>
      <c r="V98" s="134"/>
      <c r="W98" s="134">
        <f>SUM(W90:W97)</f>
        <v>0</v>
      </c>
      <c r="X98" s="134"/>
      <c r="Y98" s="134">
        <f>SUM(Y90:Y97)</f>
        <v>0</v>
      </c>
      <c r="Z98" s="79">
        <f>SUM(Z90:Z97)</f>
        <v>89884.790000000008</v>
      </c>
      <c r="AA98" s="76"/>
      <c r="AB98" s="79">
        <f>SUM(AB90:AB97)</f>
        <v>2054000</v>
      </c>
      <c r="AC98" s="70"/>
    </row>
    <row r="99" spans="1:29" x14ac:dyDescent="0.2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135"/>
      <c r="R99" s="135"/>
      <c r="S99" s="135"/>
      <c r="T99" s="135"/>
      <c r="U99" s="135"/>
      <c r="V99" s="135"/>
      <c r="W99" s="135"/>
      <c r="X99" s="135"/>
      <c r="Y99" s="135"/>
      <c r="Z99" s="67"/>
      <c r="AA99" s="67"/>
      <c r="AB99" s="67"/>
      <c r="AC99" s="70"/>
    </row>
    <row r="100" spans="1:29" ht="12" thickBot="1" x14ac:dyDescent="0.25">
      <c r="A100" s="78"/>
      <c r="B100" s="77" t="s">
        <v>362</v>
      </c>
      <c r="C100" s="75">
        <f>+C98+C87+C81+C75+C68+C59+C45+C34+C19</f>
        <v>430696.54000000004</v>
      </c>
      <c r="D100" s="76"/>
      <c r="E100" s="75">
        <f>+E98+E87+E81+E75+E68+E59+E45+E34+E19</f>
        <v>829028.17</v>
      </c>
      <c r="F100" s="76"/>
      <c r="G100" s="75">
        <f>+G98+G87+G81+G75+G68+G59+G45+G34+G19</f>
        <v>633487.51</v>
      </c>
      <c r="H100" s="76"/>
      <c r="I100" s="75">
        <f>+I98+I87+I81+I75+I68+I59+I45+I34+I19</f>
        <v>872675.59</v>
      </c>
      <c r="J100" s="76"/>
      <c r="K100" s="75">
        <f>+K98+K87+K81+K75+K68+K59+K45+K34+K19</f>
        <v>959993.09000000008</v>
      </c>
      <c r="L100" s="76"/>
      <c r="M100" s="75">
        <f>+M98+M87+M81+M75+M68+M59+M45+M34+M19</f>
        <v>781441.53</v>
      </c>
      <c r="N100" s="76"/>
      <c r="O100" s="75">
        <f>+O98+O87+O81+O75+O68+O59+O45+O34+O19</f>
        <v>1166026.4100000001</v>
      </c>
      <c r="P100" s="75"/>
      <c r="Q100" s="138">
        <f>+Q98+Q87+Q81+Q75+Q68+Q59+Q45+Q34+Q19</f>
        <v>259396.56999999998</v>
      </c>
      <c r="R100" s="138"/>
      <c r="S100" s="138">
        <f>+S98+S87+S81+S75+S68+S59+S45+S34+S19</f>
        <v>215358.1</v>
      </c>
      <c r="T100" s="138"/>
      <c r="U100" s="138">
        <f>+U98+U87+U81+U75+U68+U59+U45+U34+U19</f>
        <v>195921.25</v>
      </c>
      <c r="V100" s="138"/>
      <c r="W100" s="138">
        <f>+W98+W87+W81+W75+W68+W59+W45+W34+W19</f>
        <v>164207.51</v>
      </c>
      <c r="X100" s="138"/>
      <c r="Y100" s="138">
        <f>+Y98+Y87+Y81+Y75+Y68+Y59+Y45+Y34+Y19</f>
        <v>181944.19</v>
      </c>
      <c r="Z100" s="75">
        <f>+Z98+Z87+Z81+Z75+Z68+Z59+Z45+Z34+Z19</f>
        <v>6690176.459999999</v>
      </c>
      <c r="AA100" s="76"/>
      <c r="AB100" s="75">
        <f>+AB98+AB87+AB81+AB75+AB68+AB59+AB45+AB34+AB19</f>
        <v>8092005</v>
      </c>
      <c r="AC100" s="70"/>
    </row>
    <row r="101" spans="1:29" ht="12" thickTop="1" x14ac:dyDescent="0.2"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135"/>
      <c r="R101" s="135"/>
      <c r="S101" s="135"/>
      <c r="T101" s="135"/>
      <c r="U101" s="135"/>
      <c r="V101" s="135"/>
      <c r="W101" s="135"/>
      <c r="X101" s="135"/>
      <c r="Y101" s="135"/>
      <c r="Z101" s="67"/>
      <c r="AA101" s="67"/>
      <c r="AB101" s="67"/>
      <c r="AC101" s="70"/>
    </row>
    <row r="102" spans="1:29" x14ac:dyDescent="0.2">
      <c r="A102" s="102" t="s">
        <v>361</v>
      </c>
      <c r="B102" s="101" t="s">
        <v>360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39"/>
      <c r="R102" s="139"/>
      <c r="S102" s="139"/>
      <c r="T102" s="139"/>
      <c r="U102" s="139"/>
      <c r="V102" s="139"/>
      <c r="W102" s="139"/>
      <c r="X102" s="139"/>
      <c r="Y102" s="139"/>
      <c r="Z102" s="100"/>
      <c r="AA102" s="100"/>
      <c r="AB102" s="67"/>
      <c r="AC102" s="70"/>
    </row>
    <row r="103" spans="1:29" x14ac:dyDescent="0.2">
      <c r="A103" s="91" t="s">
        <v>359</v>
      </c>
      <c r="B103" s="90" t="s">
        <v>358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136"/>
      <c r="R103" s="136"/>
      <c r="S103" s="136"/>
      <c r="T103" s="136"/>
      <c r="U103" s="136"/>
      <c r="V103" s="136"/>
      <c r="W103" s="136"/>
      <c r="X103" s="136"/>
      <c r="Y103" s="136"/>
      <c r="Z103" s="89"/>
      <c r="AA103" s="89"/>
      <c r="AB103" s="67"/>
      <c r="AC103" s="70"/>
    </row>
    <row r="104" spans="1:29" x14ac:dyDescent="0.2">
      <c r="A104" s="88" t="s">
        <v>357</v>
      </c>
      <c r="B104" s="87" t="s">
        <v>356</v>
      </c>
      <c r="C104" s="85">
        <v>1333.18</v>
      </c>
      <c r="D104" s="85"/>
      <c r="E104" s="85">
        <v>3822.17</v>
      </c>
      <c r="F104" s="85"/>
      <c r="G104" s="85">
        <v>29336.720000000001</v>
      </c>
      <c r="H104" s="85"/>
      <c r="I104" s="85">
        <v>39901.199999999997</v>
      </c>
      <c r="J104" s="85"/>
      <c r="K104" s="85">
        <v>44780.86</v>
      </c>
      <c r="L104" s="85"/>
      <c r="M104" s="85">
        <v>39068.51</v>
      </c>
      <c r="N104" s="85"/>
      <c r="O104" s="85">
        <v>16450.13</v>
      </c>
      <c r="P104" s="85"/>
      <c r="Q104" s="133">
        <v>5000</v>
      </c>
      <c r="R104" s="133"/>
      <c r="S104" s="133">
        <v>5000</v>
      </c>
      <c r="T104" s="133"/>
      <c r="U104" s="133">
        <v>5000</v>
      </c>
      <c r="V104" s="133"/>
      <c r="W104" s="133">
        <v>5000</v>
      </c>
      <c r="X104" s="133"/>
      <c r="Y104" s="133">
        <v>5000</v>
      </c>
      <c r="Z104" s="86">
        <f t="shared" ref="Z104:Z128" si="9">SUM(C104:Y104)</f>
        <v>199692.77</v>
      </c>
      <c r="AA104" s="85"/>
      <c r="AB104" s="82">
        <v>60000</v>
      </c>
      <c r="AC104" s="70"/>
    </row>
    <row r="105" spans="1:29" x14ac:dyDescent="0.2">
      <c r="A105" s="88" t="s">
        <v>355</v>
      </c>
      <c r="B105" s="87" t="s">
        <v>354</v>
      </c>
      <c r="C105" s="85"/>
      <c r="D105" s="85"/>
      <c r="E105" s="85">
        <v>1016.1</v>
      </c>
      <c r="F105" s="85"/>
      <c r="G105" s="85">
        <v>1592.78</v>
      </c>
      <c r="H105" s="85"/>
      <c r="I105" s="85">
        <v>910.73</v>
      </c>
      <c r="J105" s="85"/>
      <c r="K105" s="85">
        <v>964.95</v>
      </c>
      <c r="L105" s="85"/>
      <c r="M105" s="85">
        <v>597.6</v>
      </c>
      <c r="N105" s="85"/>
      <c r="O105" s="85">
        <v>776.46</v>
      </c>
      <c r="P105" s="85"/>
      <c r="Q105" s="133">
        <f>+Q13*0.01</f>
        <v>387</v>
      </c>
      <c r="R105" s="133"/>
      <c r="S105" s="133">
        <f>+S13*0.01</f>
        <v>300</v>
      </c>
      <c r="T105" s="133"/>
      <c r="U105" s="133">
        <f>+U13*0.01</f>
        <v>300</v>
      </c>
      <c r="V105" s="133"/>
      <c r="W105" s="133">
        <f>+W13*0.01</f>
        <v>300</v>
      </c>
      <c r="X105" s="133"/>
      <c r="Y105" s="133">
        <f>+Y13*0.01</f>
        <v>300</v>
      </c>
      <c r="Z105" s="86">
        <f t="shared" si="9"/>
        <v>7445.6200000000008</v>
      </c>
      <c r="AA105" s="85"/>
      <c r="AB105" s="82">
        <f>+AB13*0.01</f>
        <v>5000</v>
      </c>
      <c r="AC105" s="70"/>
    </row>
    <row r="106" spans="1:29" x14ac:dyDescent="0.2">
      <c r="A106" s="88" t="s">
        <v>353</v>
      </c>
      <c r="B106" s="87" t="s">
        <v>352</v>
      </c>
      <c r="C106" s="85">
        <v>1013.02</v>
      </c>
      <c r="D106" s="85"/>
      <c r="E106" s="85"/>
      <c r="F106" s="85"/>
      <c r="G106" s="85"/>
      <c r="H106" s="85"/>
      <c r="I106" s="85">
        <v>1011.73</v>
      </c>
      <c r="J106" s="85"/>
      <c r="K106" s="85"/>
      <c r="L106" s="85"/>
      <c r="M106" s="85">
        <v>0</v>
      </c>
      <c r="N106" s="85"/>
      <c r="O106" s="85">
        <v>1024.06</v>
      </c>
      <c r="P106" s="85"/>
      <c r="Q106" s="133"/>
      <c r="R106" s="133"/>
      <c r="S106" s="133"/>
      <c r="T106" s="133"/>
      <c r="U106" s="133"/>
      <c r="V106" s="133"/>
      <c r="W106" s="133"/>
      <c r="X106" s="133"/>
      <c r="Y106" s="133"/>
      <c r="Z106" s="86">
        <f t="shared" si="9"/>
        <v>3048.81</v>
      </c>
      <c r="AA106" s="85"/>
      <c r="AB106" s="82"/>
      <c r="AC106" s="70"/>
    </row>
    <row r="107" spans="1:29" x14ac:dyDescent="0.2">
      <c r="A107" s="88" t="s">
        <v>351</v>
      </c>
      <c r="B107" s="87" t="s">
        <v>350</v>
      </c>
      <c r="C107" s="85"/>
      <c r="D107" s="85"/>
      <c r="E107" s="85"/>
      <c r="F107" s="85"/>
      <c r="G107" s="85">
        <v>70</v>
      </c>
      <c r="H107" s="85"/>
      <c r="I107" s="85">
        <v>325.25</v>
      </c>
      <c r="J107" s="85"/>
      <c r="K107" s="85">
        <v>377.85</v>
      </c>
      <c r="L107" s="85"/>
      <c r="M107" s="85">
        <v>356.75</v>
      </c>
      <c r="N107" s="85"/>
      <c r="O107" s="85">
        <f>1275.21-776.46</f>
        <v>498.75</v>
      </c>
      <c r="P107" s="85"/>
      <c r="Q107" s="133">
        <v>0</v>
      </c>
      <c r="R107" s="133"/>
      <c r="S107" s="133">
        <v>0</v>
      </c>
      <c r="T107" s="133"/>
      <c r="U107" s="133">
        <v>0</v>
      </c>
      <c r="V107" s="133"/>
      <c r="W107" s="133">
        <v>0</v>
      </c>
      <c r="X107" s="133"/>
      <c r="Y107" s="133">
        <v>0</v>
      </c>
      <c r="Z107" s="86">
        <f t="shared" si="9"/>
        <v>1628.6</v>
      </c>
      <c r="AA107" s="85"/>
      <c r="AB107" s="82">
        <v>0</v>
      </c>
      <c r="AC107" s="70"/>
    </row>
    <row r="108" spans="1:29" x14ac:dyDescent="0.2">
      <c r="A108" s="88" t="s">
        <v>349</v>
      </c>
      <c r="B108" s="87" t="s">
        <v>348</v>
      </c>
      <c r="C108" s="85">
        <v>2024</v>
      </c>
      <c r="D108" s="85"/>
      <c r="E108" s="85">
        <v>171.32</v>
      </c>
      <c r="F108" s="85"/>
      <c r="G108" s="85"/>
      <c r="H108" s="85"/>
      <c r="I108" s="85">
        <v>230</v>
      </c>
      <c r="J108" s="85"/>
      <c r="K108" s="85">
        <v>251.98</v>
      </c>
      <c r="L108" s="85"/>
      <c r="M108" s="85">
        <v>85</v>
      </c>
      <c r="N108" s="85"/>
      <c r="O108" s="85">
        <v>38</v>
      </c>
      <c r="P108" s="85"/>
      <c r="Q108" s="133">
        <v>250</v>
      </c>
      <c r="R108" s="133"/>
      <c r="S108" s="133">
        <v>250</v>
      </c>
      <c r="T108" s="133"/>
      <c r="U108" s="133">
        <v>250</v>
      </c>
      <c r="V108" s="133"/>
      <c r="W108" s="133">
        <v>250</v>
      </c>
      <c r="X108" s="133"/>
      <c r="Y108" s="133">
        <v>250</v>
      </c>
      <c r="Z108" s="86">
        <f t="shared" si="9"/>
        <v>4050.3</v>
      </c>
      <c r="AA108" s="85"/>
      <c r="AB108" s="82">
        <v>3000</v>
      </c>
      <c r="AC108" s="70"/>
    </row>
    <row r="109" spans="1:29" x14ac:dyDescent="0.2">
      <c r="A109" s="88" t="s">
        <v>347</v>
      </c>
      <c r="B109" s="87" t="s">
        <v>346</v>
      </c>
      <c r="C109" s="85"/>
      <c r="D109" s="85"/>
      <c r="E109" s="85"/>
      <c r="F109" s="85"/>
      <c r="G109" s="85">
        <v>239</v>
      </c>
      <c r="H109" s="85"/>
      <c r="I109" s="85"/>
      <c r="J109" s="85"/>
      <c r="K109" s="85"/>
      <c r="L109" s="85"/>
      <c r="M109" s="85">
        <v>0</v>
      </c>
      <c r="N109" s="85"/>
      <c r="O109" s="85">
        <v>0</v>
      </c>
      <c r="P109" s="85"/>
      <c r="Q109" s="133">
        <v>0</v>
      </c>
      <c r="R109" s="133"/>
      <c r="S109" s="133">
        <v>0</v>
      </c>
      <c r="T109" s="133"/>
      <c r="U109" s="133">
        <v>0</v>
      </c>
      <c r="V109" s="133"/>
      <c r="W109" s="133">
        <v>0</v>
      </c>
      <c r="X109" s="133"/>
      <c r="Y109" s="133">
        <v>0</v>
      </c>
      <c r="Z109" s="86">
        <f t="shared" si="9"/>
        <v>239</v>
      </c>
      <c r="AA109" s="85"/>
      <c r="AB109" s="82">
        <v>5000</v>
      </c>
      <c r="AC109" s="70"/>
    </row>
    <row r="110" spans="1:29" x14ac:dyDescent="0.2">
      <c r="A110" s="88" t="s">
        <v>345</v>
      </c>
      <c r="B110" s="87" t="s">
        <v>344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>
        <v>11650</v>
      </c>
      <c r="N110" s="85"/>
      <c r="O110" s="85">
        <v>0</v>
      </c>
      <c r="P110" s="85"/>
      <c r="Q110" s="133">
        <v>415</v>
      </c>
      <c r="R110" s="133"/>
      <c r="S110" s="133">
        <v>415</v>
      </c>
      <c r="T110" s="133"/>
      <c r="U110" s="133">
        <v>415</v>
      </c>
      <c r="V110" s="133"/>
      <c r="W110" s="133">
        <v>415</v>
      </c>
      <c r="X110" s="133"/>
      <c r="Y110" s="133">
        <v>415</v>
      </c>
      <c r="Z110" s="86">
        <f t="shared" si="9"/>
        <v>13725</v>
      </c>
      <c r="AA110" s="85"/>
      <c r="AB110" s="82">
        <v>5000</v>
      </c>
      <c r="AC110" s="70"/>
    </row>
    <row r="111" spans="1:29" x14ac:dyDescent="0.2">
      <c r="A111" s="88" t="s">
        <v>343</v>
      </c>
      <c r="B111" s="87" t="s">
        <v>342</v>
      </c>
      <c r="C111" s="85"/>
      <c r="D111" s="85"/>
      <c r="E111" s="85"/>
      <c r="F111" s="85"/>
      <c r="G111" s="85">
        <v>4340</v>
      </c>
      <c r="H111" s="85"/>
      <c r="I111" s="85"/>
      <c r="J111" s="85"/>
      <c r="K111" s="85"/>
      <c r="L111" s="85"/>
      <c r="M111" s="85">
        <v>4600</v>
      </c>
      <c r="N111" s="85"/>
      <c r="O111" s="85">
        <v>0</v>
      </c>
      <c r="P111" s="85"/>
      <c r="Q111" s="133"/>
      <c r="R111" s="133"/>
      <c r="S111" s="133"/>
      <c r="T111" s="133"/>
      <c r="U111" s="133"/>
      <c r="V111" s="133"/>
      <c r="W111" s="133"/>
      <c r="X111" s="133"/>
      <c r="Y111" s="133"/>
      <c r="Z111" s="86">
        <f t="shared" si="9"/>
        <v>8940</v>
      </c>
      <c r="AA111" s="85"/>
      <c r="AB111" s="82">
        <v>5000</v>
      </c>
      <c r="AC111" s="70"/>
    </row>
    <row r="112" spans="1:29" x14ac:dyDescent="0.2">
      <c r="A112" s="88" t="s">
        <v>341</v>
      </c>
      <c r="B112" s="87" t="s">
        <v>340</v>
      </c>
      <c r="C112" s="85">
        <v>4829</v>
      </c>
      <c r="D112" s="85"/>
      <c r="E112" s="85">
        <v>11991.25</v>
      </c>
      <c r="F112" s="85"/>
      <c r="G112" s="85">
        <v>15289.5</v>
      </c>
      <c r="H112" s="85"/>
      <c r="I112" s="85">
        <v>12302.16</v>
      </c>
      <c r="J112" s="85"/>
      <c r="K112" s="85">
        <v>4278</v>
      </c>
      <c r="L112" s="85"/>
      <c r="M112" s="85">
        <v>4060.5</v>
      </c>
      <c r="N112" s="85"/>
      <c r="O112" s="85">
        <v>2182.5</v>
      </c>
      <c r="P112" s="85"/>
      <c r="Q112" s="133">
        <v>8000</v>
      </c>
      <c r="R112" s="133"/>
      <c r="S112" s="133">
        <v>8000</v>
      </c>
      <c r="T112" s="133"/>
      <c r="U112" s="133">
        <v>8000</v>
      </c>
      <c r="V112" s="133"/>
      <c r="W112" s="133">
        <v>8000</v>
      </c>
      <c r="X112" s="133"/>
      <c r="Y112" s="133">
        <v>8000</v>
      </c>
      <c r="Z112" s="86">
        <f t="shared" si="9"/>
        <v>94932.91</v>
      </c>
      <c r="AA112" s="85"/>
      <c r="AB112" s="82">
        <v>100000</v>
      </c>
      <c r="AC112" s="70"/>
    </row>
    <row r="113" spans="1:29" x14ac:dyDescent="0.2">
      <c r="A113" s="88" t="s">
        <v>339</v>
      </c>
      <c r="B113" s="87" t="s">
        <v>338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>
        <v>0</v>
      </c>
      <c r="N113" s="85"/>
      <c r="O113" s="85">
        <v>0</v>
      </c>
      <c r="P113" s="85"/>
      <c r="Q113" s="133"/>
      <c r="R113" s="133"/>
      <c r="S113" s="133"/>
      <c r="T113" s="133"/>
      <c r="U113" s="133"/>
      <c r="V113" s="133"/>
      <c r="W113" s="133"/>
      <c r="X113" s="133"/>
      <c r="Y113" s="133"/>
      <c r="Z113" s="86">
        <f t="shared" si="9"/>
        <v>0</v>
      </c>
      <c r="AA113" s="85"/>
      <c r="AB113" s="82"/>
      <c r="AC113" s="70"/>
    </row>
    <row r="114" spans="1:29" x14ac:dyDescent="0.2">
      <c r="A114" s="88" t="s">
        <v>337</v>
      </c>
      <c r="B114" s="87" t="s">
        <v>336</v>
      </c>
      <c r="C114" s="85"/>
      <c r="D114" s="85"/>
      <c r="E114" s="85">
        <v>30000</v>
      </c>
      <c r="F114" s="85"/>
      <c r="G114" s="85">
        <v>3000</v>
      </c>
      <c r="H114" s="85"/>
      <c r="I114" s="85"/>
      <c r="J114" s="85"/>
      <c r="K114" s="85">
        <v>34393</v>
      </c>
      <c r="L114" s="85"/>
      <c r="M114" s="85">
        <v>0</v>
      </c>
      <c r="N114" s="85"/>
      <c r="O114" s="85">
        <v>0</v>
      </c>
      <c r="P114" s="85"/>
      <c r="Q114" s="133">
        <v>0</v>
      </c>
      <c r="R114" s="133"/>
      <c r="S114" s="133">
        <v>0</v>
      </c>
      <c r="T114" s="133"/>
      <c r="U114" s="133">
        <v>0</v>
      </c>
      <c r="V114" s="133"/>
      <c r="W114" s="133">
        <v>0</v>
      </c>
      <c r="X114" s="133"/>
      <c r="Y114" s="133">
        <v>0</v>
      </c>
      <c r="Z114" s="86">
        <f t="shared" si="9"/>
        <v>67393</v>
      </c>
      <c r="AA114" s="85"/>
      <c r="AB114" s="82">
        <v>60000</v>
      </c>
      <c r="AC114" s="70"/>
    </row>
    <row r="115" spans="1:29" x14ac:dyDescent="0.2">
      <c r="A115" s="88" t="s">
        <v>335</v>
      </c>
      <c r="B115" s="87" t="s">
        <v>334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>
        <v>0</v>
      </c>
      <c r="N115" s="85"/>
      <c r="O115" s="85">
        <v>0</v>
      </c>
      <c r="P115" s="85"/>
      <c r="Q115" s="133">
        <v>0</v>
      </c>
      <c r="R115" s="133"/>
      <c r="S115" s="133">
        <v>0</v>
      </c>
      <c r="T115" s="133"/>
      <c r="U115" s="133">
        <v>0</v>
      </c>
      <c r="V115" s="133"/>
      <c r="W115" s="133">
        <v>0</v>
      </c>
      <c r="X115" s="133"/>
      <c r="Y115" s="133">
        <v>0</v>
      </c>
      <c r="Z115" s="86">
        <f t="shared" si="9"/>
        <v>0</v>
      </c>
      <c r="AA115" s="85"/>
      <c r="AB115" s="82">
        <v>2000</v>
      </c>
      <c r="AC115" s="70"/>
    </row>
    <row r="116" spans="1:29" x14ac:dyDescent="0.2">
      <c r="A116" s="88" t="s">
        <v>333</v>
      </c>
      <c r="B116" s="87" t="s">
        <v>332</v>
      </c>
      <c r="C116" s="85"/>
      <c r="D116" s="85"/>
      <c r="E116" s="85"/>
      <c r="F116" s="85"/>
      <c r="G116" s="85">
        <v>750</v>
      </c>
      <c r="H116" s="85"/>
      <c r="I116" s="85">
        <v>477.5</v>
      </c>
      <c r="J116" s="85"/>
      <c r="K116" s="85">
        <v>1942.5</v>
      </c>
      <c r="L116" s="85"/>
      <c r="M116" s="85">
        <v>0</v>
      </c>
      <c r="N116" s="85"/>
      <c r="O116" s="85">
        <v>0</v>
      </c>
      <c r="P116" s="85"/>
      <c r="Q116" s="133">
        <v>250</v>
      </c>
      <c r="R116" s="133"/>
      <c r="S116" s="133">
        <v>250</v>
      </c>
      <c r="T116" s="133"/>
      <c r="U116" s="133">
        <v>250</v>
      </c>
      <c r="V116" s="133"/>
      <c r="W116" s="133">
        <v>250</v>
      </c>
      <c r="X116" s="133"/>
      <c r="Y116" s="133">
        <v>250</v>
      </c>
      <c r="Z116" s="86">
        <f t="shared" si="9"/>
        <v>4420</v>
      </c>
      <c r="AA116" s="85"/>
      <c r="AB116" s="82">
        <v>3000</v>
      </c>
      <c r="AC116" s="70"/>
    </row>
    <row r="117" spans="1:29" x14ac:dyDescent="0.2">
      <c r="A117" s="88">
        <v>6010850</v>
      </c>
      <c r="B117" s="87" t="s">
        <v>331</v>
      </c>
      <c r="C117" s="85"/>
      <c r="D117" s="85"/>
      <c r="E117" s="85">
        <v>1380</v>
      </c>
      <c r="F117" s="85"/>
      <c r="G117" s="85">
        <v>2769.92</v>
      </c>
      <c r="H117" s="85"/>
      <c r="I117" s="85">
        <v>3519</v>
      </c>
      <c r="J117" s="85"/>
      <c r="K117" s="85"/>
      <c r="L117" s="85"/>
      <c r="M117" s="85">
        <v>0</v>
      </c>
      <c r="N117" s="85"/>
      <c r="O117" s="85">
        <v>0</v>
      </c>
      <c r="P117" s="85"/>
      <c r="Q117" s="133">
        <v>450</v>
      </c>
      <c r="R117" s="133"/>
      <c r="S117" s="133">
        <v>450</v>
      </c>
      <c r="T117" s="133"/>
      <c r="U117" s="133">
        <v>450</v>
      </c>
      <c r="V117" s="133"/>
      <c r="W117" s="133">
        <v>450</v>
      </c>
      <c r="X117" s="133"/>
      <c r="Y117" s="133">
        <v>450</v>
      </c>
      <c r="Z117" s="86">
        <f t="shared" si="9"/>
        <v>9918.92</v>
      </c>
      <c r="AA117" s="85"/>
      <c r="AB117" s="82">
        <f>+AB63</f>
        <v>5000</v>
      </c>
      <c r="AC117" s="70"/>
    </row>
    <row r="118" spans="1:29" x14ac:dyDescent="0.2">
      <c r="A118" s="88" t="s">
        <v>330</v>
      </c>
      <c r="B118" s="87" t="s">
        <v>329</v>
      </c>
      <c r="C118" s="85">
        <v>3959.76</v>
      </c>
      <c r="D118" s="85"/>
      <c r="E118" s="85">
        <v>3579.06</v>
      </c>
      <c r="F118" s="85"/>
      <c r="G118" s="85">
        <v>3660.35</v>
      </c>
      <c r="H118" s="85"/>
      <c r="I118" s="85">
        <v>6402.39</v>
      </c>
      <c r="J118" s="85"/>
      <c r="K118" s="85">
        <v>8804.18</v>
      </c>
      <c r="L118" s="85"/>
      <c r="M118" s="85">
        <v>8030.86</v>
      </c>
      <c r="N118" s="85"/>
      <c r="O118" s="85">
        <v>7221.14</v>
      </c>
      <c r="P118" s="85"/>
      <c r="Q118" s="133">
        <v>7100</v>
      </c>
      <c r="R118" s="133"/>
      <c r="S118" s="133">
        <v>7100</v>
      </c>
      <c r="T118" s="133"/>
      <c r="U118" s="133">
        <v>7100</v>
      </c>
      <c r="V118" s="133"/>
      <c r="W118" s="133">
        <v>7100</v>
      </c>
      <c r="X118" s="133"/>
      <c r="Y118" s="133">
        <v>7100</v>
      </c>
      <c r="Z118" s="86">
        <f t="shared" si="9"/>
        <v>77157.739999999991</v>
      </c>
      <c r="AA118" s="85"/>
      <c r="AB118" s="82">
        <v>85000</v>
      </c>
      <c r="AC118" s="70"/>
    </row>
    <row r="119" spans="1:29" x14ac:dyDescent="0.2">
      <c r="A119" s="88">
        <v>6010950</v>
      </c>
      <c r="B119" s="87" t="s">
        <v>328</v>
      </c>
      <c r="C119" s="85"/>
      <c r="D119" s="85"/>
      <c r="E119" s="85">
        <v>5415.35</v>
      </c>
      <c r="F119" s="85"/>
      <c r="G119" s="85">
        <v>11938.5</v>
      </c>
      <c r="H119" s="85"/>
      <c r="I119" s="85"/>
      <c r="J119" s="85"/>
      <c r="K119" s="85"/>
      <c r="L119" s="85"/>
      <c r="M119" s="85">
        <v>599</v>
      </c>
      <c r="N119" s="85"/>
      <c r="O119" s="85">
        <v>0</v>
      </c>
      <c r="P119" s="85"/>
      <c r="Q119" s="133">
        <v>4200</v>
      </c>
      <c r="R119" s="133"/>
      <c r="S119" s="133">
        <v>4200</v>
      </c>
      <c r="T119" s="133"/>
      <c r="U119" s="133">
        <v>4200</v>
      </c>
      <c r="V119" s="133"/>
      <c r="W119" s="133">
        <v>4200</v>
      </c>
      <c r="X119" s="133"/>
      <c r="Y119" s="133">
        <v>4200</v>
      </c>
      <c r="Z119" s="86">
        <f t="shared" si="9"/>
        <v>38952.85</v>
      </c>
      <c r="AA119" s="85"/>
      <c r="AB119" s="82">
        <v>50000</v>
      </c>
      <c r="AC119" s="70"/>
    </row>
    <row r="120" spans="1:29" x14ac:dyDescent="0.2">
      <c r="A120" s="88" t="s">
        <v>327</v>
      </c>
      <c r="B120" s="87" t="s">
        <v>153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>
        <v>0</v>
      </c>
      <c r="N120" s="85"/>
      <c r="O120" s="85"/>
      <c r="P120" s="85"/>
      <c r="Q120" s="133"/>
      <c r="R120" s="133"/>
      <c r="S120" s="133"/>
      <c r="T120" s="133"/>
      <c r="U120" s="133"/>
      <c r="V120" s="133"/>
      <c r="W120" s="133"/>
      <c r="X120" s="133"/>
      <c r="Y120" s="133"/>
      <c r="Z120" s="86">
        <f t="shared" si="9"/>
        <v>0</v>
      </c>
      <c r="AA120" s="85"/>
      <c r="AB120" s="82"/>
      <c r="AC120" s="70"/>
    </row>
    <row r="121" spans="1:29" x14ac:dyDescent="0.2">
      <c r="A121" s="88" t="s">
        <v>326</v>
      </c>
      <c r="B121" s="87" t="s">
        <v>325</v>
      </c>
      <c r="C121" s="85"/>
      <c r="D121" s="85"/>
      <c r="E121" s="85"/>
      <c r="F121" s="85"/>
      <c r="G121" s="85"/>
      <c r="H121" s="85"/>
      <c r="I121" s="85">
        <v>0</v>
      </c>
      <c r="J121" s="85"/>
      <c r="K121" s="85">
        <v>3300</v>
      </c>
      <c r="L121" s="85"/>
      <c r="M121" s="85">
        <v>1100</v>
      </c>
      <c r="N121" s="85"/>
      <c r="O121" s="85">
        <v>2000</v>
      </c>
      <c r="P121" s="85"/>
      <c r="Q121" s="133">
        <v>0</v>
      </c>
      <c r="R121" s="133"/>
      <c r="S121" s="133">
        <v>9000</v>
      </c>
      <c r="T121" s="133"/>
      <c r="U121" s="133"/>
      <c r="V121" s="133"/>
      <c r="W121" s="133"/>
      <c r="X121" s="133"/>
      <c r="Y121" s="133"/>
      <c r="Z121" s="86">
        <f t="shared" si="9"/>
        <v>15400</v>
      </c>
      <c r="AA121" s="85"/>
      <c r="AB121" s="82">
        <v>15000</v>
      </c>
      <c r="AC121" s="70"/>
    </row>
    <row r="122" spans="1:29" x14ac:dyDescent="0.2">
      <c r="A122" s="88" t="s">
        <v>324</v>
      </c>
      <c r="B122" s="87" t="s">
        <v>323</v>
      </c>
      <c r="C122" s="85">
        <v>382.43</v>
      </c>
      <c r="D122" s="85"/>
      <c r="E122" s="85">
        <v>630.61</v>
      </c>
      <c r="F122" s="85"/>
      <c r="G122" s="85">
        <v>5373.78</v>
      </c>
      <c r="H122" s="85"/>
      <c r="I122" s="85">
        <v>1002.5</v>
      </c>
      <c r="J122" s="85"/>
      <c r="K122" s="85">
        <v>1455.03</v>
      </c>
      <c r="L122" s="85"/>
      <c r="M122" s="85">
        <f>+-4734.49+2.48</f>
        <v>-4732.01</v>
      </c>
      <c r="N122" s="85"/>
      <c r="O122" s="85">
        <f>5787.12-2.48</f>
        <v>5784.64</v>
      </c>
      <c r="P122" s="85"/>
      <c r="Q122" s="133">
        <v>750</v>
      </c>
      <c r="R122" s="133"/>
      <c r="S122" s="133">
        <v>750</v>
      </c>
      <c r="T122" s="133"/>
      <c r="U122" s="133">
        <v>750</v>
      </c>
      <c r="V122" s="133"/>
      <c r="W122" s="133">
        <v>750</v>
      </c>
      <c r="X122" s="133"/>
      <c r="Y122" s="133">
        <v>750</v>
      </c>
      <c r="Z122" s="86">
        <f t="shared" si="9"/>
        <v>13646.98</v>
      </c>
      <c r="AA122" s="85"/>
      <c r="AB122" s="82">
        <v>9000</v>
      </c>
      <c r="AC122" s="70"/>
    </row>
    <row r="123" spans="1:29" x14ac:dyDescent="0.2">
      <c r="A123" s="88" t="s">
        <v>322</v>
      </c>
      <c r="B123" s="87" t="s">
        <v>321</v>
      </c>
      <c r="C123" s="85"/>
      <c r="D123" s="85"/>
      <c r="E123" s="85"/>
      <c r="F123" s="85"/>
      <c r="G123" s="85">
        <v>300</v>
      </c>
      <c r="H123" s="85"/>
      <c r="I123" s="85"/>
      <c r="J123" s="85"/>
      <c r="K123" s="85">
        <v>250</v>
      </c>
      <c r="L123" s="85"/>
      <c r="M123" s="85">
        <v>1575</v>
      </c>
      <c r="N123" s="85"/>
      <c r="O123" s="85">
        <v>0</v>
      </c>
      <c r="P123" s="85"/>
      <c r="Q123" s="133">
        <v>0</v>
      </c>
      <c r="R123" s="133"/>
      <c r="S123" s="133">
        <v>0</v>
      </c>
      <c r="T123" s="133"/>
      <c r="U123" s="133">
        <v>0</v>
      </c>
      <c r="V123" s="133"/>
      <c r="W123" s="133">
        <v>0</v>
      </c>
      <c r="X123" s="133"/>
      <c r="Y123" s="133">
        <v>0</v>
      </c>
      <c r="Z123" s="86">
        <f t="shared" si="9"/>
        <v>2125</v>
      </c>
      <c r="AA123" s="85"/>
      <c r="AB123" s="82">
        <v>6500</v>
      </c>
      <c r="AC123" s="70"/>
    </row>
    <row r="124" spans="1:29" x14ac:dyDescent="0.2">
      <c r="A124" s="88" t="s">
        <v>320</v>
      </c>
      <c r="B124" s="87" t="s">
        <v>319</v>
      </c>
      <c r="C124" s="85"/>
      <c r="D124" s="85"/>
      <c r="E124" s="85">
        <v>-1931.08</v>
      </c>
      <c r="F124" s="85"/>
      <c r="G124" s="85">
        <v>396.48</v>
      </c>
      <c r="H124" s="85"/>
      <c r="I124" s="85">
        <v>204.12</v>
      </c>
      <c r="J124" s="85"/>
      <c r="K124" s="85">
        <v>176.76</v>
      </c>
      <c r="L124" s="85"/>
      <c r="M124" s="85">
        <v>155.52000000000001</v>
      </c>
      <c r="N124" s="85"/>
      <c r="O124" s="85">
        <v>0</v>
      </c>
      <c r="P124" s="85"/>
      <c r="Q124" s="133">
        <v>500</v>
      </c>
      <c r="R124" s="133"/>
      <c r="S124" s="133">
        <v>500</v>
      </c>
      <c r="T124" s="133"/>
      <c r="U124" s="133">
        <v>500</v>
      </c>
      <c r="V124" s="133"/>
      <c r="W124" s="133">
        <v>500</v>
      </c>
      <c r="X124" s="133"/>
      <c r="Y124" s="133">
        <v>500</v>
      </c>
      <c r="Z124" s="86">
        <f t="shared" si="9"/>
        <v>1501.8</v>
      </c>
      <c r="AA124" s="85"/>
      <c r="AB124" s="82">
        <v>7500</v>
      </c>
      <c r="AC124" s="70"/>
    </row>
    <row r="125" spans="1:29" x14ac:dyDescent="0.2">
      <c r="A125" s="88" t="s">
        <v>318</v>
      </c>
      <c r="B125" s="87" t="s">
        <v>317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>
        <v>0</v>
      </c>
      <c r="N125" s="85"/>
      <c r="O125" s="85">
        <v>0</v>
      </c>
      <c r="P125" s="85"/>
      <c r="Q125" s="133"/>
      <c r="R125" s="133"/>
      <c r="S125" s="133"/>
      <c r="T125" s="133"/>
      <c r="U125" s="133"/>
      <c r="V125" s="133"/>
      <c r="W125" s="133"/>
      <c r="X125" s="133"/>
      <c r="Y125" s="133"/>
      <c r="Z125" s="86">
        <f t="shared" si="9"/>
        <v>0</v>
      </c>
      <c r="AA125" s="85"/>
      <c r="AB125" s="82"/>
      <c r="AC125" s="70"/>
    </row>
    <row r="126" spans="1:29" x14ac:dyDescent="0.2">
      <c r="A126" s="88" t="s">
        <v>316</v>
      </c>
      <c r="B126" s="87" t="s">
        <v>315</v>
      </c>
      <c r="C126" s="85">
        <v>53441.09</v>
      </c>
      <c r="D126" s="85"/>
      <c r="E126" s="85">
        <v>-4677.75</v>
      </c>
      <c r="F126" s="85"/>
      <c r="G126" s="85">
        <v>19902.689999999999</v>
      </c>
      <c r="H126" s="85"/>
      <c r="I126" s="85">
        <v>-6865.5</v>
      </c>
      <c r="J126" s="85"/>
      <c r="K126" s="85">
        <v>-3230.29</v>
      </c>
      <c r="L126" s="85"/>
      <c r="M126" s="85">
        <v>-11238.27</v>
      </c>
      <c r="N126" s="85"/>
      <c r="O126" s="85">
        <v>2796.32</v>
      </c>
      <c r="P126" s="85"/>
      <c r="Q126" s="133"/>
      <c r="R126" s="133"/>
      <c r="S126" s="133"/>
      <c r="T126" s="133"/>
      <c r="U126" s="133"/>
      <c r="V126" s="133"/>
      <c r="W126" s="133"/>
      <c r="X126" s="133"/>
      <c r="Y126" s="133"/>
      <c r="Z126" s="86">
        <f t="shared" si="9"/>
        <v>50128.29</v>
      </c>
      <c r="AA126" s="85"/>
      <c r="AB126" s="82"/>
      <c r="AC126" s="70"/>
    </row>
    <row r="127" spans="1:29" x14ac:dyDescent="0.2">
      <c r="A127" s="88" t="s">
        <v>314</v>
      </c>
      <c r="B127" s="87" t="s">
        <v>313</v>
      </c>
      <c r="C127" s="85">
        <v>5800</v>
      </c>
      <c r="D127" s="85"/>
      <c r="E127" s="85">
        <v>5193.6400000000003</v>
      </c>
      <c r="F127" s="85"/>
      <c r="G127" s="85">
        <v>642.23</v>
      </c>
      <c r="H127" s="85"/>
      <c r="I127" s="85">
        <v>850</v>
      </c>
      <c r="J127" s="85"/>
      <c r="K127" s="85">
        <v>2137.4699999999998</v>
      </c>
      <c r="L127" s="85"/>
      <c r="M127" s="85">
        <v>0</v>
      </c>
      <c r="N127" s="85"/>
      <c r="O127" s="85">
        <v>8.8000000000000007</v>
      </c>
      <c r="P127" s="85"/>
      <c r="Q127" s="133">
        <v>3000</v>
      </c>
      <c r="R127" s="133"/>
      <c r="S127" s="133">
        <v>3000</v>
      </c>
      <c r="T127" s="133"/>
      <c r="U127" s="133">
        <v>3000</v>
      </c>
      <c r="V127" s="133"/>
      <c r="W127" s="133">
        <v>3000</v>
      </c>
      <c r="X127" s="133"/>
      <c r="Y127" s="133">
        <v>3000</v>
      </c>
      <c r="Z127" s="86">
        <f t="shared" si="9"/>
        <v>29632.14</v>
      </c>
      <c r="AA127" s="85"/>
      <c r="AB127" s="82">
        <v>35000</v>
      </c>
      <c r="AC127" s="70"/>
    </row>
    <row r="128" spans="1:29" x14ac:dyDescent="0.2">
      <c r="A128" s="88" t="s">
        <v>312</v>
      </c>
      <c r="B128" s="87" t="s">
        <v>311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>
        <v>0</v>
      </c>
      <c r="N128" s="85"/>
      <c r="O128" s="85"/>
      <c r="P128" s="85"/>
      <c r="Q128" s="133"/>
      <c r="R128" s="133"/>
      <c r="S128" s="133"/>
      <c r="T128" s="133"/>
      <c r="U128" s="133"/>
      <c r="V128" s="133"/>
      <c r="W128" s="133"/>
      <c r="X128" s="133"/>
      <c r="Y128" s="133"/>
      <c r="Z128" s="86">
        <f t="shared" si="9"/>
        <v>0</v>
      </c>
      <c r="AA128" s="85"/>
      <c r="AB128" s="82"/>
      <c r="AC128" s="70"/>
    </row>
    <row r="129" spans="1:30" x14ac:dyDescent="0.2">
      <c r="A129" s="88"/>
      <c r="B129" s="87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33"/>
      <c r="R129" s="133"/>
      <c r="S129" s="133"/>
      <c r="T129" s="133"/>
      <c r="U129" s="133"/>
      <c r="V129" s="133"/>
      <c r="W129" s="133"/>
      <c r="X129" s="133"/>
      <c r="Y129" s="133"/>
      <c r="Z129" s="85"/>
      <c r="AA129" s="85"/>
      <c r="AB129" s="82"/>
      <c r="AC129" s="70"/>
    </row>
    <row r="130" spans="1:30" s="98" customFormat="1" x14ac:dyDescent="0.2">
      <c r="A130" s="95"/>
      <c r="B130" s="94" t="s">
        <v>310</v>
      </c>
      <c r="C130" s="92">
        <f>SUM(C104:C128)</f>
        <v>72782.48</v>
      </c>
      <c r="D130" s="76"/>
      <c r="E130" s="92">
        <f>SUM(E104:E128)</f>
        <v>56590.669999999991</v>
      </c>
      <c r="F130" s="76"/>
      <c r="G130" s="92">
        <f>SUM(G104:G128)</f>
        <v>99601.949999999983</v>
      </c>
      <c r="H130" s="76"/>
      <c r="I130" s="92">
        <f>SUM(I104:I128)</f>
        <v>60271.08</v>
      </c>
      <c r="J130" s="76"/>
      <c r="K130" s="92">
        <f>SUM(K104:K128)</f>
        <v>99882.290000000008</v>
      </c>
      <c r="L130" s="76"/>
      <c r="M130" s="92">
        <f>SUM(M104:M128)</f>
        <v>55908.459999999992</v>
      </c>
      <c r="N130" s="76"/>
      <c r="O130" s="92">
        <f>SUM(O104:O128)</f>
        <v>38780.800000000003</v>
      </c>
      <c r="P130" s="92"/>
      <c r="Q130" s="140">
        <f>SUM(Q104:Q128)</f>
        <v>30302</v>
      </c>
      <c r="R130" s="140"/>
      <c r="S130" s="140">
        <f>SUM(S104:S128)</f>
        <v>39215</v>
      </c>
      <c r="T130" s="140"/>
      <c r="U130" s="140">
        <f>SUM(U104:U128)</f>
        <v>30215</v>
      </c>
      <c r="V130" s="140"/>
      <c r="W130" s="140">
        <f>SUM(W104:W128)</f>
        <v>30215</v>
      </c>
      <c r="X130" s="140"/>
      <c r="Y130" s="140">
        <f>SUM(Y104:Y128)</f>
        <v>30215</v>
      </c>
      <c r="Z130" s="92">
        <f>SUM(Z104:Z128)</f>
        <v>643979.7300000001</v>
      </c>
      <c r="AA130" s="76"/>
      <c r="AB130" s="92">
        <f>SUM(AB104:AB128)</f>
        <v>461000</v>
      </c>
      <c r="AC130" s="93"/>
    </row>
    <row r="131" spans="1:30" s="98" customFormat="1" x14ac:dyDescent="0.2">
      <c r="A131" s="95"/>
      <c r="B131" s="94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141"/>
      <c r="R131" s="141"/>
      <c r="S131" s="141"/>
      <c r="T131" s="141"/>
      <c r="U131" s="141"/>
      <c r="V131" s="141"/>
      <c r="W131" s="141"/>
      <c r="X131" s="141"/>
      <c r="Y131" s="141"/>
      <c r="Z131" s="76"/>
      <c r="AA131" s="76"/>
      <c r="AB131" s="96"/>
      <c r="AC131" s="97"/>
    </row>
    <row r="132" spans="1:30" x14ac:dyDescent="0.2">
      <c r="A132" s="88" t="s">
        <v>309</v>
      </c>
      <c r="B132" s="87" t="s">
        <v>147</v>
      </c>
      <c r="C132" s="85">
        <v>-11447.82</v>
      </c>
      <c r="D132" s="85"/>
      <c r="E132" s="85">
        <v>27578.19</v>
      </c>
      <c r="F132" s="85"/>
      <c r="G132" s="85">
        <v>31668.06</v>
      </c>
      <c r="H132" s="85"/>
      <c r="I132" s="85">
        <v>30847.19</v>
      </c>
      <c r="J132" s="85"/>
      <c r="K132" s="85">
        <v>44992.32</v>
      </c>
      <c r="L132" s="85"/>
      <c r="M132" s="85">
        <v>29430.39</v>
      </c>
      <c r="N132" s="85"/>
      <c r="O132" s="85">
        <v>29172.7</v>
      </c>
      <c r="P132" s="85"/>
      <c r="Q132" s="133">
        <v>29383.77</v>
      </c>
      <c r="R132" s="133"/>
      <c r="S132" s="133">
        <v>29383.77</v>
      </c>
      <c r="T132" s="133"/>
      <c r="U132" s="133">
        <v>29383.77</v>
      </c>
      <c r="V132" s="133"/>
      <c r="W132" s="133">
        <v>29383.77</v>
      </c>
      <c r="X132" s="133"/>
      <c r="Y132" s="133">
        <f>44075.65+29383.77</f>
        <v>73459.42</v>
      </c>
      <c r="Z132" s="86">
        <f t="shared" ref="Z132:Z153" si="10">SUM(C132:Y132)</f>
        <v>373235.53</v>
      </c>
      <c r="AA132" s="85"/>
      <c r="AB132" s="82">
        <v>381989</v>
      </c>
      <c r="AC132" s="70"/>
    </row>
    <row r="133" spans="1:30" x14ac:dyDescent="0.2">
      <c r="A133" s="88" t="s">
        <v>308</v>
      </c>
      <c r="B133" s="87" t="s">
        <v>145</v>
      </c>
      <c r="C133" s="85">
        <v>2327.7800000000002</v>
      </c>
      <c r="D133" s="85"/>
      <c r="E133" s="85">
        <v>2303.35</v>
      </c>
      <c r="F133" s="85"/>
      <c r="G133" s="85">
        <v>1595.97</v>
      </c>
      <c r="H133" s="85"/>
      <c r="I133" s="85">
        <v>2225.89</v>
      </c>
      <c r="J133" s="85"/>
      <c r="K133" s="85">
        <v>3406.98</v>
      </c>
      <c r="L133" s="85"/>
      <c r="M133" s="85">
        <v>2183.0500000000002</v>
      </c>
      <c r="N133" s="85"/>
      <c r="O133" s="85">
        <v>2311.59</v>
      </c>
      <c r="P133" s="85"/>
      <c r="Q133" s="133">
        <f>+Q132*0.08</f>
        <v>2350.7015999999999</v>
      </c>
      <c r="R133" s="133"/>
      <c r="S133" s="133">
        <f>+S132*0.08</f>
        <v>2350.7015999999999</v>
      </c>
      <c r="T133" s="133"/>
      <c r="U133" s="133">
        <f>+U132*0.08</f>
        <v>2350.7015999999999</v>
      </c>
      <c r="V133" s="133"/>
      <c r="W133" s="133">
        <f>+W132*0.08</f>
        <v>2350.7015999999999</v>
      </c>
      <c r="X133" s="133"/>
      <c r="Y133" s="133">
        <f>+Y132*0.08</f>
        <v>5876.7536</v>
      </c>
      <c r="Z133" s="86">
        <f t="shared" si="10"/>
        <v>31634.170000000002</v>
      </c>
      <c r="AA133" s="85"/>
      <c r="AB133" s="82">
        <v>30559</v>
      </c>
      <c r="AC133" s="70"/>
    </row>
    <row r="134" spans="1:30" x14ac:dyDescent="0.2">
      <c r="A134" s="88" t="s">
        <v>307</v>
      </c>
      <c r="B134" s="87" t="s">
        <v>143</v>
      </c>
      <c r="C134" s="85">
        <v>5359.99</v>
      </c>
      <c r="D134" s="85"/>
      <c r="E134" s="85">
        <v>5462.13</v>
      </c>
      <c r="F134" s="85"/>
      <c r="G134" s="85">
        <v>5535.05</v>
      </c>
      <c r="H134" s="85"/>
      <c r="I134" s="85">
        <v>6820.07</v>
      </c>
      <c r="J134" s="85"/>
      <c r="K134" s="85">
        <v>6978.02</v>
      </c>
      <c r="L134" s="85"/>
      <c r="M134" s="85">
        <v>6978.04</v>
      </c>
      <c r="N134" s="85"/>
      <c r="O134" s="85">
        <v>6978.04</v>
      </c>
      <c r="P134" s="85"/>
      <c r="Q134" s="133">
        <v>6978.04</v>
      </c>
      <c r="R134" s="133"/>
      <c r="S134" s="133">
        <v>6978.04</v>
      </c>
      <c r="T134" s="133"/>
      <c r="U134" s="133">
        <v>6978.04</v>
      </c>
      <c r="V134" s="133"/>
      <c r="W134" s="133">
        <v>6978.04</v>
      </c>
      <c r="X134" s="133"/>
      <c r="Y134" s="133">
        <v>6978.04</v>
      </c>
      <c r="Z134" s="86">
        <f t="shared" si="10"/>
        <v>79001.539999999994</v>
      </c>
      <c r="AA134" s="85"/>
      <c r="AB134" s="82">
        <f>67402+3616+1226+136</f>
        <v>72380</v>
      </c>
      <c r="AC134" s="70"/>
    </row>
    <row r="135" spans="1:30" x14ac:dyDescent="0.2">
      <c r="A135" s="88" t="s">
        <v>306</v>
      </c>
      <c r="B135" s="87" t="s">
        <v>165</v>
      </c>
      <c r="C135" s="85">
        <v>312.52</v>
      </c>
      <c r="D135" s="85"/>
      <c r="E135" s="85">
        <v>307.35000000000002</v>
      </c>
      <c r="F135" s="85"/>
      <c r="G135" s="85">
        <v>307.33999999999997</v>
      </c>
      <c r="H135" s="85"/>
      <c r="I135" s="85">
        <v>315.97000000000003</v>
      </c>
      <c r="J135" s="85"/>
      <c r="K135" s="85">
        <v>468.66</v>
      </c>
      <c r="L135" s="85"/>
      <c r="M135" s="85">
        <v>315.51</v>
      </c>
      <c r="N135" s="85"/>
      <c r="O135" s="85">
        <v>313.58999999999997</v>
      </c>
      <c r="P135" s="85"/>
      <c r="Q135" s="133">
        <v>313.58999999999997</v>
      </c>
      <c r="R135" s="133"/>
      <c r="S135" s="133">
        <v>313.58999999999997</v>
      </c>
      <c r="T135" s="133"/>
      <c r="U135" s="133">
        <v>313.58999999999997</v>
      </c>
      <c r="V135" s="133"/>
      <c r="W135" s="133">
        <v>313.58999999999997</v>
      </c>
      <c r="X135" s="133"/>
      <c r="Y135" s="133">
        <f>474.46+316.31</f>
        <v>790.77</v>
      </c>
      <c r="Z135" s="86">
        <f t="shared" si="10"/>
        <v>4386.0700000000006</v>
      </c>
      <c r="AA135" s="85"/>
      <c r="AB135" s="82">
        <v>4112</v>
      </c>
      <c r="AC135" s="70"/>
    </row>
    <row r="136" spans="1:30" x14ac:dyDescent="0.2">
      <c r="A136" s="88" t="s">
        <v>305</v>
      </c>
      <c r="B136" s="87" t="s">
        <v>141</v>
      </c>
      <c r="C136" s="85">
        <v>1206.79</v>
      </c>
      <c r="D136" s="85"/>
      <c r="E136" s="85">
        <v>1206.79</v>
      </c>
      <c r="F136" s="85"/>
      <c r="G136" s="85">
        <v>1206.79</v>
      </c>
      <c r="H136" s="85"/>
      <c r="I136" s="85">
        <v>1206.79</v>
      </c>
      <c r="J136" s="85"/>
      <c r="K136" s="85">
        <v>1206.79</v>
      </c>
      <c r="L136" s="85"/>
      <c r="M136" s="85">
        <v>40.44</v>
      </c>
      <c r="N136" s="85"/>
      <c r="O136" s="85">
        <v>100.42</v>
      </c>
      <c r="P136" s="85"/>
      <c r="Q136" s="133">
        <v>100</v>
      </c>
      <c r="R136" s="133"/>
      <c r="S136" s="133">
        <v>100</v>
      </c>
      <c r="T136" s="133"/>
      <c r="U136" s="133">
        <v>100</v>
      </c>
      <c r="V136" s="133"/>
      <c r="W136" s="133">
        <v>100</v>
      </c>
      <c r="X136" s="133"/>
      <c r="Y136" s="133">
        <v>100</v>
      </c>
      <c r="Z136" s="86">
        <f t="shared" si="10"/>
        <v>6674.8099999999995</v>
      </c>
      <c r="AA136" s="85"/>
      <c r="AB136" s="82">
        <v>496</v>
      </c>
      <c r="AC136" s="70"/>
      <c r="AD136" s="68"/>
    </row>
    <row r="137" spans="1:30" x14ac:dyDescent="0.2">
      <c r="A137" s="88" t="s">
        <v>304</v>
      </c>
      <c r="B137" s="87" t="s">
        <v>140</v>
      </c>
      <c r="C137" s="85">
        <v>183.2</v>
      </c>
      <c r="D137" s="85"/>
      <c r="E137" s="85">
        <v>335.84</v>
      </c>
      <c r="F137" s="85"/>
      <c r="G137" s="85">
        <v>612.32000000000005</v>
      </c>
      <c r="H137" s="85"/>
      <c r="I137" s="85">
        <v>738.88</v>
      </c>
      <c r="J137" s="85"/>
      <c r="K137" s="85">
        <v>961.6</v>
      </c>
      <c r="L137" s="85"/>
      <c r="M137" s="85">
        <v>545.12</v>
      </c>
      <c r="N137" s="85"/>
      <c r="O137" s="85">
        <v>0</v>
      </c>
      <c r="P137" s="85"/>
      <c r="Q137" s="133"/>
      <c r="R137" s="133"/>
      <c r="S137" s="133"/>
      <c r="T137" s="133"/>
      <c r="U137" s="133"/>
      <c r="V137" s="133"/>
      <c r="W137" s="133"/>
      <c r="X137" s="133"/>
      <c r="Y137" s="133"/>
      <c r="Z137" s="86">
        <f t="shared" si="10"/>
        <v>3376.96</v>
      </c>
      <c r="AA137" s="85"/>
      <c r="AB137" s="82">
        <v>5000</v>
      </c>
      <c r="AC137" s="70"/>
    </row>
    <row r="138" spans="1:30" x14ac:dyDescent="0.2">
      <c r="A138" s="88" t="s">
        <v>303</v>
      </c>
      <c r="B138" s="87" t="s">
        <v>139</v>
      </c>
      <c r="C138" s="85">
        <v>16.21</v>
      </c>
      <c r="D138" s="85"/>
      <c r="E138" s="85">
        <v>17.45</v>
      </c>
      <c r="F138" s="85"/>
      <c r="G138" s="85">
        <v>48.46</v>
      </c>
      <c r="H138" s="85"/>
      <c r="I138" s="85">
        <v>65.38</v>
      </c>
      <c r="J138" s="85"/>
      <c r="K138" s="85">
        <v>99.36</v>
      </c>
      <c r="L138" s="85"/>
      <c r="M138" s="85">
        <v>46.32</v>
      </c>
      <c r="N138" s="85"/>
      <c r="O138" s="85">
        <v>0</v>
      </c>
      <c r="P138" s="85"/>
      <c r="Q138" s="133"/>
      <c r="R138" s="133"/>
      <c r="S138" s="133"/>
      <c r="T138" s="133"/>
      <c r="U138" s="133"/>
      <c r="V138" s="133"/>
      <c r="W138" s="133"/>
      <c r="X138" s="133"/>
      <c r="Y138" s="133"/>
      <c r="Z138" s="86">
        <f t="shared" si="10"/>
        <v>293.18</v>
      </c>
      <c r="AA138" s="85"/>
      <c r="AB138" s="82">
        <v>450</v>
      </c>
      <c r="AC138" s="70"/>
    </row>
    <row r="139" spans="1:30" x14ac:dyDescent="0.2">
      <c r="A139" s="88" t="s">
        <v>302</v>
      </c>
      <c r="B139" s="87" t="s">
        <v>136</v>
      </c>
      <c r="C139" s="85">
        <v>-48.94</v>
      </c>
      <c r="D139" s="85"/>
      <c r="E139" s="85">
        <v>-48.94</v>
      </c>
      <c r="F139" s="85"/>
      <c r="G139" s="85">
        <v>-48.94</v>
      </c>
      <c r="H139" s="85"/>
      <c r="I139" s="85">
        <v>-48.94</v>
      </c>
      <c r="J139" s="85"/>
      <c r="K139" s="85">
        <v>-48.94</v>
      </c>
      <c r="L139" s="85"/>
      <c r="M139" s="85">
        <v>1.22</v>
      </c>
      <c r="N139" s="85"/>
      <c r="O139" s="85">
        <v>3.05</v>
      </c>
      <c r="P139" s="85"/>
      <c r="Q139" s="133">
        <v>5</v>
      </c>
      <c r="R139" s="133"/>
      <c r="S139" s="133">
        <v>5</v>
      </c>
      <c r="T139" s="133"/>
      <c r="U139" s="133">
        <v>5</v>
      </c>
      <c r="V139" s="133"/>
      <c r="W139" s="133">
        <v>5</v>
      </c>
      <c r="X139" s="133"/>
      <c r="Y139" s="133">
        <v>5</v>
      </c>
      <c r="Z139" s="86">
        <f t="shared" si="10"/>
        <v>-215.42999999999998</v>
      </c>
      <c r="AA139" s="85"/>
      <c r="AB139" s="82">
        <v>15</v>
      </c>
      <c r="AC139" s="70"/>
      <c r="AD139" s="68"/>
    </row>
    <row r="140" spans="1:30" x14ac:dyDescent="0.2">
      <c r="A140" s="88" t="s">
        <v>301</v>
      </c>
      <c r="B140" s="87" t="s">
        <v>134</v>
      </c>
      <c r="C140" s="85">
        <v>2319.94</v>
      </c>
      <c r="D140" s="85"/>
      <c r="E140" s="85">
        <v>2956.65</v>
      </c>
      <c r="F140" s="85"/>
      <c r="G140" s="85">
        <v>2874.3</v>
      </c>
      <c r="H140" s="85"/>
      <c r="I140" s="85">
        <v>2466.91</v>
      </c>
      <c r="J140" s="85"/>
      <c r="K140" s="85">
        <v>3793.87</v>
      </c>
      <c r="L140" s="85"/>
      <c r="M140" s="85">
        <v>2646.19</v>
      </c>
      <c r="N140" s="85"/>
      <c r="O140" s="85">
        <v>2477.33</v>
      </c>
      <c r="P140" s="85"/>
      <c r="Q140" s="133">
        <v>2500</v>
      </c>
      <c r="R140" s="133"/>
      <c r="S140" s="133">
        <v>2500</v>
      </c>
      <c r="T140" s="133"/>
      <c r="U140" s="133">
        <v>2500</v>
      </c>
      <c r="V140" s="133"/>
      <c r="W140" s="133">
        <v>2500</v>
      </c>
      <c r="X140" s="133"/>
      <c r="Y140" s="133">
        <v>2500</v>
      </c>
      <c r="Z140" s="86">
        <f t="shared" si="10"/>
        <v>32035.189999999995</v>
      </c>
      <c r="AA140" s="85"/>
      <c r="AB140" s="82">
        <v>30000</v>
      </c>
      <c r="AC140" s="70"/>
    </row>
    <row r="141" spans="1:30" x14ac:dyDescent="0.2">
      <c r="A141" s="88" t="s">
        <v>300</v>
      </c>
      <c r="B141" s="87" t="s">
        <v>132</v>
      </c>
      <c r="C141" s="85">
        <v>600</v>
      </c>
      <c r="D141" s="85"/>
      <c r="E141" s="85"/>
      <c r="F141" s="85"/>
      <c r="G141" s="85">
        <v>815</v>
      </c>
      <c r="H141" s="85"/>
      <c r="I141" s="85">
        <v>600</v>
      </c>
      <c r="J141" s="85"/>
      <c r="K141" s="85"/>
      <c r="L141" s="85"/>
      <c r="M141" s="85">
        <v>659</v>
      </c>
      <c r="N141" s="85"/>
      <c r="O141" s="85">
        <v>0</v>
      </c>
      <c r="P141" s="85"/>
      <c r="Q141" s="133">
        <v>750</v>
      </c>
      <c r="R141" s="133"/>
      <c r="S141" s="133">
        <v>550</v>
      </c>
      <c r="T141" s="133"/>
      <c r="U141" s="133">
        <v>550</v>
      </c>
      <c r="V141" s="133"/>
      <c r="W141" s="133">
        <v>550</v>
      </c>
      <c r="X141" s="133"/>
      <c r="Y141" s="133">
        <v>550</v>
      </c>
      <c r="Z141" s="86">
        <f t="shared" si="10"/>
        <v>5624</v>
      </c>
      <c r="AA141" s="85"/>
      <c r="AB141" s="82">
        <v>2900</v>
      </c>
      <c r="AC141" s="70"/>
    </row>
    <row r="142" spans="1:30" x14ac:dyDescent="0.2">
      <c r="A142" s="88" t="s">
        <v>299</v>
      </c>
      <c r="B142" s="87" t="s">
        <v>209</v>
      </c>
      <c r="C142" s="85"/>
      <c r="D142" s="85"/>
      <c r="E142" s="85"/>
      <c r="F142" s="85"/>
      <c r="G142" s="85">
        <v>441</v>
      </c>
      <c r="H142" s="85"/>
      <c r="I142" s="85"/>
      <c r="J142" s="85"/>
      <c r="K142" s="85"/>
      <c r="L142" s="85"/>
      <c r="M142" s="85">
        <v>0</v>
      </c>
      <c r="N142" s="85"/>
      <c r="O142" s="85">
        <v>0</v>
      </c>
      <c r="P142" s="85"/>
      <c r="Q142" s="133">
        <v>250</v>
      </c>
      <c r="R142" s="133"/>
      <c r="S142" s="133"/>
      <c r="T142" s="133"/>
      <c r="U142" s="133"/>
      <c r="V142" s="133"/>
      <c r="W142" s="133"/>
      <c r="X142" s="133"/>
      <c r="Y142" s="133"/>
      <c r="Z142" s="86">
        <f t="shared" si="10"/>
        <v>691</v>
      </c>
      <c r="AA142" s="85"/>
      <c r="AB142" s="82">
        <v>500</v>
      </c>
      <c r="AC142" s="70"/>
    </row>
    <row r="143" spans="1:30" x14ac:dyDescent="0.2">
      <c r="A143" s="88" t="s">
        <v>298</v>
      </c>
      <c r="B143" s="87" t="s">
        <v>130</v>
      </c>
      <c r="C143" s="85">
        <v>99.52</v>
      </c>
      <c r="D143" s="85"/>
      <c r="E143" s="85">
        <v>543.65</v>
      </c>
      <c r="F143" s="85"/>
      <c r="G143" s="85">
        <v>1356</v>
      </c>
      <c r="H143" s="85"/>
      <c r="I143" s="85">
        <v>984.6</v>
      </c>
      <c r="J143" s="85"/>
      <c r="K143" s="85">
        <v>150</v>
      </c>
      <c r="L143" s="85"/>
      <c r="M143" s="85">
        <v>251.06</v>
      </c>
      <c r="N143" s="85"/>
      <c r="O143" s="85">
        <v>590</v>
      </c>
      <c r="P143" s="85"/>
      <c r="Q143" s="133">
        <v>210</v>
      </c>
      <c r="R143" s="133"/>
      <c r="S143" s="133">
        <v>210</v>
      </c>
      <c r="T143" s="133"/>
      <c r="U143" s="133">
        <v>210</v>
      </c>
      <c r="V143" s="133"/>
      <c r="W143" s="133">
        <v>210</v>
      </c>
      <c r="X143" s="133"/>
      <c r="Y143" s="133">
        <v>210</v>
      </c>
      <c r="Z143" s="86">
        <f t="shared" si="10"/>
        <v>5024.83</v>
      </c>
      <c r="AA143" s="85"/>
      <c r="AB143" s="82">
        <v>2500</v>
      </c>
      <c r="AC143" s="70"/>
    </row>
    <row r="144" spans="1:30" x14ac:dyDescent="0.2">
      <c r="A144" s="88" t="s">
        <v>297</v>
      </c>
      <c r="B144" s="87" t="s">
        <v>206</v>
      </c>
      <c r="C144" s="85">
        <v>415</v>
      </c>
      <c r="D144" s="85"/>
      <c r="E144" s="85">
        <v>415</v>
      </c>
      <c r="F144" s="85"/>
      <c r="G144" s="85">
        <v>580.58000000000004</v>
      </c>
      <c r="H144" s="85"/>
      <c r="I144" s="85">
        <v>415</v>
      </c>
      <c r="J144" s="85"/>
      <c r="K144" s="85">
        <v>622.5</v>
      </c>
      <c r="L144" s="85"/>
      <c r="M144" s="85">
        <v>415</v>
      </c>
      <c r="N144" s="85"/>
      <c r="O144" s="85">
        <v>415</v>
      </c>
      <c r="P144" s="85"/>
      <c r="Q144" s="133">
        <v>585</v>
      </c>
      <c r="R144" s="133"/>
      <c r="S144" s="133">
        <v>585</v>
      </c>
      <c r="T144" s="133"/>
      <c r="U144" s="133">
        <v>585</v>
      </c>
      <c r="V144" s="133"/>
      <c r="W144" s="133">
        <v>585</v>
      </c>
      <c r="X144" s="133"/>
      <c r="Y144" s="133">
        <v>585</v>
      </c>
      <c r="Z144" s="86">
        <f t="shared" si="10"/>
        <v>6203.08</v>
      </c>
      <c r="AA144" s="85"/>
      <c r="AB144" s="82">
        <v>7000</v>
      </c>
      <c r="AC144" s="70"/>
    </row>
    <row r="145" spans="1:29" x14ac:dyDescent="0.2">
      <c r="A145" s="88" t="s">
        <v>296</v>
      </c>
      <c r="B145" s="87" t="s">
        <v>295</v>
      </c>
      <c r="C145" s="85">
        <v>2116.65</v>
      </c>
      <c r="D145" s="85"/>
      <c r="E145" s="85">
        <v>798.36</v>
      </c>
      <c r="F145" s="85"/>
      <c r="G145" s="85">
        <v>413.06</v>
      </c>
      <c r="H145" s="85"/>
      <c r="I145" s="85">
        <v>1009.75</v>
      </c>
      <c r="J145" s="85"/>
      <c r="K145" s="85">
        <v>2219.75</v>
      </c>
      <c r="L145" s="85"/>
      <c r="M145" s="85">
        <v>121.37</v>
      </c>
      <c r="N145" s="85"/>
      <c r="O145" s="85">
        <v>2024.75</v>
      </c>
      <c r="P145" s="85"/>
      <c r="Q145" s="133">
        <v>1000</v>
      </c>
      <c r="R145" s="133"/>
      <c r="S145" s="133">
        <v>1000</v>
      </c>
      <c r="T145" s="133"/>
      <c r="U145" s="133">
        <v>1000</v>
      </c>
      <c r="V145" s="133"/>
      <c r="W145" s="133">
        <v>1000</v>
      </c>
      <c r="X145" s="133"/>
      <c r="Y145" s="133">
        <v>1000</v>
      </c>
      <c r="Z145" s="86">
        <f t="shared" si="10"/>
        <v>13703.689999999999</v>
      </c>
      <c r="AA145" s="85"/>
      <c r="AB145" s="82">
        <v>12000</v>
      </c>
      <c r="AC145" s="70"/>
    </row>
    <row r="146" spans="1:29" x14ac:dyDescent="0.2">
      <c r="A146" s="88" t="s">
        <v>294</v>
      </c>
      <c r="B146" s="87" t="s">
        <v>203</v>
      </c>
      <c r="C146" s="85">
        <v>5550.65</v>
      </c>
      <c r="D146" s="85"/>
      <c r="E146" s="85">
        <v>4051.9</v>
      </c>
      <c r="F146" s="85"/>
      <c r="G146" s="85">
        <v>3917.09</v>
      </c>
      <c r="H146" s="85"/>
      <c r="I146" s="85">
        <v>4021.9</v>
      </c>
      <c r="J146" s="85"/>
      <c r="K146" s="85">
        <v>4837.8999999999996</v>
      </c>
      <c r="L146" s="85"/>
      <c r="M146" s="85">
        <v>3651.15</v>
      </c>
      <c r="N146" s="85"/>
      <c r="O146" s="85">
        <v>5739.4</v>
      </c>
      <c r="P146" s="85"/>
      <c r="Q146" s="133">
        <v>12500</v>
      </c>
      <c r="R146" s="133"/>
      <c r="S146" s="133">
        <v>12500</v>
      </c>
      <c r="T146" s="133"/>
      <c r="U146" s="133">
        <v>12500</v>
      </c>
      <c r="V146" s="133"/>
      <c r="W146" s="133">
        <v>12500</v>
      </c>
      <c r="X146" s="133"/>
      <c r="Y146" s="133">
        <v>12500</v>
      </c>
      <c r="Z146" s="86">
        <f t="shared" si="10"/>
        <v>94269.99</v>
      </c>
      <c r="AA146" s="85"/>
      <c r="AB146" s="82">
        <v>150000</v>
      </c>
      <c r="AC146" s="70"/>
    </row>
    <row r="147" spans="1:29" x14ac:dyDescent="0.2">
      <c r="A147" s="88" t="s">
        <v>293</v>
      </c>
      <c r="B147" s="87" t="s">
        <v>122</v>
      </c>
      <c r="C147" s="85">
        <v>5517.76</v>
      </c>
      <c r="D147" s="85"/>
      <c r="E147" s="85">
        <v>7232.11</v>
      </c>
      <c r="F147" s="85"/>
      <c r="G147" s="85">
        <v>5517.76</v>
      </c>
      <c r="H147" s="85"/>
      <c r="I147" s="85">
        <v>5517.76</v>
      </c>
      <c r="J147" s="85"/>
      <c r="K147" s="85">
        <v>5517.76</v>
      </c>
      <c r="L147" s="85"/>
      <c r="M147" s="85">
        <v>5517.76</v>
      </c>
      <c r="N147" s="85"/>
      <c r="O147" s="85">
        <v>5517.76</v>
      </c>
      <c r="P147" s="85"/>
      <c r="Q147" s="133">
        <v>5833.33</v>
      </c>
      <c r="R147" s="133"/>
      <c r="S147" s="133">
        <v>5833.33</v>
      </c>
      <c r="T147" s="133"/>
      <c r="U147" s="133">
        <v>5833.33</v>
      </c>
      <c r="V147" s="133"/>
      <c r="W147" s="133">
        <v>5833.33</v>
      </c>
      <c r="X147" s="133"/>
      <c r="Y147" s="133">
        <v>5833.33</v>
      </c>
      <c r="Z147" s="86">
        <f t="shared" si="10"/>
        <v>69505.320000000007</v>
      </c>
      <c r="AA147" s="85"/>
      <c r="AB147" s="82">
        <v>70000</v>
      </c>
      <c r="AC147" s="70"/>
    </row>
    <row r="148" spans="1:29" x14ac:dyDescent="0.2">
      <c r="A148" s="88" t="s">
        <v>292</v>
      </c>
      <c r="B148" s="87" t="s">
        <v>120</v>
      </c>
      <c r="C148" s="85">
        <v>2563</v>
      </c>
      <c r="D148" s="85"/>
      <c r="E148" s="85">
        <v>179</v>
      </c>
      <c r="F148" s="85"/>
      <c r="G148" s="85"/>
      <c r="H148" s="85"/>
      <c r="I148" s="85"/>
      <c r="J148" s="85"/>
      <c r="K148" s="85"/>
      <c r="L148" s="85"/>
      <c r="M148" s="85">
        <v>0</v>
      </c>
      <c r="N148" s="85"/>
      <c r="O148" s="85">
        <v>0</v>
      </c>
      <c r="P148" s="85"/>
      <c r="Q148" s="133">
        <v>210</v>
      </c>
      <c r="R148" s="133"/>
      <c r="S148" s="133">
        <v>210</v>
      </c>
      <c r="T148" s="133"/>
      <c r="U148" s="133">
        <v>210</v>
      </c>
      <c r="V148" s="133"/>
      <c r="W148" s="133">
        <v>210</v>
      </c>
      <c r="X148" s="133"/>
      <c r="Y148" s="133">
        <v>210</v>
      </c>
      <c r="Z148" s="86">
        <f t="shared" si="10"/>
        <v>3792</v>
      </c>
      <c r="AA148" s="85"/>
      <c r="AB148" s="82">
        <v>2500</v>
      </c>
      <c r="AC148" s="70"/>
    </row>
    <row r="149" spans="1:29" x14ac:dyDescent="0.2">
      <c r="A149" s="88" t="s">
        <v>291</v>
      </c>
      <c r="B149" s="87" t="s">
        <v>118</v>
      </c>
      <c r="C149" s="85">
        <v>370</v>
      </c>
      <c r="D149" s="85"/>
      <c r="E149" s="85">
        <v>1341.62</v>
      </c>
      <c r="F149" s="85"/>
      <c r="G149" s="85">
        <v>173</v>
      </c>
      <c r="H149" s="85"/>
      <c r="I149" s="85"/>
      <c r="J149" s="85"/>
      <c r="K149" s="85">
        <v>659</v>
      </c>
      <c r="L149" s="85"/>
      <c r="M149" s="85">
        <v>605.98</v>
      </c>
      <c r="N149" s="85"/>
      <c r="O149" s="85">
        <v>0</v>
      </c>
      <c r="P149" s="85"/>
      <c r="Q149" s="133">
        <v>625</v>
      </c>
      <c r="R149" s="133"/>
      <c r="S149" s="133">
        <v>625</v>
      </c>
      <c r="T149" s="133"/>
      <c r="U149" s="133">
        <v>625</v>
      </c>
      <c r="V149" s="133"/>
      <c r="W149" s="133">
        <v>625</v>
      </c>
      <c r="X149" s="133"/>
      <c r="Y149" s="133">
        <v>625</v>
      </c>
      <c r="Z149" s="86">
        <f t="shared" si="10"/>
        <v>6274.6</v>
      </c>
      <c r="AA149" s="85"/>
      <c r="AB149" s="82">
        <v>7500</v>
      </c>
      <c r="AC149" s="70"/>
    </row>
    <row r="150" spans="1:29" x14ac:dyDescent="0.2">
      <c r="A150" s="88" t="s">
        <v>290</v>
      </c>
      <c r="B150" s="87" t="s">
        <v>116</v>
      </c>
      <c r="C150" s="85">
        <v>665.85</v>
      </c>
      <c r="D150" s="85"/>
      <c r="E150" s="85">
        <v>1218.07</v>
      </c>
      <c r="F150" s="85"/>
      <c r="G150" s="85">
        <v>883.1</v>
      </c>
      <c r="H150" s="85"/>
      <c r="I150" s="85">
        <v>370.77</v>
      </c>
      <c r="J150" s="85"/>
      <c r="K150" s="85">
        <v>2104.59</v>
      </c>
      <c r="L150" s="85"/>
      <c r="M150" s="85">
        <v>3083.93</v>
      </c>
      <c r="N150" s="85"/>
      <c r="O150" s="85">
        <v>267.02999999999997</v>
      </c>
      <c r="P150" s="85"/>
      <c r="Q150" s="133">
        <v>850</v>
      </c>
      <c r="R150" s="133"/>
      <c r="S150" s="133">
        <v>850</v>
      </c>
      <c r="T150" s="133"/>
      <c r="U150" s="133">
        <v>850</v>
      </c>
      <c r="V150" s="133"/>
      <c r="W150" s="133">
        <v>850</v>
      </c>
      <c r="X150" s="133"/>
      <c r="Y150" s="133">
        <v>850</v>
      </c>
      <c r="Z150" s="86">
        <f t="shared" si="10"/>
        <v>12843.34</v>
      </c>
      <c r="AA150" s="85"/>
      <c r="AB150" s="82">
        <v>10000</v>
      </c>
      <c r="AC150" s="70"/>
    </row>
    <row r="151" spans="1:29" x14ac:dyDescent="0.2">
      <c r="A151" s="88" t="s">
        <v>289</v>
      </c>
      <c r="B151" s="87" t="s">
        <v>114</v>
      </c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>
        <v>0</v>
      </c>
      <c r="N151" s="85"/>
      <c r="O151" s="85">
        <v>0</v>
      </c>
      <c r="P151" s="85"/>
      <c r="Q151" s="133"/>
      <c r="R151" s="133"/>
      <c r="S151" s="133"/>
      <c r="T151" s="133"/>
      <c r="U151" s="133"/>
      <c r="V151" s="133"/>
      <c r="W151" s="133"/>
      <c r="X151" s="133"/>
      <c r="Y151" s="133"/>
      <c r="Z151" s="86">
        <f t="shared" si="10"/>
        <v>0</v>
      </c>
      <c r="AA151" s="85"/>
      <c r="AB151" s="82">
        <v>2000</v>
      </c>
      <c r="AC151" s="70"/>
    </row>
    <row r="152" spans="1:29" x14ac:dyDescent="0.2">
      <c r="A152" s="88" t="s">
        <v>288</v>
      </c>
      <c r="B152" s="87" t="s">
        <v>112</v>
      </c>
      <c r="C152" s="85">
        <v>198.48</v>
      </c>
      <c r="D152" s="85"/>
      <c r="E152" s="85">
        <v>100</v>
      </c>
      <c r="F152" s="85"/>
      <c r="G152" s="85">
        <v>997.27</v>
      </c>
      <c r="H152" s="85"/>
      <c r="I152" s="85"/>
      <c r="J152" s="85"/>
      <c r="K152" s="85">
        <v>2</v>
      </c>
      <c r="L152" s="85"/>
      <c r="M152" s="85">
        <v>20.95</v>
      </c>
      <c r="N152" s="85"/>
      <c r="O152" s="85">
        <v>0</v>
      </c>
      <c r="P152" s="85"/>
      <c r="Q152" s="133">
        <v>425</v>
      </c>
      <c r="R152" s="133"/>
      <c r="S152" s="133">
        <v>425</v>
      </c>
      <c r="T152" s="133"/>
      <c r="U152" s="133">
        <v>425</v>
      </c>
      <c r="V152" s="133"/>
      <c r="W152" s="133">
        <v>425</v>
      </c>
      <c r="X152" s="133"/>
      <c r="Y152" s="133">
        <v>425</v>
      </c>
      <c r="Z152" s="86">
        <f t="shared" si="10"/>
        <v>3443.7</v>
      </c>
      <c r="AA152" s="85"/>
      <c r="AB152" s="82">
        <v>5000</v>
      </c>
      <c r="AC152" s="70"/>
    </row>
    <row r="153" spans="1:29" x14ac:dyDescent="0.2">
      <c r="A153" s="88">
        <v>6022050</v>
      </c>
      <c r="B153" s="87" t="s">
        <v>106</v>
      </c>
      <c r="C153" s="85">
        <v>35169.39</v>
      </c>
      <c r="D153" s="85"/>
      <c r="E153" s="85">
        <v>32968.589999999997</v>
      </c>
      <c r="F153" s="85"/>
      <c r="G153" s="85">
        <v>33719.120000000003</v>
      </c>
      <c r="H153" s="85"/>
      <c r="I153" s="85">
        <v>37740.870000000003</v>
      </c>
      <c r="J153" s="85"/>
      <c r="K153" s="85">
        <v>17859.2</v>
      </c>
      <c r="L153" s="85"/>
      <c r="M153" s="85">
        <v>14744.34</v>
      </c>
      <c r="N153" s="85"/>
      <c r="O153" s="85">
        <v>7835.08</v>
      </c>
      <c r="P153" s="85"/>
      <c r="Q153" s="133"/>
      <c r="R153" s="133"/>
      <c r="S153" s="133"/>
      <c r="T153" s="133"/>
      <c r="U153" s="133"/>
      <c r="V153" s="133"/>
      <c r="W153" s="133"/>
      <c r="X153" s="133"/>
      <c r="Y153" s="133"/>
      <c r="Z153" s="86">
        <f t="shared" si="10"/>
        <v>180036.59</v>
      </c>
      <c r="AA153" s="85"/>
      <c r="AB153" s="82"/>
      <c r="AC153" s="70"/>
    </row>
    <row r="154" spans="1:29" x14ac:dyDescent="0.2">
      <c r="A154" s="88"/>
      <c r="B154" s="87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133"/>
      <c r="R154" s="133"/>
      <c r="S154" s="133"/>
      <c r="T154" s="133"/>
      <c r="U154" s="133"/>
      <c r="V154" s="133"/>
      <c r="W154" s="133"/>
      <c r="X154" s="133"/>
      <c r="Y154" s="133"/>
      <c r="Z154" s="85"/>
      <c r="AA154" s="85"/>
      <c r="AB154" s="82"/>
      <c r="AC154" s="70"/>
    </row>
    <row r="155" spans="1:29" x14ac:dyDescent="0.2">
      <c r="A155" s="95"/>
      <c r="B155" s="94" t="s">
        <v>62</v>
      </c>
      <c r="C155" s="92">
        <f>SUM(C132:C153)</f>
        <v>53495.97</v>
      </c>
      <c r="D155" s="76"/>
      <c r="E155" s="92">
        <f>SUM(E132:E153)</f>
        <v>88967.109999999986</v>
      </c>
      <c r="F155" s="76"/>
      <c r="G155" s="92">
        <f>SUM(G132:G153)</f>
        <v>92612.33</v>
      </c>
      <c r="H155" s="76"/>
      <c r="I155" s="92">
        <f>SUM(I132:I153)</f>
        <v>95298.790000000008</v>
      </c>
      <c r="J155" s="76"/>
      <c r="K155" s="92">
        <f>SUM(K132:K153)</f>
        <v>95831.360000000001</v>
      </c>
      <c r="L155" s="76"/>
      <c r="M155" s="92">
        <f>SUM(M132:M153)</f>
        <v>71256.820000000007</v>
      </c>
      <c r="N155" s="76"/>
      <c r="O155" s="92">
        <f>SUM(O132:O153)</f>
        <v>63745.740000000005</v>
      </c>
      <c r="P155" s="92"/>
      <c r="Q155" s="140">
        <f>SUM(Q132:Q153)</f>
        <v>64869.431599999996</v>
      </c>
      <c r="R155" s="140"/>
      <c r="S155" s="140">
        <f>SUM(S132:S153)</f>
        <v>64419.431599999996</v>
      </c>
      <c r="T155" s="140"/>
      <c r="U155" s="140">
        <f>SUM(U132:U153)</f>
        <v>64419.431599999996</v>
      </c>
      <c r="V155" s="140"/>
      <c r="W155" s="140">
        <f>SUM(W132:W153)</f>
        <v>64419.431599999996</v>
      </c>
      <c r="X155" s="140"/>
      <c r="Y155" s="140">
        <f>SUM(Y132:Y153)</f>
        <v>112498.31359999999</v>
      </c>
      <c r="Z155" s="92">
        <f>SUM(Z132:Z153)</f>
        <v>931834.1599999998</v>
      </c>
      <c r="AA155" s="76"/>
      <c r="AB155" s="92">
        <f>SUM(AB132:AB153)</f>
        <v>796901</v>
      </c>
      <c r="AC155" s="93"/>
    </row>
    <row r="156" spans="1:29" x14ac:dyDescent="0.2">
      <c r="A156" s="95"/>
      <c r="B156" s="94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141"/>
      <c r="R156" s="141"/>
      <c r="S156" s="141"/>
      <c r="T156" s="141"/>
      <c r="U156" s="141"/>
      <c r="V156" s="141"/>
      <c r="W156" s="141"/>
      <c r="X156" s="141"/>
      <c r="Y156" s="141"/>
      <c r="Z156" s="76"/>
      <c r="AA156" s="76"/>
      <c r="AB156" s="96"/>
      <c r="AC156" s="97"/>
    </row>
    <row r="157" spans="1:29" x14ac:dyDescent="0.2">
      <c r="A157" s="88" t="s">
        <v>287</v>
      </c>
      <c r="B157" s="87" t="s">
        <v>147</v>
      </c>
      <c r="C157" s="85">
        <v>5972.88</v>
      </c>
      <c r="D157" s="85"/>
      <c r="E157" s="85">
        <v>6459.46</v>
      </c>
      <c r="F157" s="85"/>
      <c r="G157" s="85">
        <v>5716.59</v>
      </c>
      <c r="H157" s="85"/>
      <c r="I157" s="85">
        <v>6419.16</v>
      </c>
      <c r="J157" s="85"/>
      <c r="K157" s="85">
        <v>9773.69</v>
      </c>
      <c r="L157" s="85"/>
      <c r="M157" s="85">
        <v>7291.99</v>
      </c>
      <c r="N157" s="85"/>
      <c r="O157" s="85">
        <v>6042.44</v>
      </c>
      <c r="P157" s="85"/>
      <c r="Q157" s="133">
        <v>5685.92</v>
      </c>
      <c r="R157" s="133"/>
      <c r="S157" s="133">
        <v>5685.92</v>
      </c>
      <c r="T157" s="133"/>
      <c r="U157" s="133">
        <v>5685.92</v>
      </c>
      <c r="V157" s="133"/>
      <c r="W157" s="133">
        <v>5685.92</v>
      </c>
      <c r="X157" s="133"/>
      <c r="Y157" s="133">
        <f>5685.92+8528.88</f>
        <v>14214.8</v>
      </c>
      <c r="Z157" s="86">
        <f t="shared" ref="Z157:Z180" si="11">SUM(C157:Y157)</f>
        <v>84634.69</v>
      </c>
      <c r="AA157" s="85"/>
      <c r="AB157" s="82">
        <v>73917</v>
      </c>
      <c r="AC157" s="70"/>
    </row>
    <row r="158" spans="1:29" x14ac:dyDescent="0.2">
      <c r="A158" s="88" t="s">
        <v>286</v>
      </c>
      <c r="B158" s="87" t="s">
        <v>145</v>
      </c>
      <c r="C158" s="85">
        <v>449.05</v>
      </c>
      <c r="D158" s="85"/>
      <c r="E158" s="85">
        <v>520.12</v>
      </c>
      <c r="F158" s="85"/>
      <c r="G158" s="85">
        <v>488.13</v>
      </c>
      <c r="H158" s="85"/>
      <c r="I158" s="85">
        <v>470.42</v>
      </c>
      <c r="J158" s="85"/>
      <c r="K158" s="85">
        <v>740.65</v>
      </c>
      <c r="L158" s="85"/>
      <c r="M158" s="85">
        <v>526.9</v>
      </c>
      <c r="N158" s="85"/>
      <c r="O158" s="85">
        <v>458.81</v>
      </c>
      <c r="P158" s="85"/>
      <c r="Q158" s="133">
        <f>+Q157*0.08</f>
        <v>454.87360000000001</v>
      </c>
      <c r="R158" s="133"/>
      <c r="S158" s="133">
        <f>+S157*0.08</f>
        <v>454.87360000000001</v>
      </c>
      <c r="T158" s="133"/>
      <c r="U158" s="133">
        <f>+U157*0.08</f>
        <v>454.87360000000001</v>
      </c>
      <c r="V158" s="133"/>
      <c r="W158" s="133">
        <f>+W157*0.08</f>
        <v>454.87360000000001</v>
      </c>
      <c r="X158" s="133"/>
      <c r="Y158" s="133">
        <f>+Y157*0.08</f>
        <v>1137.184</v>
      </c>
      <c r="Z158" s="86">
        <f t="shared" si="11"/>
        <v>6610.7584000000006</v>
      </c>
      <c r="AA158" s="85"/>
      <c r="AB158" s="82">
        <f>539+5374</f>
        <v>5913</v>
      </c>
      <c r="AC158" s="70"/>
    </row>
    <row r="159" spans="1:29" x14ac:dyDescent="0.2">
      <c r="A159" s="88" t="s">
        <v>285</v>
      </c>
      <c r="B159" s="87" t="s">
        <v>143</v>
      </c>
      <c r="C159" s="85">
        <v>2735.58</v>
      </c>
      <c r="D159" s="85"/>
      <c r="E159" s="85">
        <v>2769.52</v>
      </c>
      <c r="F159" s="85"/>
      <c r="G159" s="85">
        <v>2806.7</v>
      </c>
      <c r="H159" s="85"/>
      <c r="I159" s="85">
        <v>3462.66</v>
      </c>
      <c r="J159" s="85"/>
      <c r="K159" s="85">
        <v>3462.62</v>
      </c>
      <c r="L159" s="85"/>
      <c r="M159" s="85">
        <v>3462.64</v>
      </c>
      <c r="N159" s="85"/>
      <c r="O159" s="85">
        <v>3462.64</v>
      </c>
      <c r="P159" s="85"/>
      <c r="Q159" s="133">
        <v>3462.64</v>
      </c>
      <c r="R159" s="133"/>
      <c r="S159" s="133">
        <v>3462.64</v>
      </c>
      <c r="T159" s="133"/>
      <c r="U159" s="133">
        <v>3462.64</v>
      </c>
      <c r="V159" s="133"/>
      <c r="W159" s="133">
        <v>3462.64</v>
      </c>
      <c r="X159" s="133"/>
      <c r="Y159" s="133">
        <v>3462.64</v>
      </c>
      <c r="Z159" s="86">
        <f t="shared" si="11"/>
        <v>39475.56</v>
      </c>
      <c r="AA159" s="85"/>
      <c r="AB159" s="82">
        <f>34404+1502+407+443</f>
        <v>36756</v>
      </c>
      <c r="AC159" s="70"/>
    </row>
    <row r="160" spans="1:29" x14ac:dyDescent="0.2">
      <c r="A160" s="88" t="s">
        <v>284</v>
      </c>
      <c r="B160" s="87" t="s">
        <v>165</v>
      </c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>
        <v>0</v>
      </c>
      <c r="N160" s="85"/>
      <c r="O160" s="85">
        <v>0</v>
      </c>
      <c r="P160" s="85"/>
      <c r="Q160" s="133"/>
      <c r="R160" s="133"/>
      <c r="S160" s="133"/>
      <c r="T160" s="133"/>
      <c r="U160" s="133"/>
      <c r="V160" s="133"/>
      <c r="W160" s="133"/>
      <c r="X160" s="133"/>
      <c r="Y160" s="133"/>
      <c r="Z160" s="86">
        <f t="shared" si="11"/>
        <v>0</v>
      </c>
      <c r="AA160" s="85"/>
      <c r="AB160" s="82"/>
      <c r="AC160" s="70"/>
    </row>
    <row r="161" spans="1:30" x14ac:dyDescent="0.2">
      <c r="A161" s="88" t="s">
        <v>283</v>
      </c>
      <c r="B161" s="87" t="s">
        <v>163</v>
      </c>
      <c r="C161" s="85">
        <v>284.5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>
        <v>0</v>
      </c>
      <c r="P161" s="85"/>
      <c r="Q161" s="133"/>
      <c r="R161" s="133"/>
      <c r="S161" s="133"/>
      <c r="T161" s="133"/>
      <c r="U161" s="133"/>
      <c r="V161" s="133"/>
      <c r="W161" s="133"/>
      <c r="X161" s="133"/>
      <c r="Y161" s="133"/>
      <c r="Z161" s="86">
        <f t="shared" si="11"/>
        <v>284.5</v>
      </c>
      <c r="AA161" s="85"/>
      <c r="AB161" s="82">
        <v>500</v>
      </c>
      <c r="AC161" s="70"/>
    </row>
    <row r="162" spans="1:30" x14ac:dyDescent="0.2">
      <c r="A162" s="88" t="s">
        <v>282</v>
      </c>
      <c r="B162" s="87" t="s">
        <v>141</v>
      </c>
      <c r="C162" s="85">
        <v>162.01</v>
      </c>
      <c r="D162" s="85"/>
      <c r="E162" s="85">
        <v>162.01</v>
      </c>
      <c r="F162" s="85"/>
      <c r="G162" s="85">
        <v>162.01</v>
      </c>
      <c r="H162" s="85"/>
      <c r="I162" s="85">
        <v>162.01</v>
      </c>
      <c r="J162" s="85"/>
      <c r="K162" s="85">
        <v>162.01</v>
      </c>
      <c r="L162" s="85"/>
      <c r="M162" s="85">
        <v>26.49</v>
      </c>
      <c r="N162" s="85"/>
      <c r="O162" s="85">
        <v>66.25</v>
      </c>
      <c r="P162" s="85"/>
      <c r="Q162" s="133">
        <v>65</v>
      </c>
      <c r="R162" s="133"/>
      <c r="S162" s="133">
        <v>65</v>
      </c>
      <c r="T162" s="133"/>
      <c r="U162" s="133">
        <v>65</v>
      </c>
      <c r="V162" s="133"/>
      <c r="W162" s="133">
        <v>65</v>
      </c>
      <c r="X162" s="133"/>
      <c r="Y162" s="133">
        <v>65</v>
      </c>
      <c r="Z162" s="86">
        <f t="shared" si="11"/>
        <v>1227.79</v>
      </c>
      <c r="AA162" s="85"/>
      <c r="AB162" s="82">
        <f>296+30</f>
        <v>326</v>
      </c>
      <c r="AC162" s="70"/>
      <c r="AD162" s="68"/>
    </row>
    <row r="163" spans="1:30" x14ac:dyDescent="0.2">
      <c r="A163" s="88" t="s">
        <v>281</v>
      </c>
      <c r="B163" s="87" t="s">
        <v>140</v>
      </c>
      <c r="C163" s="85"/>
      <c r="D163" s="85"/>
      <c r="E163" s="85">
        <v>3683.21</v>
      </c>
      <c r="F163" s="85"/>
      <c r="G163" s="85">
        <v>19675.48</v>
      </c>
      <c r="H163" s="85"/>
      <c r="I163" s="85">
        <v>21149.07</v>
      </c>
      <c r="J163" s="85"/>
      <c r="K163" s="85">
        <v>33084.36</v>
      </c>
      <c r="L163" s="85"/>
      <c r="M163" s="85">
        <v>13386.21</v>
      </c>
      <c r="N163" s="85"/>
      <c r="O163" s="85">
        <v>75.08</v>
      </c>
      <c r="P163" s="85"/>
      <c r="Q163" s="133"/>
      <c r="R163" s="133"/>
      <c r="S163" s="133"/>
      <c r="T163" s="133"/>
      <c r="U163" s="133"/>
      <c r="V163" s="133"/>
      <c r="W163" s="133"/>
      <c r="X163" s="133"/>
      <c r="Y163" s="133"/>
      <c r="Z163" s="86">
        <f t="shared" si="11"/>
        <v>91053.409999999989</v>
      </c>
      <c r="AA163" s="85"/>
      <c r="AB163" s="82">
        <v>83250</v>
      </c>
      <c r="AC163" s="70"/>
    </row>
    <row r="164" spans="1:30" x14ac:dyDescent="0.2">
      <c r="A164" s="88" t="s">
        <v>280</v>
      </c>
      <c r="B164" s="87" t="s">
        <v>139</v>
      </c>
      <c r="C164" s="85"/>
      <c r="D164" s="85"/>
      <c r="E164" s="85">
        <v>338.24</v>
      </c>
      <c r="F164" s="85"/>
      <c r="G164" s="85">
        <v>1748.93</v>
      </c>
      <c r="H164" s="85"/>
      <c r="I164" s="85">
        <v>1635.22</v>
      </c>
      <c r="J164" s="85"/>
      <c r="K164" s="85">
        <v>2495.7399999999998</v>
      </c>
      <c r="L164" s="85"/>
      <c r="M164" s="85">
        <v>585.66</v>
      </c>
      <c r="N164" s="85"/>
      <c r="O164" s="85">
        <v>5.75</v>
      </c>
      <c r="P164" s="85"/>
      <c r="Q164" s="133"/>
      <c r="R164" s="133"/>
      <c r="S164" s="133"/>
      <c r="T164" s="133"/>
      <c r="U164" s="133"/>
      <c r="V164" s="133"/>
      <c r="W164" s="133"/>
      <c r="X164" s="133"/>
      <c r="Y164" s="133"/>
      <c r="Z164" s="86">
        <f t="shared" si="11"/>
        <v>6809.54</v>
      </c>
      <c r="AA164" s="85"/>
      <c r="AB164" s="82">
        <v>8325</v>
      </c>
      <c r="AC164" s="70"/>
    </row>
    <row r="165" spans="1:30" x14ac:dyDescent="0.2">
      <c r="A165" s="88" t="s">
        <v>279</v>
      </c>
      <c r="B165" s="87" t="s">
        <v>137</v>
      </c>
      <c r="C165" s="85">
        <v>2874.49</v>
      </c>
      <c r="D165" s="85"/>
      <c r="E165" s="85">
        <v>84</v>
      </c>
      <c r="F165" s="85"/>
      <c r="G165" s="85"/>
      <c r="H165" s="85"/>
      <c r="I165" s="85"/>
      <c r="J165" s="85"/>
      <c r="K165" s="85"/>
      <c r="L165" s="85"/>
      <c r="M165" s="85">
        <v>0</v>
      </c>
      <c r="N165" s="85"/>
      <c r="O165" s="85">
        <v>0</v>
      </c>
      <c r="P165" s="85"/>
      <c r="Q165" s="133"/>
      <c r="R165" s="133"/>
      <c r="S165" s="133"/>
      <c r="T165" s="133"/>
      <c r="U165" s="133"/>
      <c r="V165" s="133"/>
      <c r="W165" s="133"/>
      <c r="X165" s="133"/>
      <c r="Y165" s="133"/>
      <c r="Z165" s="86">
        <f t="shared" si="11"/>
        <v>2958.49</v>
      </c>
      <c r="AA165" s="85"/>
      <c r="AB165" s="82">
        <v>3000</v>
      </c>
      <c r="AC165" s="70"/>
    </row>
    <row r="166" spans="1:30" x14ac:dyDescent="0.2">
      <c r="A166" s="88" t="s">
        <v>278</v>
      </c>
      <c r="B166" s="87" t="s">
        <v>136</v>
      </c>
      <c r="C166" s="85">
        <v>-492.7</v>
      </c>
      <c r="D166" s="85"/>
      <c r="E166" s="85">
        <v>-492.7</v>
      </c>
      <c r="F166" s="85"/>
      <c r="G166" s="85">
        <v>-492.7</v>
      </c>
      <c r="H166" s="85"/>
      <c r="I166" s="85">
        <v>-492.7</v>
      </c>
      <c r="J166" s="85"/>
      <c r="K166" s="85">
        <v>-492.7</v>
      </c>
      <c r="L166" s="85"/>
      <c r="M166" s="85">
        <v>29.86</v>
      </c>
      <c r="N166" s="85"/>
      <c r="O166" s="85">
        <v>74.53</v>
      </c>
      <c r="P166" s="85"/>
      <c r="Q166" s="133">
        <v>75</v>
      </c>
      <c r="R166" s="133"/>
      <c r="S166" s="133">
        <v>75</v>
      </c>
      <c r="T166" s="133"/>
      <c r="U166" s="133">
        <v>75</v>
      </c>
      <c r="V166" s="133"/>
      <c r="W166" s="133">
        <v>75</v>
      </c>
      <c r="X166" s="133"/>
      <c r="Y166" s="133">
        <v>75</v>
      </c>
      <c r="Z166" s="86">
        <f t="shared" si="11"/>
        <v>-1984.1099999999997</v>
      </c>
      <c r="AA166" s="85"/>
      <c r="AB166" s="82">
        <v>366.3</v>
      </c>
      <c r="AC166" s="70"/>
      <c r="AD166" s="68"/>
    </row>
    <row r="167" spans="1:30" x14ac:dyDescent="0.2">
      <c r="A167" s="88" t="s">
        <v>277</v>
      </c>
      <c r="B167" s="87" t="s">
        <v>134</v>
      </c>
      <c r="C167" s="85">
        <v>810.93</v>
      </c>
      <c r="D167" s="85"/>
      <c r="E167" s="85">
        <v>1067.77</v>
      </c>
      <c r="F167" s="85"/>
      <c r="G167" s="85">
        <v>447.54</v>
      </c>
      <c r="H167" s="85"/>
      <c r="I167" s="85">
        <v>1055.21</v>
      </c>
      <c r="J167" s="85"/>
      <c r="K167" s="85">
        <v>767.89</v>
      </c>
      <c r="L167" s="85"/>
      <c r="M167" s="85">
        <v>1091.73</v>
      </c>
      <c r="N167" s="85"/>
      <c r="O167" s="85">
        <v>429.55</v>
      </c>
      <c r="P167" s="85"/>
      <c r="Q167" s="133">
        <v>950</v>
      </c>
      <c r="R167" s="133"/>
      <c r="S167" s="133">
        <v>950</v>
      </c>
      <c r="T167" s="133"/>
      <c r="U167" s="133">
        <v>950</v>
      </c>
      <c r="V167" s="133"/>
      <c r="W167" s="133">
        <v>950</v>
      </c>
      <c r="X167" s="133"/>
      <c r="Y167" s="133">
        <v>950</v>
      </c>
      <c r="Z167" s="86">
        <f t="shared" si="11"/>
        <v>10420.619999999999</v>
      </c>
      <c r="AA167" s="85"/>
      <c r="AB167" s="82">
        <v>11130</v>
      </c>
      <c r="AC167" s="70"/>
    </row>
    <row r="168" spans="1:30" x14ac:dyDescent="0.2">
      <c r="A168" s="88" t="s">
        <v>276</v>
      </c>
      <c r="B168" s="87" t="s">
        <v>132</v>
      </c>
      <c r="C168" s="85">
        <v>300</v>
      </c>
      <c r="D168" s="85"/>
      <c r="E168" s="85"/>
      <c r="F168" s="85"/>
      <c r="G168" s="85">
        <v>415</v>
      </c>
      <c r="H168" s="85"/>
      <c r="I168" s="85">
        <v>300</v>
      </c>
      <c r="J168" s="85"/>
      <c r="K168" s="85"/>
      <c r="L168" s="85"/>
      <c r="M168" s="85">
        <v>513</v>
      </c>
      <c r="N168" s="85"/>
      <c r="O168" s="85">
        <v>0</v>
      </c>
      <c r="P168" s="85"/>
      <c r="Q168" s="133">
        <v>500</v>
      </c>
      <c r="R168" s="133"/>
      <c r="S168" s="133">
        <v>250</v>
      </c>
      <c r="T168" s="133"/>
      <c r="U168" s="133">
        <v>250</v>
      </c>
      <c r="V168" s="133"/>
      <c r="W168" s="133">
        <v>250</v>
      </c>
      <c r="X168" s="133"/>
      <c r="Y168" s="133">
        <v>250</v>
      </c>
      <c r="Z168" s="86">
        <f t="shared" si="11"/>
        <v>3028</v>
      </c>
      <c r="AA168" s="85"/>
      <c r="AB168" s="82">
        <v>2880</v>
      </c>
      <c r="AC168" s="70"/>
    </row>
    <row r="169" spans="1:30" x14ac:dyDescent="0.2">
      <c r="A169" s="88" t="s">
        <v>275</v>
      </c>
      <c r="B169" s="87" t="s">
        <v>209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>
        <v>0</v>
      </c>
      <c r="N169" s="85"/>
      <c r="O169" s="85">
        <v>0</v>
      </c>
      <c r="P169" s="85"/>
      <c r="Q169" s="133"/>
      <c r="R169" s="133"/>
      <c r="S169" s="133"/>
      <c r="T169" s="133"/>
      <c r="U169" s="133"/>
      <c r="V169" s="133"/>
      <c r="W169" s="133"/>
      <c r="X169" s="133"/>
      <c r="Y169" s="133"/>
      <c r="Z169" s="86">
        <f t="shared" si="11"/>
        <v>0</v>
      </c>
      <c r="AA169" s="85"/>
      <c r="AB169" s="82"/>
      <c r="AC169" s="70"/>
    </row>
    <row r="170" spans="1:30" x14ac:dyDescent="0.2">
      <c r="A170" s="88" t="s">
        <v>274</v>
      </c>
      <c r="B170" s="87" t="s">
        <v>130</v>
      </c>
      <c r="C170" s="85"/>
      <c r="D170" s="85"/>
      <c r="E170" s="85">
        <v>1658</v>
      </c>
      <c r="F170" s="85"/>
      <c r="G170" s="85"/>
      <c r="H170" s="85"/>
      <c r="I170" s="85"/>
      <c r="J170" s="85"/>
      <c r="K170" s="85"/>
      <c r="L170" s="85"/>
      <c r="M170" s="85">
        <v>0</v>
      </c>
      <c r="N170" s="85"/>
      <c r="O170" s="85">
        <v>6</v>
      </c>
      <c r="P170" s="85"/>
      <c r="Q170" s="133"/>
      <c r="R170" s="133"/>
      <c r="S170" s="133"/>
      <c r="T170" s="133"/>
      <c r="U170" s="133"/>
      <c r="V170" s="133"/>
      <c r="W170" s="133"/>
      <c r="X170" s="133"/>
      <c r="Y170" s="133"/>
      <c r="Z170" s="86">
        <f t="shared" si="11"/>
        <v>1664</v>
      </c>
      <c r="AA170" s="85"/>
      <c r="AB170" s="82"/>
      <c r="AC170" s="70"/>
    </row>
    <row r="171" spans="1:30" x14ac:dyDescent="0.2">
      <c r="A171" s="88" t="s">
        <v>273</v>
      </c>
      <c r="B171" s="87" t="s">
        <v>126</v>
      </c>
      <c r="C171" s="85"/>
      <c r="D171" s="85"/>
      <c r="E171" s="85"/>
      <c r="F171" s="85"/>
      <c r="G171" s="85"/>
      <c r="H171" s="85"/>
      <c r="I171" s="85"/>
      <c r="J171" s="85"/>
      <c r="K171" s="85">
        <v>26.53</v>
      </c>
      <c r="L171" s="85"/>
      <c r="M171" s="85">
        <v>19.59</v>
      </c>
      <c r="N171" s="85"/>
      <c r="O171" s="85">
        <v>0</v>
      </c>
      <c r="P171" s="85"/>
      <c r="Q171" s="133"/>
      <c r="R171" s="133"/>
      <c r="S171" s="133"/>
      <c r="T171" s="133"/>
      <c r="U171" s="133"/>
      <c r="V171" s="133"/>
      <c r="W171" s="133"/>
      <c r="X171" s="133"/>
      <c r="Y171" s="133"/>
      <c r="Z171" s="86">
        <f t="shared" si="11"/>
        <v>46.120000000000005</v>
      </c>
      <c r="AA171" s="85"/>
      <c r="AB171" s="82">
        <v>200</v>
      </c>
      <c r="AC171" s="70"/>
    </row>
    <row r="172" spans="1:30" x14ac:dyDescent="0.2">
      <c r="A172" s="88" t="s">
        <v>272</v>
      </c>
      <c r="B172" s="87" t="s">
        <v>124</v>
      </c>
      <c r="C172" s="85"/>
      <c r="D172" s="85"/>
      <c r="E172" s="85"/>
      <c r="F172" s="85"/>
      <c r="G172" s="85"/>
      <c r="H172" s="85"/>
      <c r="I172" s="85">
        <v>167.95</v>
      </c>
      <c r="J172" s="85"/>
      <c r="K172" s="85">
        <v>216.35</v>
      </c>
      <c r="L172" s="85"/>
      <c r="M172" s="85">
        <v>0</v>
      </c>
      <c r="N172" s="85"/>
      <c r="O172" s="85">
        <v>0</v>
      </c>
      <c r="P172" s="85"/>
      <c r="Q172" s="133"/>
      <c r="R172" s="133"/>
      <c r="S172" s="133"/>
      <c r="T172" s="133"/>
      <c r="U172" s="133"/>
      <c r="V172" s="133"/>
      <c r="W172" s="133"/>
      <c r="X172" s="133"/>
      <c r="Y172" s="133"/>
      <c r="Z172" s="86">
        <f t="shared" si="11"/>
        <v>384.29999999999995</v>
      </c>
      <c r="AA172" s="85"/>
      <c r="AB172" s="82">
        <v>2500</v>
      </c>
      <c r="AC172" s="70"/>
    </row>
    <row r="173" spans="1:30" x14ac:dyDescent="0.2">
      <c r="A173" s="88" t="s">
        <v>271</v>
      </c>
      <c r="B173" s="87" t="s">
        <v>203</v>
      </c>
      <c r="C173" s="85">
        <v>53.78</v>
      </c>
      <c r="D173" s="85"/>
      <c r="E173" s="85">
        <v>26.89</v>
      </c>
      <c r="F173" s="85"/>
      <c r="G173" s="85"/>
      <c r="H173" s="85"/>
      <c r="I173" s="85"/>
      <c r="J173" s="85"/>
      <c r="K173" s="85">
        <v>53.78</v>
      </c>
      <c r="L173" s="85"/>
      <c r="M173" s="85">
        <v>101.89</v>
      </c>
      <c r="N173" s="85"/>
      <c r="O173" s="85">
        <v>0</v>
      </c>
      <c r="P173" s="85"/>
      <c r="Q173" s="133">
        <v>50</v>
      </c>
      <c r="R173" s="133"/>
      <c r="S173" s="133">
        <v>50</v>
      </c>
      <c r="T173" s="133"/>
      <c r="U173" s="133">
        <v>50</v>
      </c>
      <c r="V173" s="133"/>
      <c r="W173" s="133">
        <v>50</v>
      </c>
      <c r="X173" s="133"/>
      <c r="Y173" s="133">
        <v>50</v>
      </c>
      <c r="Z173" s="86">
        <f t="shared" si="11"/>
        <v>486.34</v>
      </c>
      <c r="AA173" s="85"/>
      <c r="AB173" s="82">
        <v>500</v>
      </c>
      <c r="AC173" s="70"/>
    </row>
    <row r="174" spans="1:30" x14ac:dyDescent="0.2">
      <c r="A174" s="88" t="s">
        <v>270</v>
      </c>
      <c r="B174" s="87" t="s">
        <v>120</v>
      </c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>
        <v>0</v>
      </c>
      <c r="N174" s="85"/>
      <c r="O174" s="85">
        <v>0</v>
      </c>
      <c r="P174" s="85"/>
      <c r="Q174" s="133"/>
      <c r="R174" s="133"/>
      <c r="S174" s="133"/>
      <c r="T174" s="133"/>
      <c r="U174" s="133"/>
      <c r="V174" s="133"/>
      <c r="W174" s="133"/>
      <c r="X174" s="133"/>
      <c r="Y174" s="133"/>
      <c r="Z174" s="86">
        <f t="shared" si="11"/>
        <v>0</v>
      </c>
      <c r="AA174" s="85"/>
      <c r="AB174" s="82"/>
      <c r="AC174" s="70"/>
    </row>
    <row r="175" spans="1:30" x14ac:dyDescent="0.2">
      <c r="A175" s="88" t="s">
        <v>269</v>
      </c>
      <c r="B175" s="87" t="s">
        <v>118</v>
      </c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>
        <v>0</v>
      </c>
      <c r="N175" s="85"/>
      <c r="O175" s="85">
        <v>0</v>
      </c>
      <c r="P175" s="85"/>
      <c r="Q175" s="133"/>
      <c r="R175" s="133"/>
      <c r="S175" s="133"/>
      <c r="T175" s="133"/>
      <c r="U175" s="133"/>
      <c r="V175" s="133"/>
      <c r="W175" s="133"/>
      <c r="X175" s="133"/>
      <c r="Y175" s="133"/>
      <c r="Z175" s="86">
        <f t="shared" si="11"/>
        <v>0</v>
      </c>
      <c r="AA175" s="85"/>
      <c r="AB175" s="82">
        <v>1000</v>
      </c>
      <c r="AC175" s="70"/>
    </row>
    <row r="176" spans="1:30" x14ac:dyDescent="0.2">
      <c r="A176" s="88" t="s">
        <v>268</v>
      </c>
      <c r="B176" s="87" t="s">
        <v>116</v>
      </c>
      <c r="C176" s="85">
        <v>588.28</v>
      </c>
      <c r="D176" s="85"/>
      <c r="E176" s="85">
        <v>320.19</v>
      </c>
      <c r="F176" s="85"/>
      <c r="G176" s="85">
        <v>109.37</v>
      </c>
      <c r="H176" s="85"/>
      <c r="I176" s="85">
        <v>24.9</v>
      </c>
      <c r="J176" s="85"/>
      <c r="K176" s="85">
        <v>250.65</v>
      </c>
      <c r="L176" s="85"/>
      <c r="M176" s="85">
        <v>174.89</v>
      </c>
      <c r="N176" s="85"/>
      <c r="O176" s="85">
        <v>2</v>
      </c>
      <c r="P176" s="85"/>
      <c r="Q176" s="133">
        <v>125</v>
      </c>
      <c r="R176" s="133"/>
      <c r="S176" s="133">
        <v>125</v>
      </c>
      <c r="T176" s="133"/>
      <c r="U176" s="133">
        <v>150</v>
      </c>
      <c r="V176" s="133"/>
      <c r="W176" s="133">
        <v>150</v>
      </c>
      <c r="X176" s="133"/>
      <c r="Y176" s="133">
        <v>150</v>
      </c>
      <c r="Z176" s="86">
        <f t="shared" si="11"/>
        <v>2170.2800000000002</v>
      </c>
      <c r="AA176" s="85"/>
      <c r="AB176" s="82">
        <v>7000</v>
      </c>
      <c r="AC176" s="70"/>
    </row>
    <row r="177" spans="1:30" x14ac:dyDescent="0.2">
      <c r="A177" s="88" t="s">
        <v>267</v>
      </c>
      <c r="B177" s="87" t="s">
        <v>112</v>
      </c>
      <c r="C177" s="85">
        <v>14.99</v>
      </c>
      <c r="D177" s="85"/>
      <c r="E177" s="85"/>
      <c r="F177" s="85"/>
      <c r="G177" s="85"/>
      <c r="H177" s="85"/>
      <c r="I177" s="85">
        <v>29.95</v>
      </c>
      <c r="J177" s="85"/>
      <c r="K177" s="85">
        <v>217.11</v>
      </c>
      <c r="L177" s="85"/>
      <c r="M177" s="85">
        <v>185.84</v>
      </c>
      <c r="N177" s="85"/>
      <c r="O177" s="85">
        <v>0</v>
      </c>
      <c r="P177" s="85"/>
      <c r="Q177" s="133"/>
      <c r="R177" s="133"/>
      <c r="S177" s="133"/>
      <c r="T177" s="133"/>
      <c r="U177" s="133"/>
      <c r="V177" s="133"/>
      <c r="W177" s="133"/>
      <c r="X177" s="133"/>
      <c r="Y177" s="133"/>
      <c r="Z177" s="86">
        <f t="shared" si="11"/>
        <v>447.89</v>
      </c>
      <c r="AA177" s="85"/>
      <c r="AB177" s="82">
        <v>1500</v>
      </c>
      <c r="AC177" s="70"/>
    </row>
    <row r="178" spans="1:30" x14ac:dyDescent="0.2">
      <c r="A178" s="88" t="s">
        <v>266</v>
      </c>
      <c r="B178" s="87" t="s">
        <v>108</v>
      </c>
      <c r="C178" s="85">
        <v>350</v>
      </c>
      <c r="D178" s="85"/>
      <c r="E178" s="85">
        <v>60</v>
      </c>
      <c r="F178" s="85"/>
      <c r="G178" s="85">
        <v>233</v>
      </c>
      <c r="H178" s="85"/>
      <c r="I178" s="85">
        <v>40</v>
      </c>
      <c r="J178" s="85"/>
      <c r="K178" s="85"/>
      <c r="L178" s="85"/>
      <c r="M178" s="85">
        <v>20</v>
      </c>
      <c r="N178" s="85"/>
      <c r="O178" s="85">
        <v>0</v>
      </c>
      <c r="P178" s="85"/>
      <c r="Q178" s="133">
        <v>0</v>
      </c>
      <c r="R178" s="133"/>
      <c r="S178" s="133">
        <v>0</v>
      </c>
      <c r="T178" s="133"/>
      <c r="U178" s="133">
        <v>150</v>
      </c>
      <c r="V178" s="133"/>
      <c r="W178" s="133">
        <v>150</v>
      </c>
      <c r="X178" s="133"/>
      <c r="Y178" s="133">
        <v>150</v>
      </c>
      <c r="Z178" s="86">
        <f t="shared" si="11"/>
        <v>1153</v>
      </c>
      <c r="AA178" s="85"/>
      <c r="AB178" s="82">
        <v>1500</v>
      </c>
      <c r="AC178" s="70"/>
    </row>
    <row r="179" spans="1:30" x14ac:dyDescent="0.2">
      <c r="A179" s="88">
        <v>6052000</v>
      </c>
      <c r="B179" s="87" t="s">
        <v>107</v>
      </c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>
        <v>0</v>
      </c>
      <c r="N179" s="85"/>
      <c r="O179" s="85"/>
      <c r="P179" s="85"/>
      <c r="Q179" s="133"/>
      <c r="R179" s="133"/>
      <c r="S179" s="133"/>
      <c r="T179" s="133"/>
      <c r="U179" s="133"/>
      <c r="V179" s="133"/>
      <c r="W179" s="133"/>
      <c r="X179" s="133"/>
      <c r="Y179" s="133"/>
      <c r="Z179" s="86">
        <f t="shared" si="11"/>
        <v>0</v>
      </c>
      <c r="AA179" s="85"/>
      <c r="AB179" s="82"/>
      <c r="AC179" s="70"/>
    </row>
    <row r="180" spans="1:30" x14ac:dyDescent="0.2">
      <c r="A180" s="88">
        <v>6052050</v>
      </c>
      <c r="B180" s="87" t="s">
        <v>106</v>
      </c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>
        <v>0</v>
      </c>
      <c r="N180" s="85"/>
      <c r="O180" s="85"/>
      <c r="P180" s="85"/>
      <c r="Q180" s="133"/>
      <c r="R180" s="133"/>
      <c r="S180" s="133"/>
      <c r="T180" s="133"/>
      <c r="U180" s="133"/>
      <c r="V180" s="133"/>
      <c r="W180" s="133"/>
      <c r="X180" s="133"/>
      <c r="Y180" s="133"/>
      <c r="Z180" s="86">
        <f t="shared" si="11"/>
        <v>0</v>
      </c>
      <c r="AA180" s="85"/>
      <c r="AB180" s="82"/>
      <c r="AC180" s="70"/>
    </row>
    <row r="181" spans="1:30" x14ac:dyDescent="0.2">
      <c r="A181" s="88"/>
      <c r="B181" s="87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133"/>
      <c r="R181" s="133"/>
      <c r="S181" s="133"/>
      <c r="T181" s="133"/>
      <c r="U181" s="133"/>
      <c r="V181" s="133"/>
      <c r="W181" s="133"/>
      <c r="X181" s="133"/>
      <c r="Y181" s="133"/>
      <c r="Z181" s="85"/>
      <c r="AA181" s="85"/>
      <c r="AB181" s="82"/>
      <c r="AC181" s="70"/>
    </row>
    <row r="182" spans="1:30" x14ac:dyDescent="0.2">
      <c r="A182" s="95"/>
      <c r="B182" s="94" t="s">
        <v>265</v>
      </c>
      <c r="C182" s="92">
        <f>SUM(C157:C179)</f>
        <v>14103.79</v>
      </c>
      <c r="D182" s="76"/>
      <c r="E182" s="92">
        <f>SUM(E157:E179)</f>
        <v>16656.71</v>
      </c>
      <c r="F182" s="76"/>
      <c r="G182" s="92">
        <f>SUM(G157:G179)</f>
        <v>31310.05</v>
      </c>
      <c r="H182" s="76"/>
      <c r="I182" s="92">
        <f>SUM(I157:I179)</f>
        <v>34423.85</v>
      </c>
      <c r="J182" s="76"/>
      <c r="K182" s="92">
        <f>SUM(K157:K179)</f>
        <v>50758.68</v>
      </c>
      <c r="L182" s="76"/>
      <c r="M182" s="92">
        <f>SUM(M157:M180)</f>
        <v>27416.689999999995</v>
      </c>
      <c r="N182" s="76"/>
      <c r="O182" s="92">
        <f>SUM(O157:O180)</f>
        <v>10623.05</v>
      </c>
      <c r="P182" s="92"/>
      <c r="Q182" s="140">
        <f>SUM(Q157:Q180)</f>
        <v>11368.4336</v>
      </c>
      <c r="R182" s="140"/>
      <c r="S182" s="140">
        <f>SUM(S157:S180)</f>
        <v>11118.4336</v>
      </c>
      <c r="T182" s="140"/>
      <c r="U182" s="140">
        <f>SUM(U157:U180)</f>
        <v>11293.4336</v>
      </c>
      <c r="V182" s="140"/>
      <c r="W182" s="140">
        <f>SUM(W157:W180)</f>
        <v>11293.4336</v>
      </c>
      <c r="X182" s="140"/>
      <c r="Y182" s="140">
        <f>SUM(Y157:Y180)</f>
        <v>20504.624</v>
      </c>
      <c r="Z182" s="92">
        <f>SUM(Z157:Z180)</f>
        <v>250871.1784</v>
      </c>
      <c r="AA182" s="76"/>
      <c r="AB182" s="92">
        <f>SUM(AB157:AB179)</f>
        <v>240563.3</v>
      </c>
      <c r="AC182" s="93"/>
    </row>
    <row r="183" spans="1:30" x14ac:dyDescent="0.2">
      <c r="A183" s="95"/>
      <c r="B183" s="94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141"/>
      <c r="R183" s="141"/>
      <c r="S183" s="141"/>
      <c r="T183" s="141"/>
      <c r="U183" s="141"/>
      <c r="V183" s="141"/>
      <c r="W183" s="141"/>
      <c r="X183" s="141"/>
      <c r="Y183" s="141"/>
      <c r="Z183" s="76"/>
      <c r="AA183" s="76"/>
      <c r="AB183" s="96"/>
      <c r="AC183" s="97"/>
    </row>
    <row r="184" spans="1:30" x14ac:dyDescent="0.2">
      <c r="A184" s="88" t="s">
        <v>264</v>
      </c>
      <c r="B184" s="87" t="s">
        <v>147</v>
      </c>
      <c r="C184" s="85">
        <v>7813.28</v>
      </c>
      <c r="D184" s="85"/>
      <c r="E184" s="85">
        <v>7409.51</v>
      </c>
      <c r="F184" s="85"/>
      <c r="G184" s="85">
        <v>8547.4500000000007</v>
      </c>
      <c r="H184" s="85"/>
      <c r="I184" s="85">
        <v>8730.84</v>
      </c>
      <c r="J184" s="85"/>
      <c r="K184" s="85">
        <v>11737.85</v>
      </c>
      <c r="L184" s="85"/>
      <c r="M184" s="85">
        <v>8892.14</v>
      </c>
      <c r="N184" s="85"/>
      <c r="O184" s="85">
        <v>6891.13</v>
      </c>
      <c r="P184" s="85"/>
      <c r="Q184" s="133">
        <v>8506.85</v>
      </c>
      <c r="R184" s="133"/>
      <c r="S184" s="133">
        <v>8506.85</v>
      </c>
      <c r="T184" s="133"/>
      <c r="U184" s="133">
        <v>8506.85</v>
      </c>
      <c r="V184" s="133"/>
      <c r="W184" s="133">
        <v>8506.85</v>
      </c>
      <c r="X184" s="133"/>
      <c r="Y184" s="133">
        <f>12760.25+8506.85</f>
        <v>21267.1</v>
      </c>
      <c r="Z184" s="86">
        <f t="shared" ref="Z184:Z196" si="12">SUM(C184:Y184)</f>
        <v>115316.70000000001</v>
      </c>
      <c r="AA184" s="85"/>
      <c r="AB184" s="82">
        <v>110589</v>
      </c>
      <c r="AC184" s="70"/>
    </row>
    <row r="185" spans="1:30" x14ac:dyDescent="0.2">
      <c r="A185" s="88" t="s">
        <v>263</v>
      </c>
      <c r="B185" s="87" t="s">
        <v>145</v>
      </c>
      <c r="C185" s="85">
        <v>532.96</v>
      </c>
      <c r="D185" s="85"/>
      <c r="E185" s="85">
        <v>545.96</v>
      </c>
      <c r="F185" s="85"/>
      <c r="G185" s="85">
        <v>633.20000000000005</v>
      </c>
      <c r="H185" s="85"/>
      <c r="I185" s="85">
        <v>641.09</v>
      </c>
      <c r="J185" s="85"/>
      <c r="K185" s="85">
        <v>881.6</v>
      </c>
      <c r="L185" s="85"/>
      <c r="M185" s="85">
        <v>646.69000000000005</v>
      </c>
      <c r="N185" s="85"/>
      <c r="O185" s="85">
        <v>637.13</v>
      </c>
      <c r="P185" s="85"/>
      <c r="Q185" s="133">
        <f>+Q184*0.08</f>
        <v>680.548</v>
      </c>
      <c r="R185" s="133"/>
      <c r="S185" s="133">
        <f>+S184*0.08</f>
        <v>680.548</v>
      </c>
      <c r="T185" s="133"/>
      <c r="U185" s="133">
        <f>+U184*0.08</f>
        <v>680.548</v>
      </c>
      <c r="V185" s="133"/>
      <c r="W185" s="133">
        <f>+W184*0.08</f>
        <v>680.548</v>
      </c>
      <c r="X185" s="133"/>
      <c r="Y185" s="133">
        <f>+Y184*0.08</f>
        <v>1701.3679999999999</v>
      </c>
      <c r="Z185" s="86">
        <f t="shared" si="12"/>
        <v>8942.1899999999987</v>
      </c>
      <c r="AA185" s="85"/>
      <c r="AB185" s="82">
        <v>8847</v>
      </c>
      <c r="AC185" s="70"/>
    </row>
    <row r="186" spans="1:30" x14ac:dyDescent="0.2">
      <c r="A186" s="88" t="s">
        <v>262</v>
      </c>
      <c r="B186" s="87" t="s">
        <v>143</v>
      </c>
      <c r="C186" s="85">
        <v>1192.1300000000001</v>
      </c>
      <c r="D186" s="85"/>
      <c r="E186" s="85">
        <v>1212.77</v>
      </c>
      <c r="F186" s="85"/>
      <c r="G186" s="85">
        <v>1227.1300000000001</v>
      </c>
      <c r="H186" s="85"/>
      <c r="I186" s="85">
        <v>1479.95</v>
      </c>
      <c r="J186" s="85"/>
      <c r="K186" s="85">
        <v>1479.95</v>
      </c>
      <c r="L186" s="85"/>
      <c r="M186" s="85">
        <v>1479.95</v>
      </c>
      <c r="N186" s="85"/>
      <c r="O186" s="85">
        <v>1479.95</v>
      </c>
      <c r="P186" s="85"/>
      <c r="Q186" s="133">
        <v>1479.95</v>
      </c>
      <c r="R186" s="133"/>
      <c r="S186" s="133">
        <v>1479.95</v>
      </c>
      <c r="T186" s="133"/>
      <c r="U186" s="133">
        <v>1479.95</v>
      </c>
      <c r="V186" s="133"/>
      <c r="W186" s="133">
        <v>1479.95</v>
      </c>
      <c r="X186" s="133"/>
      <c r="Y186" s="133">
        <v>1479.95</v>
      </c>
      <c r="Z186" s="86">
        <f t="shared" si="12"/>
        <v>16951.580000000002</v>
      </c>
      <c r="AA186" s="85"/>
      <c r="AB186" s="82">
        <v>15891</v>
      </c>
      <c r="AC186" s="70"/>
    </row>
    <row r="187" spans="1:30" x14ac:dyDescent="0.2">
      <c r="A187" s="88" t="s">
        <v>261</v>
      </c>
      <c r="B187" s="87" t="s">
        <v>165</v>
      </c>
      <c r="C187" s="85">
        <v>147.36000000000001</v>
      </c>
      <c r="D187" s="85"/>
      <c r="E187" s="85">
        <v>150</v>
      </c>
      <c r="F187" s="85"/>
      <c r="G187" s="85">
        <v>150</v>
      </c>
      <c r="H187" s="85"/>
      <c r="I187" s="85">
        <v>150</v>
      </c>
      <c r="J187" s="85"/>
      <c r="K187" s="85">
        <v>225</v>
      </c>
      <c r="L187" s="85"/>
      <c r="M187" s="85">
        <v>150</v>
      </c>
      <c r="N187" s="85"/>
      <c r="O187" s="85">
        <v>150</v>
      </c>
      <c r="P187" s="85"/>
      <c r="Q187" s="133">
        <v>150</v>
      </c>
      <c r="R187" s="133"/>
      <c r="S187" s="133">
        <v>150</v>
      </c>
      <c r="T187" s="133"/>
      <c r="U187" s="133">
        <v>150</v>
      </c>
      <c r="V187" s="133"/>
      <c r="W187" s="133">
        <v>150</v>
      </c>
      <c r="X187" s="133"/>
      <c r="Y187" s="133">
        <v>150</v>
      </c>
      <c r="Z187" s="86">
        <f t="shared" si="12"/>
        <v>1872.3600000000001</v>
      </c>
      <c r="AA187" s="85"/>
      <c r="AB187" s="82">
        <v>1950</v>
      </c>
      <c r="AC187" s="70"/>
    </row>
    <row r="188" spans="1:30" x14ac:dyDescent="0.2">
      <c r="A188" s="88" t="s">
        <v>260</v>
      </c>
      <c r="B188" s="87" t="s">
        <v>163</v>
      </c>
      <c r="C188" s="85">
        <v>134.38999999999999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>
        <v>0</v>
      </c>
      <c r="N188" s="85"/>
      <c r="O188" s="85">
        <v>0</v>
      </c>
      <c r="P188" s="85"/>
      <c r="Q188" s="133"/>
      <c r="R188" s="133"/>
      <c r="S188" s="133"/>
      <c r="T188" s="133"/>
      <c r="U188" s="133"/>
      <c r="V188" s="133"/>
      <c r="W188" s="133"/>
      <c r="X188" s="133"/>
      <c r="Y188" s="133"/>
      <c r="Z188" s="86">
        <f t="shared" si="12"/>
        <v>134.38999999999999</v>
      </c>
      <c r="AA188" s="85"/>
      <c r="AB188" s="82">
        <v>200</v>
      </c>
      <c r="AC188" s="70"/>
    </row>
    <row r="189" spans="1:30" x14ac:dyDescent="0.2">
      <c r="A189" s="88" t="s">
        <v>259</v>
      </c>
      <c r="B189" s="87" t="s">
        <v>141</v>
      </c>
      <c r="C189" s="85">
        <v>311.11</v>
      </c>
      <c r="D189" s="85"/>
      <c r="E189" s="85">
        <v>311.11</v>
      </c>
      <c r="F189" s="85"/>
      <c r="G189" s="85">
        <v>311.11</v>
      </c>
      <c r="H189" s="85"/>
      <c r="I189" s="85">
        <v>311.11</v>
      </c>
      <c r="J189" s="85"/>
      <c r="K189" s="85">
        <v>311.11</v>
      </c>
      <c r="L189" s="85"/>
      <c r="M189" s="85">
        <v>39.700000000000003</v>
      </c>
      <c r="N189" s="85"/>
      <c r="O189" s="85">
        <v>112.39</v>
      </c>
      <c r="P189" s="85"/>
      <c r="Q189" s="133">
        <v>125</v>
      </c>
      <c r="R189" s="133"/>
      <c r="S189" s="133">
        <v>125</v>
      </c>
      <c r="T189" s="133"/>
      <c r="U189" s="133">
        <v>125</v>
      </c>
      <c r="V189" s="133"/>
      <c r="W189" s="133">
        <v>125</v>
      </c>
      <c r="X189" s="133"/>
      <c r="Y189" s="133">
        <v>125</v>
      </c>
      <c r="Z189" s="86">
        <f t="shared" si="12"/>
        <v>2332.6400000000003</v>
      </c>
      <c r="AA189" s="85"/>
      <c r="AB189" s="82">
        <v>487</v>
      </c>
      <c r="AC189" s="70"/>
      <c r="AD189" s="68"/>
    </row>
    <row r="190" spans="1:30" x14ac:dyDescent="0.2">
      <c r="A190" s="88" t="s">
        <v>258</v>
      </c>
      <c r="B190" s="87" t="s">
        <v>257</v>
      </c>
      <c r="C190" s="85">
        <v>136.19999999999999</v>
      </c>
      <c r="D190" s="85"/>
      <c r="E190" s="85">
        <v>136.19999999999999</v>
      </c>
      <c r="F190" s="85"/>
      <c r="G190" s="85">
        <v>189.77</v>
      </c>
      <c r="H190" s="85"/>
      <c r="I190" s="85">
        <v>176.68</v>
      </c>
      <c r="J190" s="85"/>
      <c r="K190" s="85"/>
      <c r="L190" s="85"/>
      <c r="M190" s="85">
        <v>353.48</v>
      </c>
      <c r="N190" s="85"/>
      <c r="O190" s="85">
        <v>176.84</v>
      </c>
      <c r="P190" s="85"/>
      <c r="Q190" s="133">
        <v>175</v>
      </c>
      <c r="R190" s="133"/>
      <c r="S190" s="133">
        <v>175</v>
      </c>
      <c r="T190" s="133"/>
      <c r="U190" s="133">
        <v>175</v>
      </c>
      <c r="V190" s="133"/>
      <c r="W190" s="133">
        <v>175</v>
      </c>
      <c r="X190" s="133"/>
      <c r="Y190" s="133">
        <v>175</v>
      </c>
      <c r="Z190" s="86">
        <f t="shared" si="12"/>
        <v>2044.1699999999998</v>
      </c>
      <c r="AA190" s="85"/>
      <c r="AB190" s="82">
        <v>1000</v>
      </c>
      <c r="AC190" s="70"/>
    </row>
    <row r="191" spans="1:30" x14ac:dyDescent="0.2">
      <c r="A191" s="88" t="s">
        <v>256</v>
      </c>
      <c r="B191" s="87" t="s">
        <v>126</v>
      </c>
      <c r="C191" s="85">
        <v>325.82</v>
      </c>
      <c r="D191" s="85"/>
      <c r="E191" s="85">
        <v>192.31</v>
      </c>
      <c r="F191" s="85"/>
      <c r="G191" s="85">
        <v>223.95</v>
      </c>
      <c r="H191" s="85"/>
      <c r="I191" s="85">
        <v>227.66</v>
      </c>
      <c r="J191" s="85"/>
      <c r="K191" s="85">
        <v>255.71</v>
      </c>
      <c r="L191" s="85"/>
      <c r="M191" s="85">
        <v>194.33</v>
      </c>
      <c r="N191" s="85"/>
      <c r="O191" s="85">
        <v>0</v>
      </c>
      <c r="P191" s="85"/>
      <c r="Q191" s="133">
        <v>210</v>
      </c>
      <c r="R191" s="133"/>
      <c r="S191" s="133">
        <v>210</v>
      </c>
      <c r="T191" s="133"/>
      <c r="U191" s="133">
        <v>210</v>
      </c>
      <c r="V191" s="133"/>
      <c r="W191" s="133">
        <v>210</v>
      </c>
      <c r="X191" s="133"/>
      <c r="Y191" s="133">
        <v>210</v>
      </c>
      <c r="Z191" s="86">
        <f t="shared" si="12"/>
        <v>2469.7799999999997</v>
      </c>
      <c r="AA191" s="85"/>
      <c r="AB191" s="82">
        <v>2500</v>
      </c>
      <c r="AC191" s="70"/>
    </row>
    <row r="192" spans="1:30" x14ac:dyDescent="0.2">
      <c r="A192" s="88">
        <v>6060610</v>
      </c>
      <c r="B192" s="87" t="s">
        <v>124</v>
      </c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>
        <v>0</v>
      </c>
      <c r="N192" s="85"/>
      <c r="O192" s="85">
        <v>0</v>
      </c>
      <c r="P192" s="85"/>
      <c r="Q192" s="133"/>
      <c r="R192" s="133"/>
      <c r="S192" s="133"/>
      <c r="T192" s="133"/>
      <c r="U192" s="133"/>
      <c r="V192" s="133"/>
      <c r="W192" s="133"/>
      <c r="X192" s="133"/>
      <c r="Y192" s="133"/>
      <c r="Z192" s="86">
        <f t="shared" si="12"/>
        <v>0</v>
      </c>
      <c r="AA192" s="85"/>
      <c r="AB192" s="82"/>
      <c r="AC192" s="70"/>
    </row>
    <row r="193" spans="1:30" x14ac:dyDescent="0.2">
      <c r="A193" s="88" t="s">
        <v>255</v>
      </c>
      <c r="B193" s="87" t="s">
        <v>120</v>
      </c>
      <c r="C193" s="85"/>
      <c r="D193" s="85"/>
      <c r="E193" s="85">
        <v>205</v>
      </c>
      <c r="F193" s="85"/>
      <c r="G193" s="85"/>
      <c r="H193" s="85"/>
      <c r="I193" s="85"/>
      <c r="J193" s="85"/>
      <c r="K193" s="85"/>
      <c r="L193" s="85"/>
      <c r="M193" s="85">
        <v>0</v>
      </c>
      <c r="N193" s="85"/>
      <c r="O193" s="85">
        <v>0</v>
      </c>
      <c r="P193" s="85"/>
      <c r="Q193" s="133">
        <v>40</v>
      </c>
      <c r="R193" s="133"/>
      <c r="S193" s="133">
        <v>40</v>
      </c>
      <c r="T193" s="133"/>
      <c r="U193" s="133">
        <v>40</v>
      </c>
      <c r="V193" s="133"/>
      <c r="W193" s="133">
        <v>40</v>
      </c>
      <c r="X193" s="133"/>
      <c r="Y193" s="133">
        <v>40</v>
      </c>
      <c r="Z193" s="86">
        <f t="shared" si="12"/>
        <v>405</v>
      </c>
      <c r="AA193" s="85"/>
      <c r="AB193" s="82">
        <v>500</v>
      </c>
      <c r="AC193" s="70"/>
    </row>
    <row r="194" spans="1:30" x14ac:dyDescent="0.2">
      <c r="A194" s="88" t="s">
        <v>254</v>
      </c>
      <c r="B194" s="87" t="s">
        <v>118</v>
      </c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>
        <v>0</v>
      </c>
      <c r="N194" s="85"/>
      <c r="O194" s="85">
        <v>20</v>
      </c>
      <c r="P194" s="85"/>
      <c r="Q194" s="133">
        <v>20</v>
      </c>
      <c r="R194" s="133"/>
      <c r="S194" s="133">
        <v>20</v>
      </c>
      <c r="T194" s="133"/>
      <c r="U194" s="133">
        <v>20</v>
      </c>
      <c r="V194" s="133"/>
      <c r="W194" s="133">
        <v>20</v>
      </c>
      <c r="X194" s="133"/>
      <c r="Y194" s="133">
        <v>20</v>
      </c>
      <c r="Z194" s="86">
        <f t="shared" si="12"/>
        <v>120</v>
      </c>
      <c r="AA194" s="85"/>
      <c r="AB194" s="82">
        <v>1000</v>
      </c>
      <c r="AC194" s="70"/>
    </row>
    <row r="195" spans="1:30" x14ac:dyDescent="0.2">
      <c r="A195" s="88" t="s">
        <v>253</v>
      </c>
      <c r="B195" s="87" t="s">
        <v>116</v>
      </c>
      <c r="C195" s="85">
        <v>33.97</v>
      </c>
      <c r="D195" s="85"/>
      <c r="E195" s="85">
        <v>120.8</v>
      </c>
      <c r="F195" s="85"/>
      <c r="G195" s="85">
        <v>25.87</v>
      </c>
      <c r="H195" s="85"/>
      <c r="I195" s="85"/>
      <c r="J195" s="85"/>
      <c r="K195" s="85">
        <v>734.26</v>
      </c>
      <c r="L195" s="85"/>
      <c r="M195" s="85">
        <v>428.65</v>
      </c>
      <c r="N195" s="85"/>
      <c r="O195" s="85">
        <v>0</v>
      </c>
      <c r="P195" s="85"/>
      <c r="Q195" s="133">
        <v>50</v>
      </c>
      <c r="R195" s="133"/>
      <c r="S195" s="133">
        <v>50</v>
      </c>
      <c r="T195" s="133"/>
      <c r="U195" s="133">
        <v>50</v>
      </c>
      <c r="V195" s="133"/>
      <c r="W195" s="133">
        <v>50</v>
      </c>
      <c r="X195" s="133"/>
      <c r="Y195" s="133">
        <v>50</v>
      </c>
      <c r="Z195" s="86">
        <f t="shared" si="12"/>
        <v>1593.55</v>
      </c>
      <c r="AA195" s="85"/>
      <c r="AB195" s="82">
        <v>2500</v>
      </c>
      <c r="AC195" s="70"/>
    </row>
    <row r="196" spans="1:30" x14ac:dyDescent="0.2">
      <c r="A196" s="88" t="s">
        <v>252</v>
      </c>
      <c r="B196" s="87" t="s">
        <v>112</v>
      </c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>
        <v>0</v>
      </c>
      <c r="N196" s="85"/>
      <c r="O196" s="85">
        <v>0</v>
      </c>
      <c r="P196" s="85"/>
      <c r="Q196" s="133"/>
      <c r="R196" s="133"/>
      <c r="S196" s="133"/>
      <c r="T196" s="133"/>
      <c r="U196" s="133"/>
      <c r="V196" s="133"/>
      <c r="W196" s="133"/>
      <c r="X196" s="133"/>
      <c r="Y196" s="133"/>
      <c r="Z196" s="86">
        <f t="shared" si="12"/>
        <v>0</v>
      </c>
      <c r="AA196" s="85"/>
      <c r="AB196" s="82">
        <v>250</v>
      </c>
      <c r="AC196" s="70"/>
    </row>
    <row r="197" spans="1:30" x14ac:dyDescent="0.2">
      <c r="A197" s="88"/>
      <c r="B197" s="87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133"/>
      <c r="R197" s="133"/>
      <c r="S197" s="133"/>
      <c r="T197" s="133"/>
      <c r="U197" s="133"/>
      <c r="V197" s="133"/>
      <c r="W197" s="133"/>
      <c r="X197" s="133"/>
      <c r="Y197" s="133"/>
      <c r="Z197" s="85"/>
      <c r="AA197" s="85"/>
      <c r="AB197" s="82"/>
      <c r="AC197" s="70"/>
    </row>
    <row r="198" spans="1:30" x14ac:dyDescent="0.2">
      <c r="A198" s="95"/>
      <c r="B198" s="94" t="s">
        <v>251</v>
      </c>
      <c r="C198" s="92">
        <f>SUM(C184:C196)</f>
        <v>10627.22</v>
      </c>
      <c r="D198" s="76"/>
      <c r="E198" s="92">
        <f>SUM(E184:E196)</f>
        <v>10283.66</v>
      </c>
      <c r="F198" s="76"/>
      <c r="G198" s="92">
        <f>SUM(G184:G196)</f>
        <v>11308.480000000005</v>
      </c>
      <c r="H198" s="76"/>
      <c r="I198" s="92">
        <f>SUM(I184:I196)</f>
        <v>11717.330000000002</v>
      </c>
      <c r="J198" s="76"/>
      <c r="K198" s="92">
        <f>SUM(K184:K196)</f>
        <v>15625.480000000001</v>
      </c>
      <c r="L198" s="76"/>
      <c r="M198" s="92">
        <f>SUM(M184:M196)</f>
        <v>12184.94</v>
      </c>
      <c r="N198" s="76"/>
      <c r="O198" s="92">
        <f>SUM(O184:O196)</f>
        <v>9467.44</v>
      </c>
      <c r="P198" s="92"/>
      <c r="Q198" s="140">
        <f>SUM(Q184:Q196)</f>
        <v>11437.348000000002</v>
      </c>
      <c r="R198" s="140"/>
      <c r="S198" s="140">
        <f>SUM(S184:S196)</f>
        <v>11437.348000000002</v>
      </c>
      <c r="T198" s="140"/>
      <c r="U198" s="140">
        <f>SUM(U184:U196)</f>
        <v>11437.348000000002</v>
      </c>
      <c r="V198" s="140"/>
      <c r="W198" s="140">
        <f>SUM(W184:W196)</f>
        <v>11437.348000000002</v>
      </c>
      <c r="X198" s="140"/>
      <c r="Y198" s="140">
        <f>SUM(Y184:Y196)</f>
        <v>25218.417999999998</v>
      </c>
      <c r="Z198" s="92">
        <f>SUM(Z184:Z196)</f>
        <v>152182.36000000004</v>
      </c>
      <c r="AA198" s="76"/>
      <c r="AB198" s="92">
        <f>SUM(AB184:AB196)</f>
        <v>145714</v>
      </c>
      <c r="AC198" s="93"/>
    </row>
    <row r="199" spans="1:30" x14ac:dyDescent="0.2">
      <c r="A199" s="95"/>
      <c r="B199" s="94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141"/>
      <c r="R199" s="141"/>
      <c r="S199" s="141"/>
      <c r="T199" s="141"/>
      <c r="U199" s="141"/>
      <c r="V199" s="141"/>
      <c r="W199" s="141"/>
      <c r="X199" s="141"/>
      <c r="Y199" s="141"/>
      <c r="Z199" s="76"/>
      <c r="AA199" s="76"/>
      <c r="AB199" s="96"/>
      <c r="AC199" s="97"/>
    </row>
    <row r="200" spans="1:30" x14ac:dyDescent="0.2">
      <c r="A200" s="88" t="s">
        <v>250</v>
      </c>
      <c r="B200" s="87" t="s">
        <v>147</v>
      </c>
      <c r="C200" s="85">
        <v>2241.5100000000002</v>
      </c>
      <c r="D200" s="85"/>
      <c r="E200" s="85">
        <v>2433.4499999999998</v>
      </c>
      <c r="F200" s="85"/>
      <c r="G200" s="85">
        <v>3440.88</v>
      </c>
      <c r="H200" s="85"/>
      <c r="I200" s="85">
        <v>3254.31</v>
      </c>
      <c r="J200" s="85"/>
      <c r="K200" s="85">
        <v>4935.33</v>
      </c>
      <c r="L200" s="85"/>
      <c r="M200" s="85">
        <v>2968.11</v>
      </c>
      <c r="N200" s="85"/>
      <c r="O200" s="85">
        <v>3362.04</v>
      </c>
      <c r="P200" s="85"/>
      <c r="Q200" s="133">
        <v>4835.3100000000004</v>
      </c>
      <c r="R200" s="133"/>
      <c r="S200" s="133">
        <v>4835.3100000000004</v>
      </c>
      <c r="T200" s="133"/>
      <c r="U200" s="133">
        <v>4835.3100000000004</v>
      </c>
      <c r="V200" s="133"/>
      <c r="W200" s="133">
        <v>4835.3100000000004</v>
      </c>
      <c r="X200" s="133"/>
      <c r="Y200" s="133">
        <f>4835.31+7252.95</f>
        <v>12088.26</v>
      </c>
      <c r="Z200" s="86">
        <f t="shared" ref="Z200:Z206" si="13">SUM(C200:Y200)</f>
        <v>54065.130000000005</v>
      </c>
      <c r="AA200" s="85"/>
      <c r="AB200" s="82">
        <v>62859</v>
      </c>
      <c r="AC200" s="70"/>
    </row>
    <row r="201" spans="1:30" x14ac:dyDescent="0.2">
      <c r="A201" s="88" t="s">
        <v>249</v>
      </c>
      <c r="B201" s="87" t="s">
        <v>145</v>
      </c>
      <c r="C201" s="85">
        <v>198.36</v>
      </c>
      <c r="D201" s="85"/>
      <c r="E201" s="85">
        <v>199.38</v>
      </c>
      <c r="F201" s="85"/>
      <c r="G201" s="85">
        <v>263.22000000000003</v>
      </c>
      <c r="H201" s="85"/>
      <c r="I201" s="85">
        <v>248.96</v>
      </c>
      <c r="J201" s="85"/>
      <c r="K201" s="85">
        <v>385.2</v>
      </c>
      <c r="L201" s="85"/>
      <c r="M201" s="85">
        <v>227.06</v>
      </c>
      <c r="N201" s="85"/>
      <c r="O201" s="85">
        <v>257.2</v>
      </c>
      <c r="P201" s="85"/>
      <c r="Q201" s="133">
        <f>+Q200*0.08</f>
        <v>386.82480000000004</v>
      </c>
      <c r="R201" s="133"/>
      <c r="S201" s="133">
        <f>+S200*0.08</f>
        <v>386.82480000000004</v>
      </c>
      <c r="T201" s="133"/>
      <c r="U201" s="133">
        <f>+U200*0.08</f>
        <v>386.82480000000004</v>
      </c>
      <c r="V201" s="133"/>
      <c r="W201" s="133">
        <f>+W200*0.08</f>
        <v>386.82480000000004</v>
      </c>
      <c r="X201" s="133"/>
      <c r="Y201" s="133">
        <f>+Y200*0.08</f>
        <v>967.06080000000009</v>
      </c>
      <c r="Z201" s="86">
        <f t="shared" si="13"/>
        <v>4293.74</v>
      </c>
      <c r="AA201" s="85"/>
      <c r="AB201" s="82">
        <v>5029</v>
      </c>
      <c r="AC201" s="70"/>
    </row>
    <row r="202" spans="1:30" x14ac:dyDescent="0.2">
      <c r="A202" s="88" t="s">
        <v>248</v>
      </c>
      <c r="B202" s="87" t="s">
        <v>163</v>
      </c>
      <c r="C202" s="85"/>
      <c r="D202" s="85"/>
      <c r="E202" s="85">
        <v>97.9</v>
      </c>
      <c r="F202" s="85"/>
      <c r="G202" s="85">
        <v>-14.65</v>
      </c>
      <c r="H202" s="85"/>
      <c r="I202" s="85">
        <v>63.88</v>
      </c>
      <c r="J202" s="85"/>
      <c r="K202" s="85">
        <v>177</v>
      </c>
      <c r="L202" s="85"/>
      <c r="M202" s="85">
        <v>0</v>
      </c>
      <c r="N202" s="85"/>
      <c r="O202" s="85">
        <v>0</v>
      </c>
      <c r="P202" s="85"/>
      <c r="Q202" s="133"/>
      <c r="R202" s="133"/>
      <c r="S202" s="133"/>
      <c r="T202" s="133"/>
      <c r="U202" s="133"/>
      <c r="V202" s="133"/>
      <c r="W202" s="133"/>
      <c r="X202" s="133"/>
      <c r="Y202" s="133"/>
      <c r="Z202" s="86">
        <f t="shared" si="13"/>
        <v>324.13</v>
      </c>
      <c r="AA202" s="85"/>
      <c r="AB202" s="82"/>
      <c r="AC202" s="70"/>
    </row>
    <row r="203" spans="1:30" x14ac:dyDescent="0.2">
      <c r="A203" s="88" t="s">
        <v>247</v>
      </c>
      <c r="B203" s="87" t="s">
        <v>141</v>
      </c>
      <c r="C203" s="85">
        <v>117.05</v>
      </c>
      <c r="D203" s="85"/>
      <c r="E203" s="85">
        <v>117.05</v>
      </c>
      <c r="F203" s="85"/>
      <c r="G203" s="85">
        <v>117.05</v>
      </c>
      <c r="H203" s="85"/>
      <c r="I203" s="85">
        <v>117.05</v>
      </c>
      <c r="J203" s="85"/>
      <c r="K203" s="85">
        <v>117.05</v>
      </c>
      <c r="L203" s="85"/>
      <c r="M203" s="85">
        <v>6.68</v>
      </c>
      <c r="N203" s="85"/>
      <c r="O203" s="85">
        <v>11.92</v>
      </c>
      <c r="P203" s="85"/>
      <c r="Q203" s="133">
        <v>15</v>
      </c>
      <c r="R203" s="133"/>
      <c r="S203" s="133">
        <v>15</v>
      </c>
      <c r="T203" s="133"/>
      <c r="U203" s="133">
        <v>15</v>
      </c>
      <c r="V203" s="133"/>
      <c r="W203" s="133">
        <v>15</v>
      </c>
      <c r="X203" s="133"/>
      <c r="Y203" s="133">
        <v>15</v>
      </c>
      <c r="Z203" s="86">
        <f t="shared" si="13"/>
        <v>678.84999999999991</v>
      </c>
      <c r="AA203" s="85"/>
      <c r="AB203" s="82">
        <v>82</v>
      </c>
      <c r="AC203" s="70"/>
      <c r="AD203" s="68"/>
    </row>
    <row r="204" spans="1:30" x14ac:dyDescent="0.2">
      <c r="A204" s="88">
        <v>6071100</v>
      </c>
      <c r="B204" s="87" t="s">
        <v>203</v>
      </c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>
        <v>0</v>
      </c>
      <c r="N204" s="85"/>
      <c r="O204" s="85">
        <v>0</v>
      </c>
      <c r="P204" s="85"/>
      <c r="Q204" s="133"/>
      <c r="R204" s="133"/>
      <c r="S204" s="133"/>
      <c r="T204" s="133"/>
      <c r="U204" s="133"/>
      <c r="V204" s="133"/>
      <c r="W204" s="133"/>
      <c r="X204" s="133"/>
      <c r="Y204" s="133"/>
      <c r="Z204" s="86">
        <f t="shared" si="13"/>
        <v>0</v>
      </c>
      <c r="AA204" s="85"/>
      <c r="AB204" s="82">
        <v>250</v>
      </c>
      <c r="AC204" s="70"/>
    </row>
    <row r="205" spans="1:30" x14ac:dyDescent="0.2">
      <c r="A205" s="88" t="s">
        <v>246</v>
      </c>
      <c r="B205" s="87" t="s">
        <v>116</v>
      </c>
      <c r="C205" s="85">
        <v>314.68</v>
      </c>
      <c r="D205" s="85"/>
      <c r="E205" s="85"/>
      <c r="F205" s="85"/>
      <c r="G205" s="85">
        <v>342.89</v>
      </c>
      <c r="H205" s="85"/>
      <c r="I205" s="85">
        <v>88.95</v>
      </c>
      <c r="J205" s="85"/>
      <c r="K205" s="85">
        <v>88.95</v>
      </c>
      <c r="L205" s="85"/>
      <c r="M205" s="85">
        <v>0</v>
      </c>
      <c r="N205" s="85"/>
      <c r="O205" s="85">
        <v>32.08</v>
      </c>
      <c r="P205" s="85"/>
      <c r="Q205" s="133">
        <v>50</v>
      </c>
      <c r="R205" s="133"/>
      <c r="S205" s="133">
        <v>50</v>
      </c>
      <c r="T205" s="133"/>
      <c r="U205" s="133">
        <v>50</v>
      </c>
      <c r="V205" s="133"/>
      <c r="W205" s="133">
        <v>50</v>
      </c>
      <c r="X205" s="133"/>
      <c r="Y205" s="133">
        <v>50</v>
      </c>
      <c r="Z205" s="86">
        <f t="shared" si="13"/>
        <v>1117.5500000000002</v>
      </c>
      <c r="AA205" s="85"/>
      <c r="AB205" s="82">
        <v>1200</v>
      </c>
      <c r="AC205" s="70"/>
    </row>
    <row r="206" spans="1:30" x14ac:dyDescent="0.2">
      <c r="A206" s="88" t="s">
        <v>245</v>
      </c>
      <c r="B206" s="87" t="s">
        <v>112</v>
      </c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>
        <v>0</v>
      </c>
      <c r="N206" s="85"/>
      <c r="O206" s="85">
        <v>0</v>
      </c>
      <c r="P206" s="85"/>
      <c r="Q206" s="133"/>
      <c r="R206" s="133"/>
      <c r="S206" s="133"/>
      <c r="T206" s="133"/>
      <c r="U206" s="133"/>
      <c r="V206" s="133"/>
      <c r="W206" s="133"/>
      <c r="X206" s="133"/>
      <c r="Y206" s="133"/>
      <c r="Z206" s="86">
        <f t="shared" si="13"/>
        <v>0</v>
      </c>
      <c r="AA206" s="85"/>
      <c r="AB206" s="82">
        <v>500</v>
      </c>
      <c r="AC206" s="70"/>
    </row>
    <row r="207" spans="1:30" x14ac:dyDescent="0.2">
      <c r="A207" s="88"/>
      <c r="B207" s="87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133"/>
      <c r="R207" s="133"/>
      <c r="S207" s="133"/>
      <c r="T207" s="133"/>
      <c r="U207" s="133"/>
      <c r="V207" s="133"/>
      <c r="W207" s="133"/>
      <c r="X207" s="133"/>
      <c r="Y207" s="133"/>
      <c r="Z207" s="85"/>
      <c r="AA207" s="85"/>
      <c r="AB207" s="82"/>
      <c r="AC207" s="70"/>
    </row>
    <row r="208" spans="1:30" s="98" customFormat="1" x14ac:dyDescent="0.2">
      <c r="A208" s="95"/>
      <c r="B208" s="94" t="s">
        <v>77</v>
      </c>
      <c r="C208" s="92">
        <f>SUM(C200:C206)</f>
        <v>2871.6000000000004</v>
      </c>
      <c r="D208" s="76"/>
      <c r="E208" s="92">
        <f>SUM(E200:E206)</f>
        <v>2847.78</v>
      </c>
      <c r="F208" s="76"/>
      <c r="G208" s="92">
        <f>SUM(G200:G206)</f>
        <v>4149.3900000000003</v>
      </c>
      <c r="H208" s="76"/>
      <c r="I208" s="92">
        <f>SUM(I200:I206)</f>
        <v>3773.15</v>
      </c>
      <c r="J208" s="76"/>
      <c r="K208" s="92">
        <f>SUM(K200:K206)</f>
        <v>5703.53</v>
      </c>
      <c r="L208" s="76"/>
      <c r="M208" s="92">
        <f>SUM(M200:M206)</f>
        <v>3201.85</v>
      </c>
      <c r="N208" s="76"/>
      <c r="O208" s="92">
        <f>SUM(O200:O207)</f>
        <v>3663.24</v>
      </c>
      <c r="P208" s="92"/>
      <c r="Q208" s="140">
        <f>SUM(Q200:Q207)</f>
        <v>5287.1348000000007</v>
      </c>
      <c r="R208" s="140"/>
      <c r="S208" s="140">
        <f>SUM(S200:S207)</f>
        <v>5287.1348000000007</v>
      </c>
      <c r="T208" s="140"/>
      <c r="U208" s="140">
        <f>SUM(U200:U207)</f>
        <v>5287.1348000000007</v>
      </c>
      <c r="V208" s="140"/>
      <c r="W208" s="140">
        <f>SUM(W200:W207)</f>
        <v>5287.1348000000007</v>
      </c>
      <c r="X208" s="140"/>
      <c r="Y208" s="140">
        <f>SUM(Y200:Y207)</f>
        <v>13120.3208</v>
      </c>
      <c r="Z208" s="92">
        <f>SUM(Z200:Z206)</f>
        <v>60479.4</v>
      </c>
      <c r="AA208" s="76"/>
      <c r="AB208" s="92">
        <f>SUM(AB200:AB206)</f>
        <v>69920</v>
      </c>
      <c r="AC208" s="93"/>
    </row>
    <row r="209" spans="1:30" s="98" customFormat="1" x14ac:dyDescent="0.2">
      <c r="A209" s="95"/>
      <c r="B209" s="94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141"/>
      <c r="R209" s="141"/>
      <c r="S209" s="141"/>
      <c r="T209" s="141"/>
      <c r="U209" s="141"/>
      <c r="V209" s="141"/>
      <c r="W209" s="141"/>
      <c r="X209" s="141"/>
      <c r="Y209" s="141"/>
      <c r="Z209" s="76"/>
      <c r="AA209" s="76"/>
      <c r="AB209" s="96"/>
      <c r="AC209" s="97"/>
    </row>
    <row r="210" spans="1:30" x14ac:dyDescent="0.2">
      <c r="A210" s="81" t="s">
        <v>105</v>
      </c>
      <c r="B210" s="80" t="s">
        <v>244</v>
      </c>
      <c r="C210" s="79">
        <f>C208+C198+C182+C155+C130</f>
        <v>153881.06</v>
      </c>
      <c r="D210" s="76"/>
      <c r="E210" s="79">
        <f>E208+E198+E182+E155+E130</f>
        <v>175345.92999999996</v>
      </c>
      <c r="F210" s="76"/>
      <c r="G210" s="79">
        <f>G208+G198+G182+G155+G130</f>
        <v>238982.19999999998</v>
      </c>
      <c r="H210" s="76"/>
      <c r="I210" s="79">
        <f>I208+I198+I182+I155+I130</f>
        <v>205484.2</v>
      </c>
      <c r="J210" s="76"/>
      <c r="K210" s="79">
        <f>K208+K198+K182+K155+K130</f>
        <v>267801.33999999997</v>
      </c>
      <c r="L210" s="76"/>
      <c r="M210" s="79">
        <f>M208+M198+M182+M155+M130</f>
        <v>169968.76</v>
      </c>
      <c r="N210" s="76"/>
      <c r="O210" s="79">
        <f>O208+O198+O182+O155+O130</f>
        <v>126280.27</v>
      </c>
      <c r="P210" s="79"/>
      <c r="Q210" s="134">
        <f>Q208+Q198+Q182+Q155+Q130</f>
        <v>123264.348</v>
      </c>
      <c r="R210" s="134"/>
      <c r="S210" s="134">
        <f>S208+S198+S182+S155+S130</f>
        <v>131477.348</v>
      </c>
      <c r="T210" s="134"/>
      <c r="U210" s="134">
        <f>U208+U198+U182+U155+U130</f>
        <v>122652.348</v>
      </c>
      <c r="V210" s="134"/>
      <c r="W210" s="134">
        <f>W208+W198+W182+W155+W130</f>
        <v>122652.348</v>
      </c>
      <c r="X210" s="134"/>
      <c r="Y210" s="134">
        <f>Y208+Y198+Y182+Y155+Y130</f>
        <v>201556.6764</v>
      </c>
      <c r="Z210" s="79">
        <f>Z208+Z198+Z182+Z155+Z130</f>
        <v>2039346.8284</v>
      </c>
      <c r="AA210" s="76"/>
      <c r="AB210" s="79">
        <f>AB208+AB198+AB182+AB155+AB130</f>
        <v>1714098.3</v>
      </c>
      <c r="AC210" s="70"/>
    </row>
    <row r="211" spans="1:30" x14ac:dyDescent="0.2"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135"/>
      <c r="R211" s="135"/>
      <c r="S211" s="135"/>
      <c r="T211" s="135"/>
      <c r="U211" s="135"/>
      <c r="V211" s="135"/>
      <c r="W211" s="135"/>
      <c r="X211" s="135"/>
      <c r="Y211" s="135"/>
      <c r="Z211" s="67"/>
      <c r="AA211" s="67"/>
      <c r="AB211" s="67"/>
      <c r="AC211" s="70"/>
    </row>
    <row r="212" spans="1:30" x14ac:dyDescent="0.2">
      <c r="A212" s="91" t="s">
        <v>243</v>
      </c>
      <c r="B212" s="90" t="s">
        <v>242</v>
      </c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136"/>
      <c r="R212" s="136"/>
      <c r="S212" s="136"/>
      <c r="T212" s="136"/>
      <c r="U212" s="136"/>
      <c r="V212" s="136"/>
      <c r="W212" s="136"/>
      <c r="X212" s="136"/>
      <c r="Y212" s="136"/>
      <c r="Z212" s="89"/>
      <c r="AA212" s="89"/>
      <c r="AB212" s="67"/>
      <c r="AC212" s="70"/>
    </row>
    <row r="213" spans="1:30" x14ac:dyDescent="0.2">
      <c r="A213" s="88" t="s">
        <v>241</v>
      </c>
      <c r="B213" s="87" t="s">
        <v>240</v>
      </c>
      <c r="C213" s="85">
        <v>76180.47</v>
      </c>
      <c r="D213" s="85"/>
      <c r="E213" s="85">
        <v>117309.23</v>
      </c>
      <c r="F213" s="85"/>
      <c r="G213" s="85">
        <v>72675.289999999994</v>
      </c>
      <c r="H213" s="85"/>
      <c r="I213" s="85">
        <v>127871.23</v>
      </c>
      <c r="J213" s="85"/>
      <c r="K213" s="85">
        <v>153706.87</v>
      </c>
      <c r="L213" s="85"/>
      <c r="M213" s="85">
        <v>111084.97</v>
      </c>
      <c r="N213" s="85"/>
      <c r="O213" s="85">
        <v>92155.25</v>
      </c>
      <c r="P213" s="85"/>
      <c r="Q213" s="133">
        <f>88461.54+(88461.54*0.5)</f>
        <v>132692.31</v>
      </c>
      <c r="R213" s="133"/>
      <c r="S213" s="133">
        <v>88461.54</v>
      </c>
      <c r="T213" s="133"/>
      <c r="U213" s="133">
        <v>88461.54</v>
      </c>
      <c r="V213" s="133"/>
      <c r="W213" s="133">
        <v>88461.54</v>
      </c>
      <c r="X213" s="133"/>
      <c r="Y213" s="133">
        <f>132692.3+88461.54</f>
        <v>221153.83999999997</v>
      </c>
      <c r="Z213" s="86">
        <f t="shared" ref="Z213:Z251" si="14">SUM(C213:Y213)</f>
        <v>1370214.08</v>
      </c>
      <c r="AA213" s="85"/>
      <c r="AB213" s="82">
        <v>1150000</v>
      </c>
      <c r="AC213" s="70"/>
      <c r="AD213" s="68"/>
    </row>
    <row r="214" spans="1:30" x14ac:dyDescent="0.2">
      <c r="A214" s="88" t="s">
        <v>239</v>
      </c>
      <c r="B214" s="87" t="s">
        <v>238</v>
      </c>
      <c r="C214" s="85"/>
      <c r="D214" s="85"/>
      <c r="E214" s="85">
        <v>4680</v>
      </c>
      <c r="F214" s="85"/>
      <c r="G214" s="85">
        <v>2990</v>
      </c>
      <c r="H214" s="85"/>
      <c r="I214" s="85">
        <v>7020</v>
      </c>
      <c r="J214" s="85"/>
      <c r="K214" s="85">
        <v>4550</v>
      </c>
      <c r="L214" s="85"/>
      <c r="M214" s="85">
        <v>12105</v>
      </c>
      <c r="N214" s="85"/>
      <c r="O214" s="85">
        <v>0</v>
      </c>
      <c r="P214" s="85"/>
      <c r="Q214" s="133"/>
      <c r="R214" s="133"/>
      <c r="S214" s="133"/>
      <c r="T214" s="133"/>
      <c r="U214" s="133"/>
      <c r="V214" s="133"/>
      <c r="W214" s="133"/>
      <c r="X214" s="133"/>
      <c r="Y214" s="133"/>
      <c r="Z214" s="86">
        <f t="shared" si="14"/>
        <v>31345</v>
      </c>
      <c r="AA214" s="85"/>
      <c r="AB214" s="82">
        <v>55120</v>
      </c>
      <c r="AC214" s="70"/>
      <c r="AD214" s="68"/>
    </row>
    <row r="215" spans="1:30" x14ac:dyDescent="0.2">
      <c r="A215" s="88" t="s">
        <v>237</v>
      </c>
      <c r="B215" s="87" t="s">
        <v>236</v>
      </c>
      <c r="C215" s="85">
        <v>6035.78</v>
      </c>
      <c r="D215" s="85"/>
      <c r="E215" s="85">
        <v>6509.24</v>
      </c>
      <c r="F215" s="85"/>
      <c r="G215" s="85">
        <v>7604.8</v>
      </c>
      <c r="H215" s="85"/>
      <c r="I215" s="85">
        <v>8477.49</v>
      </c>
      <c r="J215" s="85"/>
      <c r="K215" s="85">
        <v>11306.63</v>
      </c>
      <c r="L215" s="85"/>
      <c r="M215" s="85">
        <v>7388.2</v>
      </c>
      <c r="N215" s="85"/>
      <c r="O215" s="85">
        <v>6702.09</v>
      </c>
      <c r="P215" s="85"/>
      <c r="Q215" s="133">
        <f>+Q213*0.08</f>
        <v>10615.3848</v>
      </c>
      <c r="R215" s="133"/>
      <c r="S215" s="133">
        <f>+S213*0.08</f>
        <v>7076.9231999999993</v>
      </c>
      <c r="T215" s="133"/>
      <c r="U215" s="133">
        <f>+U213*0.08</f>
        <v>7076.9231999999993</v>
      </c>
      <c r="V215" s="133"/>
      <c r="W215" s="133">
        <f>+W213*0.08</f>
        <v>7076.9231999999993</v>
      </c>
      <c r="X215" s="133"/>
      <c r="Y215" s="133">
        <f>+Y213*0.08</f>
        <v>17692.307199999999</v>
      </c>
      <c r="Z215" s="86">
        <f t="shared" si="14"/>
        <v>103562.69160000001</v>
      </c>
      <c r="AA215" s="85"/>
      <c r="AB215" s="82">
        <f>8650+12100+68163</f>
        <v>88913</v>
      </c>
      <c r="AC215" s="70"/>
      <c r="AD215" s="68"/>
    </row>
    <row r="216" spans="1:30" x14ac:dyDescent="0.2">
      <c r="A216" s="88" t="s">
        <v>235</v>
      </c>
      <c r="B216" s="87" t="s">
        <v>234</v>
      </c>
      <c r="C216" s="85">
        <v>16186.6</v>
      </c>
      <c r="D216" s="85"/>
      <c r="E216" s="85">
        <v>17451.88</v>
      </c>
      <c r="F216" s="85"/>
      <c r="G216" s="85">
        <v>17917.47</v>
      </c>
      <c r="H216" s="85"/>
      <c r="I216" s="85">
        <v>25777.39</v>
      </c>
      <c r="J216" s="85"/>
      <c r="K216" s="85">
        <v>25857.75</v>
      </c>
      <c r="L216" s="85"/>
      <c r="M216" s="85">
        <v>25933.99</v>
      </c>
      <c r="N216" s="85"/>
      <c r="O216" s="85">
        <v>25971.96</v>
      </c>
      <c r="P216" s="85"/>
      <c r="Q216" s="133">
        <v>25971.96</v>
      </c>
      <c r="R216" s="133"/>
      <c r="S216" s="133">
        <v>25971.96</v>
      </c>
      <c r="T216" s="133"/>
      <c r="U216" s="133">
        <v>25971.96</v>
      </c>
      <c r="V216" s="133"/>
      <c r="W216" s="133">
        <v>25971.96</v>
      </c>
      <c r="X216" s="133"/>
      <c r="Y216" s="133">
        <v>25971.96</v>
      </c>
      <c r="Z216" s="86">
        <f t="shared" si="14"/>
        <v>284956.83999999997</v>
      </c>
      <c r="AA216" s="85"/>
      <c r="AB216" s="82">
        <f>6469+266647+10641+2672+1879</f>
        <v>288308</v>
      </c>
      <c r="AC216" s="70"/>
      <c r="AD216" s="68"/>
    </row>
    <row r="217" spans="1:30" x14ac:dyDescent="0.2">
      <c r="A217" s="88" t="s">
        <v>233</v>
      </c>
      <c r="B217" s="87" t="s">
        <v>232</v>
      </c>
      <c r="C217" s="85">
        <v>8054.57</v>
      </c>
      <c r="D217" s="85"/>
      <c r="E217" s="85">
        <v>8473.3799999999992</v>
      </c>
      <c r="F217" s="85"/>
      <c r="G217" s="85">
        <v>9134.26</v>
      </c>
      <c r="H217" s="85"/>
      <c r="I217" s="85">
        <v>11059.08</v>
      </c>
      <c r="J217" s="85"/>
      <c r="K217" s="85">
        <v>16198.24</v>
      </c>
      <c r="L217" s="85"/>
      <c r="M217" s="85">
        <v>10796.07</v>
      </c>
      <c r="N217" s="85"/>
      <c r="O217" s="85">
        <v>10787.92</v>
      </c>
      <c r="P217" s="85"/>
      <c r="Q217" s="133">
        <f>+Q213*0.14</f>
        <v>18576.9234</v>
      </c>
      <c r="R217" s="133"/>
      <c r="S217" s="133">
        <f>+S213*0.14</f>
        <v>12384.615600000001</v>
      </c>
      <c r="T217" s="133"/>
      <c r="U217" s="133">
        <f>+U213*0.14</f>
        <v>12384.615600000001</v>
      </c>
      <c r="V217" s="133"/>
      <c r="W217" s="133">
        <f>+W213*0.14</f>
        <v>12384.615600000001</v>
      </c>
      <c r="X217" s="133"/>
      <c r="Y217" s="133">
        <f>+Y213*0.14</f>
        <v>30961.5376</v>
      </c>
      <c r="Z217" s="86">
        <f t="shared" si="14"/>
        <v>161195.82780000003</v>
      </c>
      <c r="AA217" s="85"/>
      <c r="AB217" s="82">
        <f>144847+18380</f>
        <v>163227</v>
      </c>
      <c r="AC217" s="70"/>
      <c r="AD217" s="68"/>
    </row>
    <row r="218" spans="1:30" x14ac:dyDescent="0.2">
      <c r="A218" s="88" t="s">
        <v>231</v>
      </c>
      <c r="B218" s="87" t="s">
        <v>230</v>
      </c>
      <c r="C218" s="85">
        <v>6790.57</v>
      </c>
      <c r="D218" s="85"/>
      <c r="E218" s="85">
        <v>4362.59</v>
      </c>
      <c r="F218" s="85"/>
      <c r="G218" s="85">
        <v>3373.61</v>
      </c>
      <c r="H218" s="85"/>
      <c r="I218" s="85">
        <v>42.65</v>
      </c>
      <c r="J218" s="85"/>
      <c r="K218" s="85">
        <v>1513.07</v>
      </c>
      <c r="L218" s="85"/>
      <c r="M218" s="85">
        <v>4526.59</v>
      </c>
      <c r="N218" s="85"/>
      <c r="O218" s="85">
        <v>395.99</v>
      </c>
      <c r="P218" s="85"/>
      <c r="Q218" s="133">
        <v>500</v>
      </c>
      <c r="R218" s="133"/>
      <c r="S218" s="133">
        <v>500</v>
      </c>
      <c r="T218" s="133"/>
      <c r="U218" s="133">
        <v>500</v>
      </c>
      <c r="V218" s="133"/>
      <c r="W218" s="133">
        <v>500</v>
      </c>
      <c r="X218" s="133"/>
      <c r="Y218" s="133">
        <v>500</v>
      </c>
      <c r="Z218" s="86">
        <f t="shared" si="14"/>
        <v>23505.070000000003</v>
      </c>
      <c r="AA218" s="85"/>
      <c r="AB218" s="82">
        <v>20000</v>
      </c>
      <c r="AC218" s="70"/>
      <c r="AD218" s="68"/>
    </row>
    <row r="219" spans="1:30" x14ac:dyDescent="0.2">
      <c r="A219" s="88" t="s">
        <v>229</v>
      </c>
      <c r="B219" s="87" t="s">
        <v>228</v>
      </c>
      <c r="C219" s="85">
        <v>3844.57</v>
      </c>
      <c r="D219" s="85"/>
      <c r="E219" s="85">
        <v>3844.57</v>
      </c>
      <c r="F219" s="85"/>
      <c r="G219" s="85">
        <v>3844.57</v>
      </c>
      <c r="H219" s="85"/>
      <c r="I219" s="85">
        <v>3844.57</v>
      </c>
      <c r="J219" s="85"/>
      <c r="K219" s="85">
        <v>3844.57</v>
      </c>
      <c r="L219" s="85"/>
      <c r="M219" s="85">
        <v>3089.71</v>
      </c>
      <c r="N219" s="85"/>
      <c r="O219" s="85">
        <v>7711.99</v>
      </c>
      <c r="P219" s="85"/>
      <c r="Q219" s="133">
        <v>3500</v>
      </c>
      <c r="R219" s="133"/>
      <c r="S219" s="133">
        <v>3500</v>
      </c>
      <c r="T219" s="133"/>
      <c r="U219" s="133">
        <v>3500</v>
      </c>
      <c r="V219" s="133"/>
      <c r="W219" s="133">
        <v>3500</v>
      </c>
      <c r="X219" s="133"/>
      <c r="Y219" s="133">
        <v>3500</v>
      </c>
      <c r="Z219" s="86">
        <f t="shared" si="14"/>
        <v>47524.55</v>
      </c>
      <c r="AA219" s="85"/>
      <c r="AB219" s="82">
        <f>29055+5158+3687</f>
        <v>37900</v>
      </c>
      <c r="AC219" s="70"/>
      <c r="AD219" s="68"/>
    </row>
    <row r="220" spans="1:30" x14ac:dyDescent="0.2">
      <c r="A220" s="88" t="s">
        <v>227</v>
      </c>
      <c r="B220" s="87" t="s">
        <v>226</v>
      </c>
      <c r="C220" s="85">
        <v>19601.07</v>
      </c>
      <c r="D220" s="85"/>
      <c r="E220" s="85">
        <v>21615.11</v>
      </c>
      <c r="F220" s="85"/>
      <c r="G220" s="85">
        <v>36988.42</v>
      </c>
      <c r="H220" s="85"/>
      <c r="I220" s="85">
        <v>29635.08</v>
      </c>
      <c r="J220" s="85"/>
      <c r="K220" s="85">
        <v>37496.25</v>
      </c>
      <c r="L220" s="85"/>
      <c r="M220" s="85">
        <v>25285.65</v>
      </c>
      <c r="N220" s="85"/>
      <c r="O220" s="85">
        <v>24351.84</v>
      </c>
      <c r="P220" s="85"/>
      <c r="Q220" s="133">
        <v>24760.85</v>
      </c>
      <c r="R220" s="133"/>
      <c r="S220" s="133">
        <v>24760.85</v>
      </c>
      <c r="T220" s="133"/>
      <c r="U220" s="133">
        <v>24760.85</v>
      </c>
      <c r="V220" s="133"/>
      <c r="W220" s="133">
        <v>24760.85</v>
      </c>
      <c r="X220" s="133"/>
      <c r="Y220" s="133">
        <f>37141.25+24760.85</f>
        <v>61902.1</v>
      </c>
      <c r="Z220" s="86">
        <f t="shared" si="14"/>
        <v>355918.91999999993</v>
      </c>
      <c r="AA220" s="85"/>
      <c r="AB220" s="82">
        <f>270263+51628</f>
        <v>321891</v>
      </c>
      <c r="AC220" s="70"/>
      <c r="AD220" s="68"/>
    </row>
    <row r="221" spans="1:30" x14ac:dyDescent="0.2">
      <c r="A221" s="88" t="s">
        <v>225</v>
      </c>
      <c r="B221" s="87" t="s">
        <v>224</v>
      </c>
      <c r="C221" s="85">
        <v>1869.96</v>
      </c>
      <c r="D221" s="85"/>
      <c r="E221" s="85">
        <v>1834.22</v>
      </c>
      <c r="F221" s="85"/>
      <c r="G221" s="85">
        <v>255.57</v>
      </c>
      <c r="H221" s="85"/>
      <c r="I221" s="85">
        <v>2169.23</v>
      </c>
      <c r="J221" s="85"/>
      <c r="K221" s="85">
        <v>2992.47</v>
      </c>
      <c r="L221" s="85"/>
      <c r="M221" s="85">
        <v>1979</v>
      </c>
      <c r="N221" s="85"/>
      <c r="O221" s="85">
        <v>1957.82</v>
      </c>
      <c r="P221" s="85"/>
      <c r="Q221" s="133">
        <f>+Q220*0.08</f>
        <v>1980.8679999999999</v>
      </c>
      <c r="R221" s="133"/>
      <c r="S221" s="133">
        <f>+S220*0.08</f>
        <v>1980.8679999999999</v>
      </c>
      <c r="T221" s="133"/>
      <c r="U221" s="133">
        <f>+U220*0.08</f>
        <v>1980.8679999999999</v>
      </c>
      <c r="V221" s="133"/>
      <c r="W221" s="133">
        <f>+W220*0.08</f>
        <v>1980.8679999999999</v>
      </c>
      <c r="X221" s="133"/>
      <c r="Y221" s="133">
        <f>+Y220*0.08</f>
        <v>4952.1679999999997</v>
      </c>
      <c r="Z221" s="86">
        <f t="shared" si="14"/>
        <v>25933.909999999996</v>
      </c>
      <c r="AA221" s="85"/>
      <c r="AB221" s="82">
        <f>21621+4130</f>
        <v>25751</v>
      </c>
      <c r="AC221" s="70"/>
      <c r="AD221" s="68"/>
    </row>
    <row r="222" spans="1:30" x14ac:dyDescent="0.2">
      <c r="A222" s="88" t="s">
        <v>223</v>
      </c>
      <c r="B222" s="87" t="s">
        <v>222</v>
      </c>
      <c r="C222" s="85">
        <v>6989.9</v>
      </c>
      <c r="D222" s="85"/>
      <c r="E222" s="85">
        <v>6989.9</v>
      </c>
      <c r="F222" s="85"/>
      <c r="G222" s="85">
        <v>7085.65</v>
      </c>
      <c r="H222" s="85"/>
      <c r="I222" s="85">
        <v>8790.32</v>
      </c>
      <c r="J222" s="85"/>
      <c r="K222" s="85">
        <v>10190.52</v>
      </c>
      <c r="L222" s="85"/>
      <c r="M222" s="85">
        <v>10190.56</v>
      </c>
      <c r="N222" s="85"/>
      <c r="O222" s="85">
        <v>10190.56</v>
      </c>
      <c r="P222" s="85"/>
      <c r="Q222" s="133">
        <v>10190.56</v>
      </c>
      <c r="R222" s="133"/>
      <c r="S222" s="133">
        <v>10190.56</v>
      </c>
      <c r="T222" s="133"/>
      <c r="U222" s="133">
        <v>10190.56</v>
      </c>
      <c r="V222" s="133"/>
      <c r="W222" s="133">
        <v>10190.56</v>
      </c>
      <c r="X222" s="133"/>
      <c r="Y222" s="133">
        <v>10190.56</v>
      </c>
      <c r="Z222" s="86">
        <f t="shared" si="14"/>
        <v>111380.20999999998</v>
      </c>
      <c r="AA222" s="85"/>
      <c r="AB222" s="82">
        <f>122947+5856+1474</f>
        <v>130277</v>
      </c>
      <c r="AC222" s="70"/>
      <c r="AD222" s="68"/>
    </row>
    <row r="223" spans="1:30" x14ac:dyDescent="0.2">
      <c r="A223" s="88" t="s">
        <v>221</v>
      </c>
      <c r="B223" s="87" t="s">
        <v>220</v>
      </c>
      <c r="C223" s="85">
        <v>236.72</v>
      </c>
      <c r="D223" s="85"/>
      <c r="E223" s="85">
        <v>227.63</v>
      </c>
      <c r="F223" s="85"/>
      <c r="G223" s="85">
        <v>277.13</v>
      </c>
      <c r="H223" s="85"/>
      <c r="I223" s="85">
        <v>258.73</v>
      </c>
      <c r="J223" s="85"/>
      <c r="K223" s="85">
        <v>333.3</v>
      </c>
      <c r="L223" s="85"/>
      <c r="M223" s="85">
        <v>221.94</v>
      </c>
      <c r="N223" s="85"/>
      <c r="O223" s="85">
        <v>208.98</v>
      </c>
      <c r="P223" s="85"/>
      <c r="Q223" s="133">
        <v>250</v>
      </c>
      <c r="R223" s="133"/>
      <c r="S223" s="133">
        <v>250</v>
      </c>
      <c r="T223" s="133"/>
      <c r="U223" s="133">
        <v>250</v>
      </c>
      <c r="V223" s="133"/>
      <c r="W223" s="133">
        <v>250</v>
      </c>
      <c r="X223" s="133"/>
      <c r="Y223" s="133">
        <v>375</v>
      </c>
      <c r="Z223" s="86">
        <f t="shared" si="14"/>
        <v>3139.4300000000003</v>
      </c>
      <c r="AA223" s="85"/>
      <c r="AB223" s="82">
        <f>4974+986</f>
        <v>5960</v>
      </c>
      <c r="AC223" s="70"/>
    </row>
    <row r="224" spans="1:30" x14ac:dyDescent="0.2">
      <c r="A224" s="88">
        <v>6030250</v>
      </c>
      <c r="B224" s="87" t="s">
        <v>219</v>
      </c>
      <c r="C224" s="85"/>
      <c r="D224" s="85"/>
      <c r="E224" s="85">
        <v>1222.9100000000001</v>
      </c>
      <c r="F224" s="85"/>
      <c r="G224" s="85">
        <v>678.75</v>
      </c>
      <c r="H224" s="85"/>
      <c r="I224" s="85">
        <v>364</v>
      </c>
      <c r="J224" s="85"/>
      <c r="K224" s="85">
        <v>343</v>
      </c>
      <c r="L224" s="85"/>
      <c r="M224" s="85">
        <v>89.7</v>
      </c>
      <c r="N224" s="85"/>
      <c r="O224" s="85">
        <v>0</v>
      </c>
      <c r="P224" s="85"/>
      <c r="Q224" s="133"/>
      <c r="R224" s="133"/>
      <c r="S224" s="133"/>
      <c r="T224" s="133"/>
      <c r="U224" s="133"/>
      <c r="V224" s="133"/>
      <c r="W224" s="133"/>
      <c r="X224" s="133"/>
      <c r="Y224" s="133"/>
      <c r="Z224" s="86">
        <f t="shared" si="14"/>
        <v>2698.3599999999997</v>
      </c>
      <c r="AA224" s="85"/>
      <c r="AB224" s="82"/>
      <c r="AC224" s="70"/>
    </row>
    <row r="225" spans="1:30" x14ac:dyDescent="0.2">
      <c r="A225" s="88" t="s">
        <v>218</v>
      </c>
      <c r="B225" s="87" t="s">
        <v>217</v>
      </c>
      <c r="C225" s="85">
        <v>1031.71</v>
      </c>
      <c r="D225" s="85"/>
      <c r="E225" s="85">
        <v>1031.71</v>
      </c>
      <c r="F225" s="85"/>
      <c r="G225" s="85">
        <v>1031.71</v>
      </c>
      <c r="H225" s="85"/>
      <c r="I225" s="85">
        <v>1031.71</v>
      </c>
      <c r="J225" s="85"/>
      <c r="K225" s="85">
        <v>1031.71</v>
      </c>
      <c r="L225" s="85"/>
      <c r="M225" s="85">
        <v>34.08</v>
      </c>
      <c r="N225" s="85"/>
      <c r="O225" s="85">
        <v>85.06</v>
      </c>
      <c r="P225" s="85"/>
      <c r="Q225" s="133">
        <v>85</v>
      </c>
      <c r="R225" s="133"/>
      <c r="S225" s="133">
        <v>85</v>
      </c>
      <c r="T225" s="133"/>
      <c r="U225" s="133">
        <v>85</v>
      </c>
      <c r="V225" s="133"/>
      <c r="W225" s="133">
        <v>85</v>
      </c>
      <c r="X225" s="133"/>
      <c r="Y225" s="133">
        <v>85</v>
      </c>
      <c r="Z225" s="86">
        <f t="shared" si="14"/>
        <v>5702.6900000000005</v>
      </c>
      <c r="AA225" s="85"/>
      <c r="AB225" s="82">
        <f>351+67</f>
        <v>418</v>
      </c>
      <c r="AC225" s="70"/>
      <c r="AD225" s="68"/>
    </row>
    <row r="226" spans="1:30" x14ac:dyDescent="0.2">
      <c r="A226" s="88" t="s">
        <v>216</v>
      </c>
      <c r="B226" s="87" t="s">
        <v>140</v>
      </c>
      <c r="C226" s="85">
        <v>1172</v>
      </c>
      <c r="D226" s="85"/>
      <c r="E226" s="85">
        <v>13214.75</v>
      </c>
      <c r="F226" s="85"/>
      <c r="G226" s="85">
        <v>41002.639999999999</v>
      </c>
      <c r="H226" s="85"/>
      <c r="I226" s="85">
        <v>35201.39</v>
      </c>
      <c r="J226" s="85"/>
      <c r="K226" s="85">
        <v>46186.51</v>
      </c>
      <c r="L226" s="85"/>
      <c r="M226" s="85">
        <v>17690.63</v>
      </c>
      <c r="N226" s="85"/>
      <c r="O226" s="85">
        <v>12961.13</v>
      </c>
      <c r="P226" s="85"/>
      <c r="Q226" s="133">
        <v>10000</v>
      </c>
      <c r="R226" s="133"/>
      <c r="S226" s="133">
        <v>0</v>
      </c>
      <c r="T226" s="133"/>
      <c r="U226" s="133">
        <v>0</v>
      </c>
      <c r="V226" s="133"/>
      <c r="W226" s="133">
        <v>0</v>
      </c>
      <c r="X226" s="133"/>
      <c r="Y226" s="133">
        <v>0</v>
      </c>
      <c r="Z226" s="86">
        <f t="shared" si="14"/>
        <v>177429.05000000002</v>
      </c>
      <c r="AA226" s="85"/>
      <c r="AB226" s="82">
        <v>190320</v>
      </c>
      <c r="AC226" s="70"/>
    </row>
    <row r="227" spans="1:30" x14ac:dyDescent="0.2">
      <c r="A227" s="88" t="s">
        <v>215</v>
      </c>
      <c r="B227" s="87" t="s">
        <v>139</v>
      </c>
      <c r="C227" s="85">
        <v>90.33</v>
      </c>
      <c r="D227" s="85"/>
      <c r="E227" s="85">
        <v>1314.56</v>
      </c>
      <c r="F227" s="85"/>
      <c r="G227" s="85">
        <v>3615.6</v>
      </c>
      <c r="H227" s="85"/>
      <c r="I227" s="85">
        <v>3110.66</v>
      </c>
      <c r="J227" s="85"/>
      <c r="K227" s="85">
        <v>3437.67</v>
      </c>
      <c r="L227" s="85"/>
      <c r="M227" s="85">
        <v>1469.33</v>
      </c>
      <c r="N227" s="85"/>
      <c r="O227" s="85">
        <v>1100.4000000000001</v>
      </c>
      <c r="P227" s="85"/>
      <c r="Q227" s="133">
        <v>900</v>
      </c>
      <c r="R227" s="133"/>
      <c r="S227" s="133">
        <v>0</v>
      </c>
      <c r="T227" s="133"/>
      <c r="U227" s="133">
        <v>0</v>
      </c>
      <c r="V227" s="133"/>
      <c r="W227" s="133">
        <v>0</v>
      </c>
      <c r="X227" s="133"/>
      <c r="Y227" s="133">
        <v>0</v>
      </c>
      <c r="Z227" s="86">
        <f t="shared" si="14"/>
        <v>15038.55</v>
      </c>
      <c r="AA227" s="85"/>
      <c r="AB227" s="82">
        <v>16250</v>
      </c>
      <c r="AC227" s="70"/>
    </row>
    <row r="228" spans="1:30" x14ac:dyDescent="0.2">
      <c r="A228" s="88" t="s">
        <v>214</v>
      </c>
      <c r="B228" s="87" t="s">
        <v>137</v>
      </c>
      <c r="C228" s="85"/>
      <c r="D228" s="85"/>
      <c r="E228" s="85">
        <v>17715.189999999999</v>
      </c>
      <c r="F228" s="85"/>
      <c r="G228" s="85"/>
      <c r="H228" s="85"/>
      <c r="I228" s="85"/>
      <c r="J228" s="85"/>
      <c r="K228" s="85">
        <v>-460.7</v>
      </c>
      <c r="L228" s="85"/>
      <c r="M228" s="85">
        <v>0</v>
      </c>
      <c r="N228" s="85"/>
      <c r="O228" s="85">
        <v>0</v>
      </c>
      <c r="P228" s="85"/>
      <c r="Q228" s="133">
        <v>0</v>
      </c>
      <c r="R228" s="133"/>
      <c r="S228" s="133">
        <v>0</v>
      </c>
      <c r="T228" s="133"/>
      <c r="U228" s="133">
        <v>0</v>
      </c>
      <c r="V228" s="133"/>
      <c r="W228" s="133">
        <v>0</v>
      </c>
      <c r="X228" s="133"/>
      <c r="Y228" s="133">
        <v>0</v>
      </c>
      <c r="Z228" s="86">
        <f t="shared" si="14"/>
        <v>17254.489999999998</v>
      </c>
      <c r="AA228" s="85"/>
      <c r="AB228" s="82">
        <v>8000</v>
      </c>
      <c r="AC228" s="70"/>
    </row>
    <row r="229" spans="1:30" x14ac:dyDescent="0.2">
      <c r="A229" s="88" t="s">
        <v>213</v>
      </c>
      <c r="B229" s="87" t="s">
        <v>136</v>
      </c>
      <c r="C229" s="85">
        <v>219.7</v>
      </c>
      <c r="D229" s="85"/>
      <c r="E229" s="85">
        <v>219.7</v>
      </c>
      <c r="F229" s="85"/>
      <c r="G229" s="85">
        <v>219.7</v>
      </c>
      <c r="H229" s="85"/>
      <c r="I229" s="85">
        <v>219.7</v>
      </c>
      <c r="J229" s="85"/>
      <c r="K229" s="85">
        <v>219.7</v>
      </c>
      <c r="L229" s="85"/>
      <c r="M229" s="85">
        <v>529.07000000000005</v>
      </c>
      <c r="N229" s="85"/>
      <c r="O229" s="85">
        <v>1320.58</v>
      </c>
      <c r="P229" s="85"/>
      <c r="Q229" s="133">
        <v>1000</v>
      </c>
      <c r="R229" s="133"/>
      <c r="S229" s="133">
        <v>1000</v>
      </c>
      <c r="T229" s="133"/>
      <c r="U229" s="133">
        <v>1000</v>
      </c>
      <c r="V229" s="133"/>
      <c r="W229" s="133">
        <v>1000</v>
      </c>
      <c r="X229" s="133"/>
      <c r="Y229" s="133">
        <v>1000</v>
      </c>
      <c r="Z229" s="86">
        <f t="shared" si="14"/>
        <v>7948.15</v>
      </c>
      <c r="AA229" s="85"/>
      <c r="AB229" s="82">
        <v>6489.91</v>
      </c>
      <c r="AC229" s="70"/>
      <c r="AD229" s="68"/>
    </row>
    <row r="230" spans="1:30" x14ac:dyDescent="0.2">
      <c r="A230" s="88" t="s">
        <v>212</v>
      </c>
      <c r="B230" s="87" t="s">
        <v>134</v>
      </c>
      <c r="C230" s="85">
        <v>1518.72</v>
      </c>
      <c r="D230" s="85"/>
      <c r="E230" s="85">
        <v>1284.5</v>
      </c>
      <c r="F230" s="85"/>
      <c r="G230" s="85">
        <v>1908.02</v>
      </c>
      <c r="H230" s="85"/>
      <c r="I230" s="85">
        <v>1725.89</v>
      </c>
      <c r="J230" s="85"/>
      <c r="K230" s="85">
        <v>762.8</v>
      </c>
      <c r="L230" s="85"/>
      <c r="M230" s="85">
        <v>2693.69</v>
      </c>
      <c r="N230" s="85"/>
      <c r="O230" s="85">
        <v>2327.33</v>
      </c>
      <c r="P230" s="85"/>
      <c r="Q230" s="133">
        <v>1291.67</v>
      </c>
      <c r="R230" s="133"/>
      <c r="S230" s="133">
        <v>1291.67</v>
      </c>
      <c r="T230" s="133"/>
      <c r="U230" s="133">
        <v>1291.67</v>
      </c>
      <c r="V230" s="133"/>
      <c r="W230" s="133">
        <v>1291.67</v>
      </c>
      <c r="X230" s="133"/>
      <c r="Y230" s="133">
        <v>1291.67</v>
      </c>
      <c r="Z230" s="86">
        <f t="shared" si="14"/>
        <v>18679.300000000003</v>
      </c>
      <c r="AA230" s="85"/>
      <c r="AB230" s="82">
        <v>15500</v>
      </c>
      <c r="AC230" s="70"/>
    </row>
    <row r="231" spans="1:30" x14ac:dyDescent="0.2">
      <c r="A231" s="88" t="s">
        <v>211</v>
      </c>
      <c r="B231" s="87" t="s">
        <v>132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>
        <v>0</v>
      </c>
      <c r="N231" s="85"/>
      <c r="O231" s="85">
        <v>0</v>
      </c>
      <c r="P231" s="85"/>
      <c r="Q231" s="133"/>
      <c r="R231" s="133"/>
      <c r="S231" s="133"/>
      <c r="T231" s="133"/>
      <c r="U231" s="133"/>
      <c r="V231" s="133"/>
      <c r="W231" s="133"/>
      <c r="X231" s="133"/>
      <c r="Y231" s="133"/>
      <c r="Z231" s="86">
        <f t="shared" si="14"/>
        <v>0</v>
      </c>
      <c r="AA231" s="85"/>
      <c r="AB231" s="82"/>
      <c r="AC231" s="70"/>
    </row>
    <row r="232" spans="1:30" x14ac:dyDescent="0.2">
      <c r="A232" s="88" t="s">
        <v>210</v>
      </c>
      <c r="B232" s="87" t="s">
        <v>209</v>
      </c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>
        <v>0</v>
      </c>
      <c r="N232" s="85"/>
      <c r="O232" s="85">
        <v>0</v>
      </c>
      <c r="P232" s="85"/>
      <c r="Q232" s="133"/>
      <c r="R232" s="133"/>
      <c r="S232" s="133"/>
      <c r="T232" s="133"/>
      <c r="U232" s="133"/>
      <c r="V232" s="133"/>
      <c r="W232" s="133"/>
      <c r="X232" s="133"/>
      <c r="Y232" s="133"/>
      <c r="Z232" s="86">
        <f t="shared" si="14"/>
        <v>0</v>
      </c>
      <c r="AA232" s="85"/>
      <c r="AB232" s="82"/>
      <c r="AC232" s="70"/>
    </row>
    <row r="233" spans="1:30" x14ac:dyDescent="0.2">
      <c r="A233" s="88" t="s">
        <v>208</v>
      </c>
      <c r="B233" s="87" t="s">
        <v>130</v>
      </c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>
        <v>0</v>
      </c>
      <c r="N233" s="85"/>
      <c r="O233" s="85">
        <v>0</v>
      </c>
      <c r="P233" s="85"/>
      <c r="Q233" s="133"/>
      <c r="R233" s="133"/>
      <c r="S233" s="133"/>
      <c r="T233" s="133"/>
      <c r="U233" s="133"/>
      <c r="V233" s="133"/>
      <c r="W233" s="133"/>
      <c r="X233" s="133"/>
      <c r="Y233" s="133"/>
      <c r="Z233" s="86">
        <f t="shared" si="14"/>
        <v>0</v>
      </c>
      <c r="AA233" s="85"/>
      <c r="AB233" s="82"/>
      <c r="AC233" s="70"/>
    </row>
    <row r="234" spans="1:30" x14ac:dyDescent="0.2">
      <c r="A234" s="88" t="s">
        <v>207</v>
      </c>
      <c r="B234" s="87" t="s">
        <v>126</v>
      </c>
      <c r="C234" s="85">
        <v>7062.04</v>
      </c>
      <c r="D234" s="85"/>
      <c r="E234" s="85">
        <v>4529.91</v>
      </c>
      <c r="F234" s="85"/>
      <c r="G234" s="85">
        <v>5724.3</v>
      </c>
      <c r="H234" s="85"/>
      <c r="I234" s="85">
        <v>1949.9</v>
      </c>
      <c r="J234" s="85"/>
      <c r="K234" s="85">
        <v>5673.95</v>
      </c>
      <c r="L234" s="85"/>
      <c r="M234" s="85">
        <v>5414.47</v>
      </c>
      <c r="N234" s="85"/>
      <c r="O234" s="85">
        <v>4038.19</v>
      </c>
      <c r="P234" s="85"/>
      <c r="Q234" s="133">
        <v>4583.33</v>
      </c>
      <c r="R234" s="133"/>
      <c r="S234" s="133">
        <v>4583.33</v>
      </c>
      <c r="T234" s="133"/>
      <c r="U234" s="133">
        <v>4583.33</v>
      </c>
      <c r="V234" s="133"/>
      <c r="W234" s="133">
        <v>4583.33</v>
      </c>
      <c r="X234" s="133"/>
      <c r="Y234" s="133">
        <v>4583.33</v>
      </c>
      <c r="Z234" s="86">
        <f t="shared" si="14"/>
        <v>57309.410000000011</v>
      </c>
      <c r="AA234" s="85"/>
      <c r="AB234" s="82">
        <v>55000</v>
      </c>
      <c r="AC234" s="70"/>
    </row>
    <row r="235" spans="1:30" x14ac:dyDescent="0.2">
      <c r="A235" s="88">
        <v>6030605</v>
      </c>
      <c r="B235" s="87" t="s">
        <v>206</v>
      </c>
      <c r="C235" s="85">
        <v>298.3</v>
      </c>
      <c r="D235" s="85"/>
      <c r="E235" s="85"/>
      <c r="F235" s="85"/>
      <c r="G235" s="85"/>
      <c r="H235" s="85"/>
      <c r="I235" s="85"/>
      <c r="J235" s="85"/>
      <c r="K235" s="85"/>
      <c r="L235" s="85"/>
      <c r="M235" s="85">
        <v>0</v>
      </c>
      <c r="N235" s="85"/>
      <c r="O235" s="85">
        <v>0</v>
      </c>
      <c r="P235" s="85"/>
      <c r="Q235" s="133"/>
      <c r="R235" s="133"/>
      <c r="S235" s="133"/>
      <c r="T235" s="133"/>
      <c r="U235" s="133"/>
      <c r="V235" s="133"/>
      <c r="W235" s="133"/>
      <c r="X235" s="133"/>
      <c r="Y235" s="133"/>
      <c r="Z235" s="86">
        <f t="shared" si="14"/>
        <v>298.3</v>
      </c>
      <c r="AA235" s="85"/>
      <c r="AB235" s="82"/>
      <c r="AC235" s="70"/>
    </row>
    <row r="236" spans="1:30" x14ac:dyDescent="0.2">
      <c r="A236" s="88" t="s">
        <v>205</v>
      </c>
      <c r="B236" s="87" t="s">
        <v>157</v>
      </c>
      <c r="C236" s="85">
        <v>3759.11</v>
      </c>
      <c r="D236" s="85"/>
      <c r="E236" s="85">
        <v>10772.36</v>
      </c>
      <c r="F236" s="85"/>
      <c r="G236" s="85">
        <v>1515.36</v>
      </c>
      <c r="H236" s="85"/>
      <c r="I236" s="85">
        <v>2177.11</v>
      </c>
      <c r="J236" s="85"/>
      <c r="K236" s="85">
        <v>2329.7199999999998</v>
      </c>
      <c r="L236" s="85"/>
      <c r="M236" s="85">
        <v>2467.6799999999998</v>
      </c>
      <c r="N236" s="85"/>
      <c r="O236" s="85">
        <v>5901.07</v>
      </c>
      <c r="P236" s="85"/>
      <c r="Q236" s="133">
        <v>2000</v>
      </c>
      <c r="R236" s="133"/>
      <c r="S236" s="133">
        <v>2000</v>
      </c>
      <c r="T236" s="133"/>
      <c r="U236" s="133">
        <v>2000</v>
      </c>
      <c r="V236" s="133"/>
      <c r="W236" s="133">
        <v>2000</v>
      </c>
      <c r="X236" s="133"/>
      <c r="Y236" s="133">
        <v>2000</v>
      </c>
      <c r="Z236" s="86">
        <f t="shared" si="14"/>
        <v>38922.410000000003</v>
      </c>
      <c r="AA236" s="85"/>
      <c r="AB236" s="82">
        <v>25000</v>
      </c>
      <c r="AC236" s="70"/>
    </row>
    <row r="237" spans="1:30" x14ac:dyDescent="0.2">
      <c r="A237" s="88" t="s">
        <v>204</v>
      </c>
      <c r="B237" s="87" t="s">
        <v>203</v>
      </c>
      <c r="C237" s="85">
        <v>625</v>
      </c>
      <c r="D237" s="85"/>
      <c r="E237" s="85">
        <v>75</v>
      </c>
      <c r="F237" s="85"/>
      <c r="G237" s="85">
        <v>75</v>
      </c>
      <c r="H237" s="85"/>
      <c r="I237" s="85"/>
      <c r="J237" s="85"/>
      <c r="K237" s="85">
        <v>808</v>
      </c>
      <c r="L237" s="85"/>
      <c r="M237" s="85">
        <v>171</v>
      </c>
      <c r="N237" s="85"/>
      <c r="O237" s="85">
        <v>250</v>
      </c>
      <c r="P237" s="85"/>
      <c r="Q237" s="133">
        <v>1500</v>
      </c>
      <c r="R237" s="133"/>
      <c r="S237" s="133">
        <v>1500</v>
      </c>
      <c r="T237" s="133"/>
      <c r="U237" s="133">
        <v>1500</v>
      </c>
      <c r="V237" s="133"/>
      <c r="W237" s="133">
        <v>1500</v>
      </c>
      <c r="X237" s="133"/>
      <c r="Y237" s="133">
        <v>1500</v>
      </c>
      <c r="Z237" s="86">
        <f t="shared" si="14"/>
        <v>9504</v>
      </c>
      <c r="AA237" s="85"/>
      <c r="AB237" s="82">
        <v>20000</v>
      </c>
      <c r="AC237" s="70"/>
    </row>
    <row r="238" spans="1:30" x14ac:dyDescent="0.2">
      <c r="A238" s="88" t="s">
        <v>202</v>
      </c>
      <c r="B238" s="87" t="s">
        <v>122</v>
      </c>
      <c r="C238" s="85">
        <v>11320.65</v>
      </c>
      <c r="D238" s="85"/>
      <c r="E238" s="85">
        <v>14368.38</v>
      </c>
      <c r="F238" s="85"/>
      <c r="G238" s="85">
        <v>11320.65</v>
      </c>
      <c r="H238" s="85"/>
      <c r="I238" s="85">
        <v>11320.65</v>
      </c>
      <c r="J238" s="85"/>
      <c r="K238" s="85">
        <v>11320.65</v>
      </c>
      <c r="L238" s="85"/>
      <c r="M238" s="85">
        <v>11320.65</v>
      </c>
      <c r="N238" s="85"/>
      <c r="O238" s="85">
        <v>11320.65</v>
      </c>
      <c r="P238" s="85"/>
      <c r="Q238" s="133">
        <v>12500</v>
      </c>
      <c r="R238" s="133"/>
      <c r="S238" s="133">
        <v>12500</v>
      </c>
      <c r="T238" s="133"/>
      <c r="U238" s="133">
        <v>12500</v>
      </c>
      <c r="V238" s="133"/>
      <c r="W238" s="133">
        <v>12500</v>
      </c>
      <c r="X238" s="133"/>
      <c r="Y238" s="133">
        <v>12500</v>
      </c>
      <c r="Z238" s="86">
        <f t="shared" si="14"/>
        <v>144792.28</v>
      </c>
      <c r="AA238" s="85"/>
      <c r="AB238" s="82">
        <v>150000</v>
      </c>
      <c r="AC238" s="70"/>
    </row>
    <row r="239" spans="1:30" x14ac:dyDescent="0.2">
      <c r="A239" s="88" t="s">
        <v>201</v>
      </c>
      <c r="B239" s="87" t="s">
        <v>120</v>
      </c>
      <c r="C239" s="85">
        <v>48</v>
      </c>
      <c r="D239" s="85"/>
      <c r="E239" s="85">
        <v>1290</v>
      </c>
      <c r="F239" s="85"/>
      <c r="G239" s="85">
        <v>6556.94</v>
      </c>
      <c r="H239" s="85"/>
      <c r="I239" s="85"/>
      <c r="J239" s="85"/>
      <c r="K239" s="85">
        <v>-4880.96</v>
      </c>
      <c r="L239" s="85"/>
      <c r="M239" s="85">
        <v>0</v>
      </c>
      <c r="N239" s="85"/>
      <c r="O239" s="85">
        <v>0</v>
      </c>
      <c r="P239" s="85"/>
      <c r="Q239" s="133">
        <v>100</v>
      </c>
      <c r="R239" s="133"/>
      <c r="S239" s="133">
        <v>100</v>
      </c>
      <c r="T239" s="133"/>
      <c r="U239" s="133">
        <v>100</v>
      </c>
      <c r="V239" s="133"/>
      <c r="W239" s="133">
        <v>100</v>
      </c>
      <c r="X239" s="133"/>
      <c r="Y239" s="133">
        <v>100</v>
      </c>
      <c r="Z239" s="86">
        <f t="shared" si="14"/>
        <v>3513.9799999999996</v>
      </c>
      <c r="AA239" s="85"/>
      <c r="AB239" s="82">
        <v>1000</v>
      </c>
      <c r="AC239" s="70"/>
    </row>
    <row r="240" spans="1:30" x14ac:dyDescent="0.2">
      <c r="A240" s="88" t="s">
        <v>200</v>
      </c>
      <c r="B240" s="87" t="s">
        <v>199</v>
      </c>
      <c r="C240" s="85">
        <v>265</v>
      </c>
      <c r="D240" s="85"/>
      <c r="E240" s="85">
        <v>885</v>
      </c>
      <c r="F240" s="85"/>
      <c r="G240" s="85"/>
      <c r="H240" s="85"/>
      <c r="I240" s="85"/>
      <c r="J240" s="85"/>
      <c r="K240" s="85">
        <v>530.04999999999995</v>
      </c>
      <c r="L240" s="85"/>
      <c r="M240" s="85">
        <v>5324.85</v>
      </c>
      <c r="N240" s="85"/>
      <c r="O240" s="85">
        <v>50</v>
      </c>
      <c r="P240" s="85"/>
      <c r="Q240" s="133">
        <v>1250</v>
      </c>
      <c r="R240" s="133"/>
      <c r="S240" s="133">
        <v>1250</v>
      </c>
      <c r="T240" s="133"/>
      <c r="U240" s="133">
        <v>1250</v>
      </c>
      <c r="V240" s="133"/>
      <c r="W240" s="133">
        <v>1250</v>
      </c>
      <c r="X240" s="133"/>
      <c r="Y240" s="133">
        <v>1250</v>
      </c>
      <c r="Z240" s="86">
        <f t="shared" si="14"/>
        <v>13304.900000000001</v>
      </c>
      <c r="AA240" s="85"/>
      <c r="AB240" s="82">
        <v>15000</v>
      </c>
      <c r="AC240" s="70"/>
    </row>
    <row r="241" spans="1:29" x14ac:dyDescent="0.2">
      <c r="A241" s="88">
        <v>6031425</v>
      </c>
      <c r="B241" s="87" t="s">
        <v>198</v>
      </c>
      <c r="C241" s="85">
        <v>576.29999999999995</v>
      </c>
      <c r="D241" s="85"/>
      <c r="E241" s="85">
        <v>0</v>
      </c>
      <c r="F241" s="85"/>
      <c r="G241" s="85"/>
      <c r="H241" s="85"/>
      <c r="I241" s="85"/>
      <c r="J241" s="85"/>
      <c r="K241" s="85"/>
      <c r="L241" s="85"/>
      <c r="M241" s="85">
        <v>0</v>
      </c>
      <c r="N241" s="85"/>
      <c r="O241" s="85">
        <v>0</v>
      </c>
      <c r="P241" s="85"/>
      <c r="Q241" s="133"/>
      <c r="R241" s="133"/>
      <c r="S241" s="133"/>
      <c r="T241" s="133"/>
      <c r="U241" s="133"/>
      <c r="V241" s="133"/>
      <c r="W241" s="133"/>
      <c r="X241" s="133"/>
      <c r="Y241" s="133"/>
      <c r="Z241" s="86">
        <f t="shared" si="14"/>
        <v>576.29999999999995</v>
      </c>
      <c r="AA241" s="85"/>
      <c r="AB241" s="82"/>
      <c r="AC241" s="70"/>
    </row>
    <row r="242" spans="1:29" x14ac:dyDescent="0.2">
      <c r="A242" s="88">
        <v>6031450</v>
      </c>
      <c r="B242" s="87" t="s">
        <v>197</v>
      </c>
      <c r="C242" s="85">
        <v>70</v>
      </c>
      <c r="D242" s="85"/>
      <c r="E242" s="85">
        <v>580</v>
      </c>
      <c r="F242" s="85"/>
      <c r="G242" s="85">
        <v>300</v>
      </c>
      <c r="H242" s="85"/>
      <c r="I242" s="85"/>
      <c r="J242" s="85"/>
      <c r="K242" s="85"/>
      <c r="L242" s="85"/>
      <c r="M242" s="85">
        <v>0</v>
      </c>
      <c r="N242" s="85"/>
      <c r="O242" s="85">
        <v>0</v>
      </c>
      <c r="P242" s="85"/>
      <c r="Q242" s="133"/>
      <c r="R242" s="133"/>
      <c r="S242" s="133"/>
      <c r="T242" s="133"/>
      <c r="U242" s="133"/>
      <c r="V242" s="133"/>
      <c r="W242" s="133"/>
      <c r="X242" s="133"/>
      <c r="Y242" s="133"/>
      <c r="Z242" s="86">
        <f t="shared" si="14"/>
        <v>950</v>
      </c>
      <c r="AA242" s="85"/>
      <c r="AB242" s="82"/>
      <c r="AC242" s="70"/>
    </row>
    <row r="243" spans="1:29" x14ac:dyDescent="0.2">
      <c r="A243" s="88">
        <v>6031475</v>
      </c>
      <c r="B243" s="87" t="s">
        <v>196</v>
      </c>
      <c r="C243" s="85">
        <v>7102.03</v>
      </c>
      <c r="D243" s="85"/>
      <c r="E243" s="85">
        <v>1976</v>
      </c>
      <c r="F243" s="85"/>
      <c r="G243" s="85"/>
      <c r="H243" s="85"/>
      <c r="I243" s="85">
        <v>6406.54</v>
      </c>
      <c r="J243" s="85"/>
      <c r="K243" s="85">
        <v>5075.6000000000004</v>
      </c>
      <c r="L243" s="85"/>
      <c r="M243" s="85">
        <v>1545.14</v>
      </c>
      <c r="N243" s="85"/>
      <c r="O243" s="85">
        <v>0</v>
      </c>
      <c r="P243" s="85"/>
      <c r="Q243" s="133">
        <v>1200</v>
      </c>
      <c r="R243" s="133"/>
      <c r="S243" s="133">
        <v>1200</v>
      </c>
      <c r="T243" s="133"/>
      <c r="U243" s="133">
        <v>1200</v>
      </c>
      <c r="V243" s="133"/>
      <c r="W243" s="133">
        <v>1200</v>
      </c>
      <c r="X243" s="133"/>
      <c r="Y243" s="133">
        <v>1200</v>
      </c>
      <c r="Z243" s="86">
        <f t="shared" si="14"/>
        <v>28105.309999999998</v>
      </c>
      <c r="AA243" s="85"/>
      <c r="AB243" s="82">
        <v>14000</v>
      </c>
      <c r="AC243" s="70"/>
    </row>
    <row r="244" spans="1:29" x14ac:dyDescent="0.2">
      <c r="A244" s="88" t="s">
        <v>195</v>
      </c>
      <c r="B244" s="87" t="s">
        <v>116</v>
      </c>
      <c r="C244" s="85">
        <v>1718.4</v>
      </c>
      <c r="D244" s="85"/>
      <c r="E244" s="85">
        <v>3470.43</v>
      </c>
      <c r="F244" s="85"/>
      <c r="G244" s="85">
        <v>2540.98</v>
      </c>
      <c r="H244" s="85"/>
      <c r="I244" s="85">
        <v>161.65</v>
      </c>
      <c r="J244" s="85"/>
      <c r="K244" s="85">
        <v>2073.59</v>
      </c>
      <c r="L244" s="85"/>
      <c r="M244" s="85">
        <v>1148.49</v>
      </c>
      <c r="N244" s="85"/>
      <c r="O244" s="85">
        <v>415.79</v>
      </c>
      <c r="P244" s="85"/>
      <c r="Q244" s="133">
        <v>1000</v>
      </c>
      <c r="R244" s="133"/>
      <c r="S244" s="133">
        <v>1000</v>
      </c>
      <c r="T244" s="133"/>
      <c r="U244" s="133">
        <v>1000</v>
      </c>
      <c r="V244" s="133"/>
      <c r="W244" s="133">
        <v>1000</v>
      </c>
      <c r="X244" s="133"/>
      <c r="Y244" s="133">
        <v>1000</v>
      </c>
      <c r="Z244" s="86">
        <f t="shared" si="14"/>
        <v>16529.330000000002</v>
      </c>
      <c r="AA244" s="85"/>
      <c r="AB244" s="82">
        <v>12000</v>
      </c>
      <c r="AC244" s="70"/>
    </row>
    <row r="245" spans="1:29" x14ac:dyDescent="0.2">
      <c r="A245" s="88">
        <v>6031550</v>
      </c>
      <c r="B245" s="87" t="s">
        <v>194</v>
      </c>
      <c r="C245" s="85">
        <v>3189.45</v>
      </c>
      <c r="D245" s="85"/>
      <c r="E245" s="85">
        <v>395.18</v>
      </c>
      <c r="F245" s="85"/>
      <c r="G245" s="85">
        <v>1778.78</v>
      </c>
      <c r="H245" s="85"/>
      <c r="I245" s="85">
        <v>12100</v>
      </c>
      <c r="J245" s="85"/>
      <c r="K245" s="85">
        <v>436.83</v>
      </c>
      <c r="L245" s="85"/>
      <c r="M245" s="85">
        <v>649.33000000000004</v>
      </c>
      <c r="N245" s="85"/>
      <c r="O245" s="85">
        <v>90</v>
      </c>
      <c r="P245" s="85"/>
      <c r="Q245" s="133">
        <v>500</v>
      </c>
      <c r="R245" s="133"/>
      <c r="S245" s="133">
        <v>500</v>
      </c>
      <c r="T245" s="133"/>
      <c r="U245" s="133">
        <v>500</v>
      </c>
      <c r="V245" s="133"/>
      <c r="W245" s="133">
        <v>500</v>
      </c>
      <c r="X245" s="133"/>
      <c r="Y245" s="133">
        <v>500</v>
      </c>
      <c r="Z245" s="86">
        <f t="shared" si="14"/>
        <v>21139.570000000003</v>
      </c>
      <c r="AA245" s="85"/>
      <c r="AB245" s="82">
        <v>8000</v>
      </c>
      <c r="AC245" s="70"/>
    </row>
    <row r="246" spans="1:29" x14ac:dyDescent="0.2">
      <c r="A246" s="88">
        <v>6031600</v>
      </c>
      <c r="B246" s="87" t="s">
        <v>114</v>
      </c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133"/>
      <c r="R246" s="133"/>
      <c r="S246" s="133"/>
      <c r="T246" s="133"/>
      <c r="U246" s="133"/>
      <c r="V246" s="133"/>
      <c r="W246" s="133"/>
      <c r="X246" s="133"/>
      <c r="Y246" s="133"/>
      <c r="Z246" s="86">
        <f t="shared" si="14"/>
        <v>0</v>
      </c>
      <c r="AA246" s="85"/>
      <c r="AB246" s="82"/>
      <c r="AC246" s="70"/>
    </row>
    <row r="247" spans="1:29" x14ac:dyDescent="0.2">
      <c r="A247" s="88" t="s">
        <v>193</v>
      </c>
      <c r="B247" s="87" t="s">
        <v>112</v>
      </c>
      <c r="C247" s="85">
        <v>777.56</v>
      </c>
      <c r="D247" s="85"/>
      <c r="E247" s="85">
        <v>3302.88</v>
      </c>
      <c r="F247" s="85"/>
      <c r="G247" s="85">
        <v>318.61</v>
      </c>
      <c r="H247" s="85"/>
      <c r="I247" s="85">
        <v>0</v>
      </c>
      <c r="J247" s="85"/>
      <c r="K247" s="85">
        <v>2507.8000000000002</v>
      </c>
      <c r="L247" s="85"/>
      <c r="M247" s="85">
        <v>2615.6999999999998</v>
      </c>
      <c r="N247" s="85"/>
      <c r="O247" s="85">
        <v>95</v>
      </c>
      <c r="P247" s="85"/>
      <c r="Q247" s="133">
        <v>400</v>
      </c>
      <c r="R247" s="133"/>
      <c r="S247" s="133">
        <v>400</v>
      </c>
      <c r="T247" s="133"/>
      <c r="U247" s="133">
        <v>400</v>
      </c>
      <c r="V247" s="133"/>
      <c r="W247" s="133">
        <v>400</v>
      </c>
      <c r="X247" s="133"/>
      <c r="Y247" s="133">
        <v>400</v>
      </c>
      <c r="Z247" s="86">
        <f t="shared" si="14"/>
        <v>11617.55</v>
      </c>
      <c r="AA247" s="85"/>
      <c r="AB247" s="82">
        <v>5000</v>
      </c>
      <c r="AC247" s="70"/>
    </row>
    <row r="248" spans="1:29" x14ac:dyDescent="0.2">
      <c r="A248" s="88" t="s">
        <v>192</v>
      </c>
      <c r="B248" s="87" t="s">
        <v>108</v>
      </c>
      <c r="C248" s="85">
        <v>2979.26</v>
      </c>
      <c r="D248" s="85"/>
      <c r="E248" s="85">
        <v>1679.35</v>
      </c>
      <c r="F248" s="85"/>
      <c r="G248" s="85"/>
      <c r="H248" s="85"/>
      <c r="I248" s="85"/>
      <c r="J248" s="85"/>
      <c r="K248" s="85">
        <v>250</v>
      </c>
      <c r="L248" s="85"/>
      <c r="M248" s="85">
        <v>4370</v>
      </c>
      <c r="N248" s="85"/>
      <c r="O248" s="85">
        <v>0</v>
      </c>
      <c r="P248" s="85"/>
      <c r="Q248" s="133"/>
      <c r="R248" s="133"/>
      <c r="S248" s="133"/>
      <c r="T248" s="133"/>
      <c r="U248" s="133"/>
      <c r="V248" s="133"/>
      <c r="W248" s="133"/>
      <c r="X248" s="133"/>
      <c r="Y248" s="133"/>
      <c r="Z248" s="86">
        <f t="shared" si="14"/>
        <v>9278.61</v>
      </c>
      <c r="AA248" s="85"/>
      <c r="AB248" s="82">
        <v>10000</v>
      </c>
      <c r="AC248" s="70"/>
    </row>
    <row r="249" spans="1:29" x14ac:dyDescent="0.2">
      <c r="A249" s="88" t="s">
        <v>191</v>
      </c>
      <c r="B249" s="87" t="s">
        <v>190</v>
      </c>
      <c r="C249" s="85">
        <v>680.17</v>
      </c>
      <c r="D249" s="85"/>
      <c r="E249" s="85"/>
      <c r="F249" s="85"/>
      <c r="G249" s="85"/>
      <c r="H249" s="85"/>
      <c r="I249" s="85">
        <v>450</v>
      </c>
      <c r="J249" s="85"/>
      <c r="K249" s="85"/>
      <c r="L249" s="85"/>
      <c r="M249" s="85">
        <v>300</v>
      </c>
      <c r="N249" s="85"/>
      <c r="O249" s="85">
        <v>150</v>
      </c>
      <c r="P249" s="85"/>
      <c r="Q249" s="133"/>
      <c r="R249" s="133"/>
      <c r="S249" s="133"/>
      <c r="T249" s="133"/>
      <c r="U249" s="133"/>
      <c r="V249" s="133"/>
      <c r="W249" s="133"/>
      <c r="X249" s="133"/>
      <c r="Y249" s="133"/>
      <c r="Z249" s="86">
        <f t="shared" si="14"/>
        <v>1580.17</v>
      </c>
      <c r="AA249" s="85"/>
      <c r="AB249" s="82">
        <v>1000</v>
      </c>
      <c r="AC249" s="70"/>
    </row>
    <row r="250" spans="1:29" x14ac:dyDescent="0.2">
      <c r="A250" s="88" t="s">
        <v>189</v>
      </c>
      <c r="B250" s="87" t="s">
        <v>107</v>
      </c>
      <c r="C250" s="85"/>
      <c r="D250" s="85"/>
      <c r="E250" s="85">
        <v>546.96</v>
      </c>
      <c r="F250" s="85"/>
      <c r="G250" s="85">
        <v>2762.87</v>
      </c>
      <c r="H250" s="85"/>
      <c r="I250" s="85">
        <v>2465</v>
      </c>
      <c r="J250" s="85"/>
      <c r="K250" s="85">
        <v>4299.17</v>
      </c>
      <c r="L250" s="85"/>
      <c r="M250" s="85">
        <v>10385.52</v>
      </c>
      <c r="N250" s="85"/>
      <c r="O250" s="85">
        <v>2420.9699999999998</v>
      </c>
      <c r="P250" s="85"/>
      <c r="Q250" s="133"/>
      <c r="R250" s="133"/>
      <c r="S250" s="133"/>
      <c r="T250" s="133"/>
      <c r="U250" s="133"/>
      <c r="V250" s="133"/>
      <c r="W250" s="133"/>
      <c r="X250" s="133"/>
      <c r="Y250" s="133"/>
      <c r="Z250" s="86">
        <f t="shared" si="14"/>
        <v>22880.49</v>
      </c>
      <c r="AA250" s="85"/>
      <c r="AB250" s="82">
        <v>315000</v>
      </c>
      <c r="AC250" s="70"/>
    </row>
    <row r="251" spans="1:29" x14ac:dyDescent="0.2">
      <c r="A251" s="88">
        <v>6032050</v>
      </c>
      <c r="B251" s="87" t="s">
        <v>106</v>
      </c>
      <c r="C251" s="85">
        <v>7947</v>
      </c>
      <c r="D251" s="85"/>
      <c r="E251" s="85">
        <v>65100.7</v>
      </c>
      <c r="F251" s="85"/>
      <c r="G251" s="85">
        <v>22277.52</v>
      </c>
      <c r="H251" s="85"/>
      <c r="I251" s="85">
        <v>16791</v>
      </c>
      <c r="J251" s="85"/>
      <c r="K251" s="85">
        <v>78301.240000000005</v>
      </c>
      <c r="L251" s="85"/>
      <c r="M251" s="85">
        <v>76680.88</v>
      </c>
      <c r="N251" s="85"/>
      <c r="O251" s="85"/>
      <c r="P251" s="85"/>
      <c r="Q251" s="133"/>
      <c r="R251" s="133"/>
      <c r="S251" s="133"/>
      <c r="T251" s="133"/>
      <c r="U251" s="133"/>
      <c r="V251" s="133"/>
      <c r="W251" s="133"/>
      <c r="X251" s="133"/>
      <c r="Y251" s="133"/>
      <c r="Z251" s="86">
        <f t="shared" si="14"/>
        <v>267098.34000000003</v>
      </c>
      <c r="AA251" s="85"/>
      <c r="AB251" s="82"/>
      <c r="AC251" s="70"/>
    </row>
    <row r="252" spans="1:29" x14ac:dyDescent="0.2">
      <c r="A252" s="84"/>
      <c r="B252" s="83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137"/>
      <c r="R252" s="137"/>
      <c r="S252" s="137"/>
      <c r="T252" s="137"/>
      <c r="U252" s="137"/>
      <c r="V252" s="137"/>
      <c r="W252" s="137"/>
      <c r="X252" s="137"/>
      <c r="Y252" s="137"/>
      <c r="Z252" s="82"/>
      <c r="AA252" s="82"/>
      <c r="AB252" s="82"/>
      <c r="AC252" s="70"/>
    </row>
    <row r="253" spans="1:29" x14ac:dyDescent="0.2">
      <c r="A253" s="81" t="s">
        <v>105</v>
      </c>
      <c r="B253" s="80" t="s">
        <v>188</v>
      </c>
      <c r="C253" s="79">
        <f>SUM(C213:C252)</f>
        <v>198240.94</v>
      </c>
      <c r="D253" s="76"/>
      <c r="E253" s="79">
        <f>SUM(E213:E252)</f>
        <v>338273.22000000003</v>
      </c>
      <c r="F253" s="76"/>
      <c r="G253" s="79">
        <f>SUM(G213:G252)</f>
        <v>265774.19999999995</v>
      </c>
      <c r="H253" s="76"/>
      <c r="I253" s="79">
        <f>SUM(I213:I252)</f>
        <v>320420.97000000003</v>
      </c>
      <c r="J253" s="76"/>
      <c r="K253" s="79">
        <f>SUM(K213:K252)</f>
        <v>428235.99999999994</v>
      </c>
      <c r="L253" s="76"/>
      <c r="M253" s="79">
        <f>SUM(M213:M252)</f>
        <v>357501.89000000007</v>
      </c>
      <c r="N253" s="76"/>
      <c r="O253" s="79">
        <f>SUM(O213:O252)</f>
        <v>222960.56999999998</v>
      </c>
      <c r="P253" s="79"/>
      <c r="Q253" s="134">
        <f>SUM(Q213:Q252)</f>
        <v>267348.85619999998</v>
      </c>
      <c r="R253" s="134"/>
      <c r="S253" s="134">
        <f>SUM(S213:S252)</f>
        <v>202487.31679999997</v>
      </c>
      <c r="T253" s="134"/>
      <c r="U253" s="134">
        <f>SUM(U213:U252)</f>
        <v>202487.31679999997</v>
      </c>
      <c r="V253" s="134"/>
      <c r="W253" s="134">
        <f>SUM(W213:W252)</f>
        <v>202487.31679999997</v>
      </c>
      <c r="X253" s="134"/>
      <c r="Y253" s="134">
        <f>SUM(Y213:Y252)</f>
        <v>404609.47279999993</v>
      </c>
      <c r="Z253" s="79">
        <f>SUM(Z213:Z252)</f>
        <v>3410828.069399999</v>
      </c>
      <c r="AA253" s="76"/>
      <c r="AB253" s="79">
        <f>SUM(AB213:AB252)</f>
        <v>3155324.91</v>
      </c>
      <c r="AC253" s="70"/>
    </row>
    <row r="254" spans="1:29" x14ac:dyDescent="0.2"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135"/>
      <c r="R254" s="135"/>
      <c r="S254" s="135"/>
      <c r="T254" s="135"/>
      <c r="U254" s="135"/>
      <c r="V254" s="135"/>
      <c r="W254" s="135"/>
      <c r="X254" s="135"/>
      <c r="Y254" s="135"/>
      <c r="Z254" s="67"/>
      <c r="AA254" s="67"/>
      <c r="AB254" s="67"/>
      <c r="AC254" s="70"/>
    </row>
    <row r="255" spans="1:29" x14ac:dyDescent="0.2">
      <c r="A255" s="91" t="s">
        <v>187</v>
      </c>
      <c r="B255" s="90" t="s">
        <v>186</v>
      </c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136"/>
      <c r="R255" s="136"/>
      <c r="S255" s="136"/>
      <c r="T255" s="136"/>
      <c r="U255" s="136"/>
      <c r="V255" s="136"/>
      <c r="W255" s="136"/>
      <c r="X255" s="136"/>
      <c r="Y255" s="136"/>
      <c r="Z255" s="89"/>
      <c r="AA255" s="89"/>
      <c r="AB255" s="67"/>
      <c r="AC255" s="70"/>
    </row>
    <row r="256" spans="1:29" x14ac:dyDescent="0.2">
      <c r="A256" s="88" t="s">
        <v>185</v>
      </c>
      <c r="B256" s="87" t="s">
        <v>184</v>
      </c>
      <c r="C256" s="85">
        <v>6170.83</v>
      </c>
      <c r="D256" s="85"/>
      <c r="E256" s="85">
        <v>147.19999999999999</v>
      </c>
      <c r="F256" s="85"/>
      <c r="G256" s="85">
        <v>165.61</v>
      </c>
      <c r="H256" s="85"/>
      <c r="I256" s="85">
        <v>134.75</v>
      </c>
      <c r="J256" s="85"/>
      <c r="K256" s="85">
        <v>141.78</v>
      </c>
      <c r="L256" s="85"/>
      <c r="M256" s="85">
        <v>85.46</v>
      </c>
      <c r="N256" s="85"/>
      <c r="O256" s="85">
        <v>216.14</v>
      </c>
      <c r="P256" s="85"/>
      <c r="Q256" s="133">
        <v>625</v>
      </c>
      <c r="R256" s="133"/>
      <c r="S256" s="133">
        <v>625</v>
      </c>
      <c r="T256" s="133"/>
      <c r="U256" s="133">
        <v>625</v>
      </c>
      <c r="V256" s="133"/>
      <c r="W256" s="133">
        <v>625</v>
      </c>
      <c r="X256" s="133"/>
      <c r="Y256" s="133">
        <v>625</v>
      </c>
      <c r="Z256" s="86">
        <f t="shared" ref="Z256:Z263" si="15">SUM(C256:Y256)</f>
        <v>10186.77</v>
      </c>
      <c r="AA256" s="85"/>
      <c r="AB256" s="82">
        <v>7500</v>
      </c>
      <c r="AC256" s="70"/>
    </row>
    <row r="257" spans="1:30" x14ac:dyDescent="0.2">
      <c r="A257" s="88" t="s">
        <v>183</v>
      </c>
      <c r="B257" s="87" t="s">
        <v>182</v>
      </c>
      <c r="C257" s="85">
        <v>4682.34</v>
      </c>
      <c r="D257" s="85"/>
      <c r="E257" s="85">
        <v>3180.82</v>
      </c>
      <c r="F257" s="85"/>
      <c r="G257" s="85">
        <v>1200.75</v>
      </c>
      <c r="H257" s="85"/>
      <c r="I257" s="85">
        <v>15099.16</v>
      </c>
      <c r="J257" s="85"/>
      <c r="K257" s="85">
        <v>1334.85</v>
      </c>
      <c r="L257" s="85"/>
      <c r="M257" s="85">
        <v>15553.31</v>
      </c>
      <c r="N257" s="85"/>
      <c r="O257" s="85">
        <v>7008.19</v>
      </c>
      <c r="P257" s="85"/>
      <c r="Q257" s="133">
        <v>5800</v>
      </c>
      <c r="R257" s="133"/>
      <c r="S257" s="133">
        <v>5800</v>
      </c>
      <c r="T257" s="133"/>
      <c r="U257" s="133">
        <v>5800</v>
      </c>
      <c r="V257" s="133"/>
      <c r="W257" s="133">
        <v>5800</v>
      </c>
      <c r="X257" s="133"/>
      <c r="Y257" s="133">
        <v>5800</v>
      </c>
      <c r="Z257" s="86">
        <f t="shared" si="15"/>
        <v>77059.42</v>
      </c>
      <c r="AA257" s="85"/>
      <c r="AB257" s="82">
        <v>70000</v>
      </c>
      <c r="AC257" s="70"/>
    </row>
    <row r="258" spans="1:30" x14ac:dyDescent="0.2">
      <c r="A258" s="88" t="s">
        <v>181</v>
      </c>
      <c r="B258" s="87" t="s">
        <v>180</v>
      </c>
      <c r="C258" s="85">
        <v>923.31</v>
      </c>
      <c r="D258" s="85"/>
      <c r="E258" s="85">
        <v>1313.3</v>
      </c>
      <c r="F258" s="85"/>
      <c r="G258" s="85">
        <v>1231.52</v>
      </c>
      <c r="H258" s="85"/>
      <c r="I258" s="85">
        <v>2181.81</v>
      </c>
      <c r="J258" s="85"/>
      <c r="K258" s="85">
        <v>1289.77</v>
      </c>
      <c r="L258" s="85"/>
      <c r="M258" s="85">
        <v>1518.15</v>
      </c>
      <c r="N258" s="85"/>
      <c r="O258" s="85">
        <v>1048.33</v>
      </c>
      <c r="P258" s="85"/>
      <c r="Q258" s="133">
        <v>1500</v>
      </c>
      <c r="R258" s="133"/>
      <c r="S258" s="133">
        <v>1500</v>
      </c>
      <c r="T258" s="133"/>
      <c r="U258" s="133">
        <v>1500</v>
      </c>
      <c r="V258" s="133"/>
      <c r="W258" s="133">
        <v>1500</v>
      </c>
      <c r="X258" s="133"/>
      <c r="Y258" s="133">
        <v>1500</v>
      </c>
      <c r="Z258" s="86">
        <f t="shared" si="15"/>
        <v>17006.189999999999</v>
      </c>
      <c r="AA258" s="85"/>
      <c r="AB258" s="82">
        <v>20000</v>
      </c>
      <c r="AC258" s="70"/>
    </row>
    <row r="259" spans="1:30" x14ac:dyDescent="0.2">
      <c r="A259" s="88" t="s">
        <v>179</v>
      </c>
      <c r="B259" s="87" t="s">
        <v>178</v>
      </c>
      <c r="C259" s="85">
        <v>4275.2700000000004</v>
      </c>
      <c r="D259" s="85"/>
      <c r="E259" s="85">
        <v>2560.15</v>
      </c>
      <c r="F259" s="85"/>
      <c r="G259" s="85">
        <v>1536.1</v>
      </c>
      <c r="H259" s="85"/>
      <c r="I259" s="85">
        <v>186</v>
      </c>
      <c r="J259" s="85"/>
      <c r="K259" s="85">
        <v>198</v>
      </c>
      <c r="L259" s="85"/>
      <c r="M259" s="85">
        <v>603</v>
      </c>
      <c r="N259" s="85"/>
      <c r="O259" s="85">
        <v>0</v>
      </c>
      <c r="P259" s="85"/>
      <c r="Q259" s="133">
        <v>0</v>
      </c>
      <c r="R259" s="133"/>
      <c r="S259" s="133">
        <v>0</v>
      </c>
      <c r="T259" s="133"/>
      <c r="U259" s="133">
        <v>0</v>
      </c>
      <c r="V259" s="133"/>
      <c r="W259" s="133">
        <v>0</v>
      </c>
      <c r="X259" s="133"/>
      <c r="Y259" s="133">
        <v>5000</v>
      </c>
      <c r="Z259" s="86">
        <f t="shared" si="15"/>
        <v>14358.52</v>
      </c>
      <c r="AA259" s="85"/>
      <c r="AB259" s="82">
        <v>10000</v>
      </c>
      <c r="AC259" s="70"/>
    </row>
    <row r="260" spans="1:30" x14ac:dyDescent="0.2">
      <c r="A260" s="88" t="s">
        <v>177</v>
      </c>
      <c r="B260" s="87" t="s">
        <v>176</v>
      </c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>
        <v>0</v>
      </c>
      <c r="N260" s="85"/>
      <c r="O260" s="85">
        <v>0</v>
      </c>
      <c r="P260" s="85"/>
      <c r="Q260" s="133"/>
      <c r="R260" s="133"/>
      <c r="S260" s="133"/>
      <c r="T260" s="133"/>
      <c r="U260" s="133"/>
      <c r="V260" s="133"/>
      <c r="W260" s="133"/>
      <c r="X260" s="133"/>
      <c r="Y260" s="133"/>
      <c r="Z260" s="86">
        <f t="shared" si="15"/>
        <v>0</v>
      </c>
      <c r="AA260" s="85"/>
      <c r="AB260" s="82"/>
      <c r="AC260" s="70"/>
    </row>
    <row r="261" spans="1:30" x14ac:dyDescent="0.2">
      <c r="A261" s="88" t="s">
        <v>175</v>
      </c>
      <c r="B261" s="87" t="s">
        <v>174</v>
      </c>
      <c r="C261" s="85">
        <v>138.03</v>
      </c>
      <c r="D261" s="85"/>
      <c r="E261" s="85">
        <v>251.41</v>
      </c>
      <c r="F261" s="85"/>
      <c r="G261" s="85">
        <v>469.7</v>
      </c>
      <c r="H261" s="85"/>
      <c r="I261" s="85">
        <v>148.38999999999999</v>
      </c>
      <c r="J261" s="85"/>
      <c r="K261" s="85">
        <v>185.48</v>
      </c>
      <c r="L261" s="85"/>
      <c r="M261" s="85">
        <v>141.1</v>
      </c>
      <c r="N261" s="85"/>
      <c r="O261" s="85">
        <v>117.44</v>
      </c>
      <c r="P261" s="85"/>
      <c r="Q261" s="133">
        <v>100</v>
      </c>
      <c r="R261" s="133"/>
      <c r="S261" s="133">
        <v>100</v>
      </c>
      <c r="T261" s="133"/>
      <c r="U261" s="133">
        <v>100</v>
      </c>
      <c r="V261" s="133"/>
      <c r="W261" s="133">
        <v>100</v>
      </c>
      <c r="X261" s="133"/>
      <c r="Y261" s="133">
        <v>100</v>
      </c>
      <c r="Z261" s="86">
        <f t="shared" si="15"/>
        <v>1951.55</v>
      </c>
      <c r="AA261" s="85"/>
      <c r="AB261" s="82">
        <v>2000500</v>
      </c>
      <c r="AC261" s="70"/>
    </row>
    <row r="262" spans="1:30" x14ac:dyDescent="0.2">
      <c r="A262" s="88">
        <v>6012750</v>
      </c>
      <c r="B262" s="87" t="s">
        <v>173</v>
      </c>
      <c r="C262" s="85"/>
      <c r="D262" s="85"/>
      <c r="E262" s="85"/>
      <c r="F262" s="85"/>
      <c r="G262" s="85"/>
      <c r="H262" s="85"/>
      <c r="I262" s="85">
        <v>52900</v>
      </c>
      <c r="J262" s="85"/>
      <c r="K262" s="85"/>
      <c r="L262" s="85"/>
      <c r="M262" s="85">
        <v>58258.13</v>
      </c>
      <c r="N262" s="85"/>
      <c r="O262" s="85">
        <v>0</v>
      </c>
      <c r="P262" s="85"/>
      <c r="Q262" s="133"/>
      <c r="R262" s="133"/>
      <c r="S262" s="133"/>
      <c r="T262" s="133"/>
      <c r="U262" s="133"/>
      <c r="V262" s="133"/>
      <c r="W262" s="133"/>
      <c r="X262" s="133"/>
      <c r="Y262" s="133"/>
      <c r="Z262" s="86">
        <f t="shared" si="15"/>
        <v>111158.13</v>
      </c>
      <c r="AA262" s="85"/>
      <c r="AB262" s="82"/>
      <c r="AC262" s="70"/>
    </row>
    <row r="263" spans="1:30" x14ac:dyDescent="0.2">
      <c r="A263" s="88" t="s">
        <v>172</v>
      </c>
      <c r="B263" s="87" t="s">
        <v>171</v>
      </c>
      <c r="C263" s="85"/>
      <c r="D263" s="85"/>
      <c r="E263" s="85"/>
      <c r="F263" s="85"/>
      <c r="G263" s="85">
        <v>5778.77</v>
      </c>
      <c r="H263" s="85"/>
      <c r="I263" s="85"/>
      <c r="J263" s="85"/>
      <c r="K263" s="85">
        <v>775</v>
      </c>
      <c r="L263" s="85"/>
      <c r="M263" s="85">
        <v>434.36</v>
      </c>
      <c r="N263" s="85"/>
      <c r="O263" s="85">
        <v>742.3</v>
      </c>
      <c r="P263" s="85"/>
      <c r="Q263" s="133"/>
      <c r="R263" s="133"/>
      <c r="S263" s="133"/>
      <c r="T263" s="133"/>
      <c r="U263" s="133"/>
      <c r="V263" s="133"/>
      <c r="W263" s="133"/>
      <c r="X263" s="133"/>
      <c r="Y263" s="133"/>
      <c r="Z263" s="86">
        <f t="shared" si="15"/>
        <v>7730.43</v>
      </c>
      <c r="AA263" s="85"/>
      <c r="AB263" s="82">
        <v>300000</v>
      </c>
      <c r="AC263" s="70"/>
    </row>
    <row r="264" spans="1:30" x14ac:dyDescent="0.2">
      <c r="A264" s="88"/>
      <c r="B264" s="87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133"/>
      <c r="R264" s="133"/>
      <c r="S264" s="133"/>
      <c r="T264" s="133"/>
      <c r="U264" s="133"/>
      <c r="V264" s="133"/>
      <c r="W264" s="133"/>
      <c r="X264" s="133"/>
      <c r="Y264" s="133"/>
      <c r="Z264" s="85"/>
      <c r="AA264" s="85"/>
      <c r="AB264" s="82"/>
      <c r="AC264" s="70"/>
    </row>
    <row r="265" spans="1:30" x14ac:dyDescent="0.2">
      <c r="A265" s="95"/>
      <c r="B265" s="94" t="s">
        <v>170</v>
      </c>
      <c r="C265" s="92">
        <f>SUM(C256:C263)</f>
        <v>16189.78</v>
      </c>
      <c r="D265" s="76"/>
      <c r="E265" s="92">
        <f>SUM(E256:E263)</f>
        <v>7452.8799999999992</v>
      </c>
      <c r="F265" s="76"/>
      <c r="G265" s="92">
        <f>SUM(G256:G263)</f>
        <v>10382.450000000001</v>
      </c>
      <c r="H265" s="76"/>
      <c r="I265" s="92">
        <f>SUM(I256:I263)</f>
        <v>70650.11</v>
      </c>
      <c r="J265" s="76"/>
      <c r="K265" s="92">
        <f>SUM(K256:K263)</f>
        <v>3924.8799999999997</v>
      </c>
      <c r="L265" s="76"/>
      <c r="M265" s="92">
        <f>SUM(M256:M263)</f>
        <v>76593.509999999995</v>
      </c>
      <c r="N265" s="76"/>
      <c r="O265" s="92">
        <f>SUM(O256:O263)</f>
        <v>9132.4</v>
      </c>
      <c r="P265" s="92"/>
      <c r="Q265" s="140">
        <f>SUM(Q256:Q263)</f>
        <v>8025</v>
      </c>
      <c r="R265" s="140"/>
      <c r="S265" s="140">
        <f>SUM(S256:S263)</f>
        <v>8025</v>
      </c>
      <c r="T265" s="140"/>
      <c r="U265" s="140">
        <f>SUM(U256:U263)</f>
        <v>8025</v>
      </c>
      <c r="V265" s="140"/>
      <c r="W265" s="140">
        <f>SUM(W256:W263)</f>
        <v>8025</v>
      </c>
      <c r="X265" s="140"/>
      <c r="Y265" s="140">
        <f>SUM(Y256:Y263)</f>
        <v>13025</v>
      </c>
      <c r="Z265" s="92">
        <f>SUM(Z256:Z263)</f>
        <v>239451.01</v>
      </c>
      <c r="AA265" s="76"/>
      <c r="AB265" s="92">
        <f>SUM(AB256:AB263)</f>
        <v>2408000</v>
      </c>
      <c r="AC265" s="93"/>
    </row>
    <row r="266" spans="1:30" x14ac:dyDescent="0.2">
      <c r="A266" s="95"/>
      <c r="B266" s="94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141"/>
      <c r="R266" s="141"/>
      <c r="S266" s="141"/>
      <c r="T266" s="141"/>
      <c r="U266" s="141"/>
      <c r="V266" s="141"/>
      <c r="W266" s="141"/>
      <c r="X266" s="141"/>
      <c r="Y266" s="141"/>
      <c r="Z266" s="76"/>
      <c r="AA266" s="76"/>
      <c r="AB266" s="96"/>
      <c r="AC266" s="97"/>
    </row>
    <row r="267" spans="1:30" x14ac:dyDescent="0.2">
      <c r="A267" s="88" t="s">
        <v>169</v>
      </c>
      <c r="B267" s="87" t="s">
        <v>147</v>
      </c>
      <c r="C267" s="85">
        <v>5047.51</v>
      </c>
      <c r="D267" s="85"/>
      <c r="E267" s="85">
        <v>9124.18</v>
      </c>
      <c r="F267" s="85"/>
      <c r="G267" s="85">
        <v>7656.1</v>
      </c>
      <c r="H267" s="85"/>
      <c r="I267" s="85">
        <v>8270.08</v>
      </c>
      <c r="J267" s="85"/>
      <c r="K267" s="85">
        <v>12757.05</v>
      </c>
      <c r="L267" s="85"/>
      <c r="M267" s="85">
        <v>8700.65</v>
      </c>
      <c r="N267" s="85"/>
      <c r="O267" s="85">
        <v>7782.41</v>
      </c>
      <c r="P267" s="85"/>
      <c r="Q267" s="133">
        <v>7969.15</v>
      </c>
      <c r="R267" s="133"/>
      <c r="S267" s="133">
        <v>7969.15</v>
      </c>
      <c r="T267" s="133"/>
      <c r="U267" s="133">
        <v>7969.15</v>
      </c>
      <c r="V267" s="133"/>
      <c r="W267" s="133">
        <v>7969.15</v>
      </c>
      <c r="X267" s="133"/>
      <c r="Y267" s="133">
        <f>11953.75+7969.15</f>
        <v>19922.900000000001</v>
      </c>
      <c r="Z267" s="86">
        <f t="shared" ref="Z267:Z283" si="16">SUM(C267:Y267)</f>
        <v>111137.47999999998</v>
      </c>
      <c r="AA267" s="85"/>
      <c r="AB267" s="82">
        <v>103599</v>
      </c>
      <c r="AC267" s="70"/>
    </row>
    <row r="268" spans="1:30" x14ac:dyDescent="0.2">
      <c r="A268" s="88" t="s">
        <v>168</v>
      </c>
      <c r="B268" s="87" t="s">
        <v>145</v>
      </c>
      <c r="C268" s="85">
        <v>621.77</v>
      </c>
      <c r="D268" s="85"/>
      <c r="E268" s="85">
        <v>630.62</v>
      </c>
      <c r="F268" s="85"/>
      <c r="G268" s="85">
        <v>629.27</v>
      </c>
      <c r="H268" s="85"/>
      <c r="I268" s="85">
        <v>628.79</v>
      </c>
      <c r="J268" s="85"/>
      <c r="K268" s="85">
        <v>944.63</v>
      </c>
      <c r="L268" s="85"/>
      <c r="M268" s="85">
        <v>706.49</v>
      </c>
      <c r="N268" s="85"/>
      <c r="O268" s="85">
        <v>606.15</v>
      </c>
      <c r="P268" s="85"/>
      <c r="Q268" s="133">
        <f>+Q267*0.08</f>
        <v>637.53200000000004</v>
      </c>
      <c r="R268" s="133"/>
      <c r="S268" s="133">
        <f>+S267*0.08</f>
        <v>637.53200000000004</v>
      </c>
      <c r="T268" s="133"/>
      <c r="U268" s="133">
        <f>+U267*0.08</f>
        <v>637.53200000000004</v>
      </c>
      <c r="V268" s="133"/>
      <c r="W268" s="133">
        <f>+W267*0.08</f>
        <v>637.53200000000004</v>
      </c>
      <c r="X268" s="133"/>
      <c r="Y268" s="133">
        <f>+Y267*0.08</f>
        <v>1593.8320000000001</v>
      </c>
      <c r="Z268" s="86">
        <f t="shared" si="16"/>
        <v>8911.68</v>
      </c>
      <c r="AA268" s="85"/>
      <c r="AB268" s="82">
        <v>8288</v>
      </c>
      <c r="AC268" s="70"/>
    </row>
    <row r="269" spans="1:30" x14ac:dyDescent="0.2">
      <c r="A269" s="88" t="s">
        <v>167</v>
      </c>
      <c r="B269" s="87" t="s">
        <v>143</v>
      </c>
      <c r="C269" s="85">
        <v>3768.74</v>
      </c>
      <c r="D269" s="85"/>
      <c r="E269" s="85">
        <v>4015.97</v>
      </c>
      <c r="F269" s="85"/>
      <c r="G269" s="85">
        <v>4067.51</v>
      </c>
      <c r="H269" s="85"/>
      <c r="I269" s="85">
        <v>6328.95</v>
      </c>
      <c r="J269" s="85"/>
      <c r="K269" s="85">
        <v>6328.87</v>
      </c>
      <c r="L269" s="85"/>
      <c r="M269" s="85">
        <v>6328.91</v>
      </c>
      <c r="N269" s="85"/>
      <c r="O269" s="85">
        <v>6328.91</v>
      </c>
      <c r="P269" s="85"/>
      <c r="Q269" s="133">
        <v>6328.91</v>
      </c>
      <c r="R269" s="133"/>
      <c r="S269" s="133">
        <v>6328.91</v>
      </c>
      <c r="T269" s="133"/>
      <c r="U269" s="133">
        <v>6328.91</v>
      </c>
      <c r="V269" s="133"/>
      <c r="W269" s="133">
        <v>6328.91</v>
      </c>
      <c r="X269" s="133"/>
      <c r="Y269" s="133">
        <v>6328.91</v>
      </c>
      <c r="Z269" s="86">
        <f t="shared" si="16"/>
        <v>68812.410000000018</v>
      </c>
      <c r="AA269" s="85"/>
      <c r="AB269" s="82">
        <f>47666+2419+655</f>
        <v>50740</v>
      </c>
      <c r="AC269" s="70"/>
    </row>
    <row r="270" spans="1:30" x14ac:dyDescent="0.2">
      <c r="A270" s="88" t="s">
        <v>166</v>
      </c>
      <c r="B270" s="87" t="s">
        <v>165</v>
      </c>
      <c r="C270" s="85">
        <v>134.71</v>
      </c>
      <c r="D270" s="85"/>
      <c r="E270" s="85">
        <v>136.5</v>
      </c>
      <c r="F270" s="85"/>
      <c r="G270" s="85">
        <v>137.05000000000001</v>
      </c>
      <c r="H270" s="85"/>
      <c r="I270" s="85">
        <v>137.16999999999999</v>
      </c>
      <c r="J270" s="85"/>
      <c r="K270" s="85">
        <v>199.71</v>
      </c>
      <c r="L270" s="85"/>
      <c r="M270" s="85">
        <v>136.43</v>
      </c>
      <c r="N270" s="85"/>
      <c r="O270" s="85">
        <v>128.47999999999999</v>
      </c>
      <c r="P270" s="85"/>
      <c r="Q270" s="133">
        <v>150</v>
      </c>
      <c r="R270" s="133"/>
      <c r="S270" s="133">
        <v>150</v>
      </c>
      <c r="T270" s="133"/>
      <c r="U270" s="133">
        <v>150</v>
      </c>
      <c r="V270" s="133"/>
      <c r="W270" s="133">
        <v>150</v>
      </c>
      <c r="X270" s="133"/>
      <c r="Y270" s="133">
        <v>150</v>
      </c>
      <c r="Z270" s="86">
        <f t="shared" si="16"/>
        <v>1760.0500000000002</v>
      </c>
      <c r="AA270" s="85"/>
      <c r="AB270" s="82">
        <v>3108</v>
      </c>
      <c r="AC270" s="70"/>
    </row>
    <row r="271" spans="1:30" x14ac:dyDescent="0.2">
      <c r="A271" s="88" t="s">
        <v>164</v>
      </c>
      <c r="B271" s="87" t="s">
        <v>163</v>
      </c>
      <c r="C271" s="85"/>
      <c r="D271" s="85"/>
      <c r="E271" s="85">
        <v>853.75</v>
      </c>
      <c r="F271" s="85"/>
      <c r="G271" s="85"/>
      <c r="H271" s="85"/>
      <c r="I271" s="85"/>
      <c r="J271" s="85"/>
      <c r="K271" s="85"/>
      <c r="L271" s="85"/>
      <c r="M271" s="85">
        <v>0</v>
      </c>
      <c r="N271" s="85"/>
      <c r="O271" s="85">
        <v>0</v>
      </c>
      <c r="P271" s="85"/>
      <c r="Q271" s="133">
        <v>150</v>
      </c>
      <c r="R271" s="133"/>
      <c r="S271" s="133"/>
      <c r="T271" s="133"/>
      <c r="U271" s="133"/>
      <c r="V271" s="133"/>
      <c r="W271" s="133"/>
      <c r="X271" s="133"/>
      <c r="Y271" s="133"/>
      <c r="Z271" s="86">
        <f t="shared" si="16"/>
        <v>1003.75</v>
      </c>
      <c r="AA271" s="85"/>
      <c r="AB271" s="82">
        <v>1000</v>
      </c>
      <c r="AC271" s="70"/>
    </row>
    <row r="272" spans="1:30" x14ac:dyDescent="0.2">
      <c r="A272" s="88" t="s">
        <v>162</v>
      </c>
      <c r="B272" s="87" t="s">
        <v>141</v>
      </c>
      <c r="C272" s="85">
        <v>282.69</v>
      </c>
      <c r="D272" s="85"/>
      <c r="E272" s="85">
        <v>282.69</v>
      </c>
      <c r="F272" s="85"/>
      <c r="G272" s="85">
        <v>282.69</v>
      </c>
      <c r="H272" s="85"/>
      <c r="I272" s="85">
        <v>282.69</v>
      </c>
      <c r="J272" s="85"/>
      <c r="K272" s="85">
        <v>282.69</v>
      </c>
      <c r="L272" s="85"/>
      <c r="M272" s="85">
        <v>260.14</v>
      </c>
      <c r="N272" s="85"/>
      <c r="O272" s="85">
        <v>631.14</v>
      </c>
      <c r="P272" s="85"/>
      <c r="Q272" s="133">
        <v>650</v>
      </c>
      <c r="R272" s="133"/>
      <c r="S272" s="133">
        <v>650</v>
      </c>
      <c r="T272" s="133"/>
      <c r="U272" s="133">
        <v>650</v>
      </c>
      <c r="V272" s="133"/>
      <c r="W272" s="133">
        <v>650</v>
      </c>
      <c r="X272" s="133"/>
      <c r="Y272" s="133">
        <v>650</v>
      </c>
      <c r="Z272" s="86">
        <f t="shared" si="16"/>
        <v>5554.73</v>
      </c>
      <c r="AA272" s="85"/>
      <c r="AB272" s="82">
        <v>3191</v>
      </c>
      <c r="AC272" s="70"/>
      <c r="AD272" s="68"/>
    </row>
    <row r="273" spans="1:29" x14ac:dyDescent="0.2">
      <c r="A273" s="88">
        <v>6040300</v>
      </c>
      <c r="B273" s="87" t="s">
        <v>140</v>
      </c>
      <c r="C273" s="85"/>
      <c r="D273" s="85"/>
      <c r="E273" s="85">
        <v>1155.24</v>
      </c>
      <c r="F273" s="85"/>
      <c r="G273" s="85">
        <v>2309.58</v>
      </c>
      <c r="H273" s="85"/>
      <c r="I273" s="85">
        <v>1780.56</v>
      </c>
      <c r="J273" s="85"/>
      <c r="K273" s="85">
        <v>3106.5</v>
      </c>
      <c r="L273" s="85"/>
      <c r="M273" s="85">
        <v>1801.62</v>
      </c>
      <c r="N273" s="85"/>
      <c r="O273" s="85">
        <v>1072.8</v>
      </c>
      <c r="P273" s="85"/>
      <c r="Q273" s="133"/>
      <c r="R273" s="133"/>
      <c r="S273" s="133"/>
      <c r="T273" s="133"/>
      <c r="U273" s="133"/>
      <c r="V273" s="133"/>
      <c r="W273" s="133"/>
      <c r="X273" s="133"/>
      <c r="Y273" s="133"/>
      <c r="Z273" s="86">
        <f t="shared" si="16"/>
        <v>11226.3</v>
      </c>
      <c r="AA273" s="85"/>
      <c r="AB273" s="82">
        <v>10000</v>
      </c>
      <c r="AC273" s="70"/>
    </row>
    <row r="274" spans="1:29" x14ac:dyDescent="0.2">
      <c r="A274" s="88">
        <v>6040310</v>
      </c>
      <c r="B274" s="87" t="s">
        <v>139</v>
      </c>
      <c r="C274" s="85"/>
      <c r="D274" s="85"/>
      <c r="E274" s="85">
        <v>102.23</v>
      </c>
      <c r="F274" s="85"/>
      <c r="G274" s="85">
        <v>202.5</v>
      </c>
      <c r="H274" s="85"/>
      <c r="I274" s="85">
        <v>157.57</v>
      </c>
      <c r="J274" s="85"/>
      <c r="K274" s="85">
        <v>274.93</v>
      </c>
      <c r="L274" s="85"/>
      <c r="M274" s="85">
        <v>147.22999999999999</v>
      </c>
      <c r="N274" s="85"/>
      <c r="O274" s="85">
        <v>82.07</v>
      </c>
      <c r="P274" s="85"/>
      <c r="Q274" s="133"/>
      <c r="R274" s="133"/>
      <c r="S274" s="133"/>
      <c r="T274" s="133"/>
      <c r="U274" s="133"/>
      <c r="V274" s="133"/>
      <c r="W274" s="133"/>
      <c r="X274" s="133"/>
      <c r="Y274" s="133"/>
      <c r="Z274" s="86">
        <f t="shared" si="16"/>
        <v>966.53</v>
      </c>
      <c r="AA274" s="85"/>
      <c r="AB274" s="82">
        <v>900</v>
      </c>
      <c r="AC274" s="70"/>
    </row>
    <row r="275" spans="1:29" x14ac:dyDescent="0.2">
      <c r="A275" s="88">
        <v>6040350</v>
      </c>
      <c r="B275" s="87" t="s">
        <v>136</v>
      </c>
      <c r="C275" s="85">
        <v>40.659999999999997</v>
      </c>
      <c r="D275" s="85"/>
      <c r="E275" s="85">
        <v>40.659999999999997</v>
      </c>
      <c r="F275" s="85"/>
      <c r="G275" s="85">
        <v>40.659999999999997</v>
      </c>
      <c r="H275" s="85"/>
      <c r="I275" s="85">
        <v>40.659999999999997</v>
      </c>
      <c r="J275" s="85"/>
      <c r="K275" s="85">
        <v>40.659999999999997</v>
      </c>
      <c r="L275" s="85"/>
      <c r="M275" s="85">
        <v>1.3</v>
      </c>
      <c r="N275" s="85"/>
      <c r="O275" s="85">
        <v>21.42</v>
      </c>
      <c r="P275" s="85"/>
      <c r="Q275" s="133">
        <v>100</v>
      </c>
      <c r="R275" s="133"/>
      <c r="S275" s="133">
        <v>100</v>
      </c>
      <c r="T275" s="133"/>
      <c r="U275" s="133">
        <v>100</v>
      </c>
      <c r="V275" s="133"/>
      <c r="W275" s="133">
        <v>100</v>
      </c>
      <c r="X275" s="133"/>
      <c r="Y275" s="133">
        <v>100</v>
      </c>
      <c r="Z275" s="86">
        <f t="shared" si="16"/>
        <v>726.02</v>
      </c>
      <c r="AA275" s="85"/>
      <c r="AB275" s="82"/>
      <c r="AC275" s="70"/>
    </row>
    <row r="276" spans="1:29" x14ac:dyDescent="0.2">
      <c r="A276" s="88" t="s">
        <v>161</v>
      </c>
      <c r="B276" s="87" t="s">
        <v>134</v>
      </c>
      <c r="C276" s="85">
        <v>347.52</v>
      </c>
      <c r="D276" s="85"/>
      <c r="E276" s="85">
        <v>315.26</v>
      </c>
      <c r="F276" s="85"/>
      <c r="G276" s="85">
        <v>268.7</v>
      </c>
      <c r="H276" s="85"/>
      <c r="I276" s="85">
        <v>433.98</v>
      </c>
      <c r="J276" s="85"/>
      <c r="K276" s="85">
        <v>223.4</v>
      </c>
      <c r="L276" s="85"/>
      <c r="M276" s="85">
        <v>223.4</v>
      </c>
      <c r="N276" s="85"/>
      <c r="O276" s="85">
        <v>676.06</v>
      </c>
      <c r="P276" s="85"/>
      <c r="Q276" s="133">
        <v>250</v>
      </c>
      <c r="R276" s="133"/>
      <c r="S276" s="133">
        <v>250</v>
      </c>
      <c r="T276" s="133"/>
      <c r="U276" s="133">
        <v>250</v>
      </c>
      <c r="V276" s="133"/>
      <c r="W276" s="133">
        <v>250</v>
      </c>
      <c r="X276" s="133"/>
      <c r="Y276" s="133">
        <v>250</v>
      </c>
      <c r="Z276" s="86">
        <f t="shared" si="16"/>
        <v>3738.32</v>
      </c>
      <c r="AA276" s="85"/>
      <c r="AB276" s="82">
        <v>2500</v>
      </c>
      <c r="AC276" s="70"/>
    </row>
    <row r="277" spans="1:29" x14ac:dyDescent="0.2">
      <c r="A277" s="88" t="s">
        <v>160</v>
      </c>
      <c r="B277" s="87" t="s">
        <v>130</v>
      </c>
      <c r="C277" s="85"/>
      <c r="D277" s="85"/>
      <c r="E277" s="85"/>
      <c r="F277" s="85"/>
      <c r="G277" s="85"/>
      <c r="H277" s="85"/>
      <c r="I277" s="85"/>
      <c r="J277" s="85"/>
      <c r="K277" s="85">
        <v>3000</v>
      </c>
      <c r="L277" s="85"/>
      <c r="M277" s="85">
        <v>0</v>
      </c>
      <c r="N277" s="85"/>
      <c r="O277" s="85">
        <v>0</v>
      </c>
      <c r="P277" s="85"/>
      <c r="Q277" s="133"/>
      <c r="R277" s="133"/>
      <c r="S277" s="133"/>
      <c r="T277" s="133"/>
      <c r="U277" s="133"/>
      <c r="V277" s="133"/>
      <c r="W277" s="133"/>
      <c r="X277" s="133"/>
      <c r="Y277" s="133"/>
      <c r="Z277" s="86">
        <f t="shared" si="16"/>
        <v>3000</v>
      </c>
      <c r="AA277" s="85"/>
      <c r="AB277" s="82">
        <v>1000</v>
      </c>
      <c r="AC277" s="70"/>
    </row>
    <row r="278" spans="1:29" x14ac:dyDescent="0.2">
      <c r="A278" s="88" t="s">
        <v>159</v>
      </c>
      <c r="B278" s="87" t="s">
        <v>126</v>
      </c>
      <c r="C278" s="85">
        <v>964.71</v>
      </c>
      <c r="D278" s="85"/>
      <c r="E278" s="85">
        <v>630.66999999999996</v>
      </c>
      <c r="F278" s="85"/>
      <c r="G278" s="85">
        <v>506.24</v>
      </c>
      <c r="H278" s="85"/>
      <c r="I278" s="85">
        <v>708.9</v>
      </c>
      <c r="J278" s="85"/>
      <c r="K278" s="85">
        <v>671.55</v>
      </c>
      <c r="L278" s="85"/>
      <c r="M278" s="85">
        <v>415.23</v>
      </c>
      <c r="N278" s="85"/>
      <c r="O278" s="85">
        <v>0</v>
      </c>
      <c r="P278" s="85"/>
      <c r="Q278" s="133">
        <v>650</v>
      </c>
      <c r="R278" s="133"/>
      <c r="S278" s="133">
        <v>650</v>
      </c>
      <c r="T278" s="133"/>
      <c r="U278" s="133">
        <v>650</v>
      </c>
      <c r="V278" s="133"/>
      <c r="W278" s="133">
        <v>650</v>
      </c>
      <c r="X278" s="133"/>
      <c r="Y278" s="133">
        <v>650</v>
      </c>
      <c r="Z278" s="86">
        <f t="shared" si="16"/>
        <v>7147.2999999999993</v>
      </c>
      <c r="AA278" s="85"/>
      <c r="AB278" s="82">
        <v>8000</v>
      </c>
      <c r="AC278" s="70"/>
    </row>
    <row r="279" spans="1:29" x14ac:dyDescent="0.2">
      <c r="A279" s="88" t="s">
        <v>158</v>
      </c>
      <c r="B279" s="87" t="s">
        <v>157</v>
      </c>
      <c r="C279" s="85">
        <v>153.06</v>
      </c>
      <c r="D279" s="85"/>
      <c r="E279" s="85"/>
      <c r="F279" s="85"/>
      <c r="G279" s="85">
        <v>21.99</v>
      </c>
      <c r="H279" s="85"/>
      <c r="I279" s="85"/>
      <c r="J279" s="85"/>
      <c r="K279" s="85">
        <v>157.47</v>
      </c>
      <c r="L279" s="85"/>
      <c r="M279" s="85">
        <v>0</v>
      </c>
      <c r="N279" s="85"/>
      <c r="O279" s="85">
        <v>0</v>
      </c>
      <c r="P279" s="85"/>
      <c r="Q279" s="133">
        <v>200</v>
      </c>
      <c r="R279" s="133"/>
      <c r="S279" s="133">
        <v>200</v>
      </c>
      <c r="T279" s="133"/>
      <c r="U279" s="133">
        <v>200</v>
      </c>
      <c r="V279" s="133"/>
      <c r="W279" s="133">
        <v>200</v>
      </c>
      <c r="X279" s="133"/>
      <c r="Y279" s="133">
        <v>200</v>
      </c>
      <c r="Z279" s="86">
        <f t="shared" si="16"/>
        <v>1332.52</v>
      </c>
      <c r="AA279" s="85"/>
      <c r="AB279" s="82">
        <v>2500</v>
      </c>
      <c r="AC279" s="70"/>
    </row>
    <row r="280" spans="1:29" x14ac:dyDescent="0.2">
      <c r="A280" s="88" t="s">
        <v>156</v>
      </c>
      <c r="B280" s="87" t="s">
        <v>116</v>
      </c>
      <c r="C280" s="85">
        <v>591.32000000000005</v>
      </c>
      <c r="D280" s="85"/>
      <c r="E280" s="85">
        <v>35.26</v>
      </c>
      <c r="F280" s="85"/>
      <c r="G280" s="85">
        <v>244.36</v>
      </c>
      <c r="H280" s="85"/>
      <c r="I280" s="85">
        <v>43.16</v>
      </c>
      <c r="J280" s="85"/>
      <c r="K280" s="85">
        <v>771.19</v>
      </c>
      <c r="L280" s="85"/>
      <c r="M280" s="85">
        <v>1031.3900000000001</v>
      </c>
      <c r="N280" s="85"/>
      <c r="O280" s="85">
        <v>96.36</v>
      </c>
      <c r="P280" s="85"/>
      <c r="Q280" s="133">
        <v>250</v>
      </c>
      <c r="R280" s="133"/>
      <c r="S280" s="133">
        <v>250</v>
      </c>
      <c r="T280" s="133"/>
      <c r="U280" s="133">
        <v>250</v>
      </c>
      <c r="V280" s="133"/>
      <c r="W280" s="133">
        <v>250</v>
      </c>
      <c r="X280" s="133"/>
      <c r="Y280" s="133">
        <v>250</v>
      </c>
      <c r="Z280" s="86">
        <f t="shared" si="16"/>
        <v>4063.0400000000004</v>
      </c>
      <c r="AA280" s="85"/>
      <c r="AB280" s="82">
        <v>5000</v>
      </c>
      <c r="AC280" s="70"/>
    </row>
    <row r="281" spans="1:29" x14ac:dyDescent="0.2">
      <c r="A281" s="88" t="s">
        <v>155</v>
      </c>
      <c r="B281" s="87" t="s">
        <v>112</v>
      </c>
      <c r="C281" s="85"/>
      <c r="D281" s="85"/>
      <c r="E281" s="85">
        <v>10.48</v>
      </c>
      <c r="F281" s="85"/>
      <c r="G281" s="85">
        <v>25.76</v>
      </c>
      <c r="H281" s="85"/>
      <c r="I281" s="85"/>
      <c r="J281" s="85"/>
      <c r="K281" s="85"/>
      <c r="L281" s="85"/>
      <c r="M281" s="85">
        <v>0</v>
      </c>
      <c r="N281" s="85"/>
      <c r="O281" s="85">
        <v>0</v>
      </c>
      <c r="P281" s="85"/>
      <c r="Q281" s="133">
        <v>250</v>
      </c>
      <c r="R281" s="133"/>
      <c r="S281" s="133">
        <v>250</v>
      </c>
      <c r="T281" s="133"/>
      <c r="U281" s="133">
        <v>250</v>
      </c>
      <c r="V281" s="133"/>
      <c r="W281" s="133">
        <v>250</v>
      </c>
      <c r="X281" s="133"/>
      <c r="Y281" s="133">
        <v>250</v>
      </c>
      <c r="Z281" s="86">
        <f t="shared" si="16"/>
        <v>1286.24</v>
      </c>
      <c r="AA281" s="85"/>
      <c r="AB281" s="82">
        <v>150</v>
      </c>
      <c r="AC281" s="70"/>
    </row>
    <row r="282" spans="1:29" x14ac:dyDescent="0.2">
      <c r="A282" s="88" t="s">
        <v>154</v>
      </c>
      <c r="B282" s="87" t="s">
        <v>108</v>
      </c>
      <c r="C282" s="85"/>
      <c r="D282" s="85"/>
      <c r="E282" s="85"/>
      <c r="F282" s="85"/>
      <c r="G282" s="85"/>
      <c r="H282" s="85"/>
      <c r="I282" s="85"/>
      <c r="J282" s="85"/>
      <c r="K282" s="85">
        <v>29.96</v>
      </c>
      <c r="L282" s="85"/>
      <c r="M282" s="85">
        <v>63.96</v>
      </c>
      <c r="N282" s="85"/>
      <c r="O282" s="85">
        <v>0</v>
      </c>
      <c r="P282" s="85"/>
      <c r="Q282" s="133"/>
      <c r="R282" s="133"/>
      <c r="S282" s="133"/>
      <c r="T282" s="133"/>
      <c r="U282" s="133"/>
      <c r="V282" s="133"/>
      <c r="W282" s="133"/>
      <c r="X282" s="133"/>
      <c r="Y282" s="133"/>
      <c r="Z282" s="86">
        <f t="shared" si="16"/>
        <v>93.92</v>
      </c>
      <c r="AA282" s="85"/>
      <c r="AB282" s="82">
        <v>2500</v>
      </c>
      <c r="AC282" s="70"/>
    </row>
    <row r="283" spans="1:29" x14ac:dyDescent="0.2">
      <c r="A283" s="88">
        <v>6042000</v>
      </c>
      <c r="B283" s="87" t="s">
        <v>153</v>
      </c>
      <c r="C283" s="85">
        <v>6046</v>
      </c>
      <c r="D283" s="85"/>
      <c r="E283" s="85"/>
      <c r="F283" s="85"/>
      <c r="G283" s="85"/>
      <c r="H283" s="85"/>
      <c r="I283" s="85"/>
      <c r="J283" s="85"/>
      <c r="K283" s="85"/>
      <c r="L283" s="85"/>
      <c r="M283" s="85">
        <v>0</v>
      </c>
      <c r="N283" s="85"/>
      <c r="O283" s="85">
        <v>0</v>
      </c>
      <c r="P283" s="85"/>
      <c r="Q283" s="133"/>
      <c r="R283" s="133"/>
      <c r="S283" s="133"/>
      <c r="T283" s="133"/>
      <c r="U283" s="133"/>
      <c r="V283" s="133"/>
      <c r="W283" s="133"/>
      <c r="X283" s="133"/>
      <c r="Y283" s="133"/>
      <c r="Z283" s="86">
        <f t="shared" si="16"/>
        <v>6046</v>
      </c>
      <c r="AA283" s="85"/>
      <c r="AB283" s="82">
        <v>6000</v>
      </c>
      <c r="AC283" s="70"/>
    </row>
    <row r="284" spans="1:29" x14ac:dyDescent="0.2">
      <c r="A284" s="88">
        <v>6042050</v>
      </c>
      <c r="B284" s="87" t="s">
        <v>106</v>
      </c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>
        <v>0</v>
      </c>
      <c r="P284" s="85"/>
      <c r="Q284" s="133"/>
      <c r="R284" s="133"/>
      <c r="S284" s="133"/>
      <c r="T284" s="133"/>
      <c r="U284" s="133"/>
      <c r="V284" s="133"/>
      <c r="W284" s="133"/>
      <c r="X284" s="133"/>
      <c r="Y284" s="133"/>
      <c r="Z284" s="86"/>
      <c r="AA284" s="85"/>
      <c r="AB284" s="82"/>
      <c r="AC284" s="70"/>
    </row>
    <row r="285" spans="1:29" x14ac:dyDescent="0.2">
      <c r="A285" s="88"/>
      <c r="B285" s="87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133"/>
      <c r="R285" s="133"/>
      <c r="S285" s="133"/>
      <c r="T285" s="133"/>
      <c r="U285" s="133"/>
      <c r="V285" s="133"/>
      <c r="W285" s="133"/>
      <c r="X285" s="133"/>
      <c r="Y285" s="133"/>
      <c r="Z285" s="85"/>
      <c r="AA285" s="85"/>
      <c r="AB285" s="82"/>
      <c r="AC285" s="70"/>
    </row>
    <row r="286" spans="1:29" x14ac:dyDescent="0.2">
      <c r="A286" s="95"/>
      <c r="B286" s="94" t="s">
        <v>152</v>
      </c>
      <c r="C286" s="92">
        <f>SUM(C267:C283)</f>
        <v>17998.690000000002</v>
      </c>
      <c r="D286" s="76"/>
      <c r="E286" s="92">
        <f>SUM(E267:E283)</f>
        <v>17333.509999999995</v>
      </c>
      <c r="F286" s="76"/>
      <c r="G286" s="92">
        <f>SUM(G267:G283)</f>
        <v>16392.41</v>
      </c>
      <c r="H286" s="76"/>
      <c r="I286" s="92">
        <f>SUM(I267:I283)</f>
        <v>18812.510000000002</v>
      </c>
      <c r="J286" s="76"/>
      <c r="K286" s="92">
        <f>SUM(K267:K283)</f>
        <v>28788.609999999997</v>
      </c>
      <c r="L286" s="76"/>
      <c r="M286" s="92">
        <f>SUM(M267:M284)</f>
        <v>19816.749999999996</v>
      </c>
      <c r="N286" s="76"/>
      <c r="O286" s="92">
        <f>SUM(O267:O284)</f>
        <v>17425.8</v>
      </c>
      <c r="P286" s="92"/>
      <c r="Q286" s="140">
        <f>SUM(Q267:Q284)</f>
        <v>17585.591999999997</v>
      </c>
      <c r="R286" s="140"/>
      <c r="S286" s="140">
        <f>SUM(S267:S284)</f>
        <v>17435.591999999997</v>
      </c>
      <c r="T286" s="140"/>
      <c r="U286" s="140">
        <f>SUM(U267:U284)</f>
        <v>17435.591999999997</v>
      </c>
      <c r="V286" s="140"/>
      <c r="W286" s="140">
        <f>SUM(W267:W284)</f>
        <v>17435.591999999997</v>
      </c>
      <c r="X286" s="140"/>
      <c r="Y286" s="140">
        <f>SUM(Y267:Y284)</f>
        <v>30345.642</v>
      </c>
      <c r="Z286" s="92">
        <f>SUM(Z267:Z283)</f>
        <v>236806.28999999998</v>
      </c>
      <c r="AA286" s="76"/>
      <c r="AB286" s="92">
        <f>SUM(AB267:AB283)</f>
        <v>208476</v>
      </c>
      <c r="AC286" s="93"/>
    </row>
    <row r="287" spans="1:29" x14ac:dyDescent="0.2">
      <c r="A287" s="84"/>
      <c r="B287" s="83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137"/>
      <c r="R287" s="137"/>
      <c r="S287" s="137"/>
      <c r="T287" s="137"/>
      <c r="U287" s="137"/>
      <c r="V287" s="137"/>
      <c r="W287" s="137"/>
      <c r="X287" s="137"/>
      <c r="Y287" s="137"/>
      <c r="Z287" s="82"/>
      <c r="AA287" s="82"/>
      <c r="AB287" s="82"/>
      <c r="AC287" s="70"/>
    </row>
    <row r="288" spans="1:29" x14ac:dyDescent="0.2">
      <c r="A288" s="81" t="s">
        <v>105</v>
      </c>
      <c r="B288" s="80" t="s">
        <v>151</v>
      </c>
      <c r="C288" s="79">
        <f>C286+C265</f>
        <v>34188.47</v>
      </c>
      <c r="D288" s="76"/>
      <c r="E288" s="79">
        <f>E286+E265</f>
        <v>24786.389999999992</v>
      </c>
      <c r="F288" s="76"/>
      <c r="G288" s="79">
        <f>G286+G265</f>
        <v>26774.86</v>
      </c>
      <c r="H288" s="76"/>
      <c r="I288" s="79">
        <f>I286+I265</f>
        <v>89462.62</v>
      </c>
      <c r="J288" s="76"/>
      <c r="K288" s="79">
        <f>K286+K265</f>
        <v>32713.489999999998</v>
      </c>
      <c r="L288" s="76"/>
      <c r="M288" s="79">
        <f>M286+M265</f>
        <v>96410.26</v>
      </c>
      <c r="N288" s="76"/>
      <c r="O288" s="79">
        <f>O286+O265</f>
        <v>26558.199999999997</v>
      </c>
      <c r="P288" s="79"/>
      <c r="Q288" s="134">
        <f>Q286+Q265</f>
        <v>25610.591999999997</v>
      </c>
      <c r="R288" s="134"/>
      <c r="S288" s="134">
        <f>S286+S265</f>
        <v>25460.591999999997</v>
      </c>
      <c r="T288" s="134"/>
      <c r="U288" s="134">
        <f>U286+U265</f>
        <v>25460.591999999997</v>
      </c>
      <c r="V288" s="134"/>
      <c r="W288" s="134">
        <f>W286+W265</f>
        <v>25460.591999999997</v>
      </c>
      <c r="X288" s="134"/>
      <c r="Y288" s="134">
        <f>Y286+Y265</f>
        <v>43370.642</v>
      </c>
      <c r="Z288" s="79">
        <f>Z286+Z265</f>
        <v>476257.3</v>
      </c>
      <c r="AA288" s="76"/>
      <c r="AB288" s="79">
        <f>AB286+AB265</f>
        <v>2616476</v>
      </c>
      <c r="AC288" s="70"/>
    </row>
    <row r="289" spans="1:30" x14ac:dyDescent="0.2"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135"/>
      <c r="R289" s="135"/>
      <c r="S289" s="135"/>
      <c r="T289" s="135"/>
      <c r="U289" s="135"/>
      <c r="V289" s="135"/>
      <c r="W289" s="135"/>
      <c r="X289" s="135"/>
      <c r="Y289" s="135"/>
      <c r="Z289" s="67"/>
      <c r="AA289" s="67"/>
      <c r="AB289" s="67"/>
      <c r="AC289" s="70"/>
    </row>
    <row r="290" spans="1:30" x14ac:dyDescent="0.2">
      <c r="A290" s="91" t="s">
        <v>150</v>
      </c>
      <c r="B290" s="90" t="s">
        <v>149</v>
      </c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136"/>
      <c r="R290" s="136"/>
      <c r="S290" s="136"/>
      <c r="T290" s="136"/>
      <c r="U290" s="136"/>
      <c r="V290" s="136"/>
      <c r="W290" s="136"/>
      <c r="X290" s="136"/>
      <c r="Y290" s="136"/>
      <c r="Z290" s="89"/>
      <c r="AA290" s="89"/>
      <c r="AB290" s="67"/>
      <c r="AC290" s="70"/>
    </row>
    <row r="291" spans="1:30" x14ac:dyDescent="0.2">
      <c r="A291" s="88" t="s">
        <v>148</v>
      </c>
      <c r="B291" s="87" t="s">
        <v>147</v>
      </c>
      <c r="C291" s="85">
        <v>1890.74</v>
      </c>
      <c r="D291" s="85"/>
      <c r="E291" s="85">
        <v>1923.08</v>
      </c>
      <c r="F291" s="85"/>
      <c r="G291" s="85">
        <v>1923.08</v>
      </c>
      <c r="H291" s="85"/>
      <c r="I291" s="85">
        <v>1923.08</v>
      </c>
      <c r="J291" s="85"/>
      <c r="K291" s="85">
        <v>2884.62</v>
      </c>
      <c r="L291" s="85"/>
      <c r="M291" s="85">
        <v>1923.08</v>
      </c>
      <c r="N291" s="85"/>
      <c r="O291" s="85">
        <v>1923.08</v>
      </c>
      <c r="P291" s="85"/>
      <c r="Q291" s="133">
        <v>1923.08</v>
      </c>
      <c r="R291" s="133"/>
      <c r="S291" s="133">
        <v>1923.08</v>
      </c>
      <c r="T291" s="133"/>
      <c r="U291" s="133">
        <v>1923.08</v>
      </c>
      <c r="V291" s="133"/>
      <c r="W291" s="133">
        <v>1923.08</v>
      </c>
      <c r="X291" s="133"/>
      <c r="Y291" s="133">
        <f>2884.6+1923.08</f>
        <v>4807.68</v>
      </c>
      <c r="Z291" s="86">
        <f t="shared" ref="Z291:Z315" si="17">SUM(C291:Y291)</f>
        <v>26890.760000000002</v>
      </c>
      <c r="AA291" s="85"/>
      <c r="AB291" s="82">
        <v>25000</v>
      </c>
      <c r="AC291" s="70"/>
    </row>
    <row r="292" spans="1:30" x14ac:dyDescent="0.2">
      <c r="A292" s="88" t="s">
        <v>146</v>
      </c>
      <c r="B292" s="87" t="s">
        <v>145</v>
      </c>
      <c r="C292" s="85">
        <v>167.33</v>
      </c>
      <c r="D292" s="85"/>
      <c r="E292" s="85">
        <v>170.2</v>
      </c>
      <c r="F292" s="85"/>
      <c r="G292" s="85">
        <v>152</v>
      </c>
      <c r="H292" s="85"/>
      <c r="I292" s="85">
        <v>147.12</v>
      </c>
      <c r="J292" s="85"/>
      <c r="K292" s="85">
        <v>228.32</v>
      </c>
      <c r="L292" s="85"/>
      <c r="M292" s="85">
        <v>147.12</v>
      </c>
      <c r="N292" s="85"/>
      <c r="O292" s="85">
        <v>147.11000000000001</v>
      </c>
      <c r="P292" s="85"/>
      <c r="Q292" s="133">
        <f>+Q291*0.08</f>
        <v>153.84639999999999</v>
      </c>
      <c r="R292" s="133"/>
      <c r="S292" s="133">
        <f>+S291*0.08</f>
        <v>153.84639999999999</v>
      </c>
      <c r="T292" s="133"/>
      <c r="U292" s="133">
        <f>+U291*0.08</f>
        <v>153.84639999999999</v>
      </c>
      <c r="V292" s="133"/>
      <c r="W292" s="133">
        <f>+W291*0.08</f>
        <v>153.84639999999999</v>
      </c>
      <c r="X292" s="133"/>
      <c r="Y292" s="133">
        <f>+Y291*0.08</f>
        <v>384.61440000000005</v>
      </c>
      <c r="Z292" s="86">
        <f t="shared" si="17"/>
        <v>2159.1999999999998</v>
      </c>
      <c r="AA292" s="85"/>
      <c r="AB292" s="82">
        <v>2000</v>
      </c>
      <c r="AC292" s="70"/>
    </row>
    <row r="293" spans="1:30" x14ac:dyDescent="0.2">
      <c r="A293" s="88" t="s">
        <v>144</v>
      </c>
      <c r="B293" s="87" t="s">
        <v>143</v>
      </c>
      <c r="C293" s="85">
        <v>58.7</v>
      </c>
      <c r="D293" s="85"/>
      <c r="E293" s="85">
        <v>58.7</v>
      </c>
      <c r="F293" s="85"/>
      <c r="G293" s="85">
        <v>58.7</v>
      </c>
      <c r="H293" s="85"/>
      <c r="I293" s="85">
        <v>58.7</v>
      </c>
      <c r="J293" s="85"/>
      <c r="K293" s="85">
        <v>58.7</v>
      </c>
      <c r="L293" s="85"/>
      <c r="M293" s="85">
        <v>58.7</v>
      </c>
      <c r="N293" s="85"/>
      <c r="O293" s="85">
        <v>58.7</v>
      </c>
      <c r="P293" s="85"/>
      <c r="Q293" s="133">
        <v>58.7</v>
      </c>
      <c r="R293" s="133"/>
      <c r="S293" s="133">
        <v>58.7</v>
      </c>
      <c r="T293" s="133"/>
      <c r="U293" s="133">
        <v>58.7</v>
      </c>
      <c r="V293" s="133"/>
      <c r="W293" s="133">
        <v>58.7</v>
      </c>
      <c r="X293" s="133"/>
      <c r="Y293" s="133">
        <v>58.7</v>
      </c>
      <c r="Z293" s="86">
        <f t="shared" si="17"/>
        <v>704.40000000000009</v>
      </c>
      <c r="AA293" s="85"/>
      <c r="AB293" s="82">
        <v>704</v>
      </c>
      <c r="AC293" s="70"/>
    </row>
    <row r="294" spans="1:30" x14ac:dyDescent="0.2">
      <c r="A294" s="88" t="s">
        <v>142</v>
      </c>
      <c r="B294" s="87" t="s">
        <v>141</v>
      </c>
      <c r="C294" s="85">
        <v>32.380000000000003</v>
      </c>
      <c r="D294" s="85"/>
      <c r="E294" s="85">
        <v>32.380000000000003</v>
      </c>
      <c r="F294" s="85"/>
      <c r="G294" s="85">
        <v>32.380000000000003</v>
      </c>
      <c r="H294" s="85"/>
      <c r="I294" s="85">
        <v>32.380000000000003</v>
      </c>
      <c r="J294" s="85"/>
      <c r="K294" s="85">
        <v>32.380000000000003</v>
      </c>
      <c r="L294" s="85"/>
      <c r="M294" s="85">
        <v>62.77</v>
      </c>
      <c r="N294" s="85"/>
      <c r="O294" s="85">
        <v>156.68</v>
      </c>
      <c r="P294" s="85"/>
      <c r="Q294" s="133">
        <v>155</v>
      </c>
      <c r="R294" s="133"/>
      <c r="S294" s="133">
        <v>155</v>
      </c>
      <c r="T294" s="133"/>
      <c r="U294" s="133">
        <v>155</v>
      </c>
      <c r="V294" s="133"/>
      <c r="W294" s="133">
        <v>155</v>
      </c>
      <c r="X294" s="133"/>
      <c r="Y294" s="133">
        <v>155</v>
      </c>
      <c r="Z294" s="86">
        <f t="shared" si="17"/>
        <v>1156.3499999999999</v>
      </c>
      <c r="AA294" s="85"/>
      <c r="AB294" s="82">
        <v>770</v>
      </c>
      <c r="AC294" s="70"/>
      <c r="AD294" s="68"/>
    </row>
    <row r="295" spans="1:30" x14ac:dyDescent="0.2">
      <c r="A295" s="88">
        <v>6080300</v>
      </c>
      <c r="B295" s="87" t="s">
        <v>140</v>
      </c>
      <c r="C295" s="85"/>
      <c r="D295" s="85"/>
      <c r="E295" s="85"/>
      <c r="F295" s="85"/>
      <c r="G295" s="85">
        <v>96036.15</v>
      </c>
      <c r="H295" s="85"/>
      <c r="I295" s="85">
        <v>127133.78</v>
      </c>
      <c r="J295" s="85"/>
      <c r="K295" s="85">
        <v>157195.43</v>
      </c>
      <c r="L295" s="85"/>
      <c r="M295" s="85">
        <v>21707</v>
      </c>
      <c r="N295" s="85"/>
      <c r="O295" s="85">
        <v>0</v>
      </c>
      <c r="P295" s="85"/>
      <c r="Q295" s="133"/>
      <c r="R295" s="133"/>
      <c r="S295" s="133"/>
      <c r="T295" s="133"/>
      <c r="U295" s="133"/>
      <c r="V295" s="133"/>
      <c r="W295" s="133"/>
      <c r="X295" s="133"/>
      <c r="Y295" s="133"/>
      <c r="Z295" s="86">
        <f t="shared" si="17"/>
        <v>402072.36</v>
      </c>
      <c r="AA295" s="85"/>
      <c r="AB295" s="82">
        <v>401992.5</v>
      </c>
      <c r="AC295" s="70"/>
    </row>
    <row r="296" spans="1:30" x14ac:dyDescent="0.2">
      <c r="A296" s="88">
        <v>6080310</v>
      </c>
      <c r="B296" s="87" t="s">
        <v>139</v>
      </c>
      <c r="C296" s="85"/>
      <c r="D296" s="85"/>
      <c r="E296" s="85"/>
      <c r="F296" s="85"/>
      <c r="G296" s="85">
        <v>8499.17</v>
      </c>
      <c r="H296" s="85"/>
      <c r="I296" s="85">
        <v>12245.42</v>
      </c>
      <c r="J296" s="85"/>
      <c r="K296" s="85">
        <v>14275.77</v>
      </c>
      <c r="L296" s="85"/>
      <c r="M296" s="85">
        <v>1851.79</v>
      </c>
      <c r="N296" s="85"/>
      <c r="O296" s="85">
        <v>0</v>
      </c>
      <c r="P296" s="85"/>
      <c r="Q296" s="133"/>
      <c r="R296" s="133"/>
      <c r="S296" s="133"/>
      <c r="T296" s="133"/>
      <c r="U296" s="133"/>
      <c r="V296" s="133"/>
      <c r="W296" s="133"/>
      <c r="X296" s="133"/>
      <c r="Y296" s="133"/>
      <c r="Z296" s="86">
        <f t="shared" si="17"/>
        <v>36872.15</v>
      </c>
      <c r="AA296" s="85"/>
      <c r="AB296" s="82">
        <v>40199.25</v>
      </c>
      <c r="AC296" s="70"/>
    </row>
    <row r="297" spans="1:30" x14ac:dyDescent="0.2">
      <c r="A297" s="88">
        <v>6080320</v>
      </c>
      <c r="B297" s="87" t="s">
        <v>138</v>
      </c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>
        <v>0</v>
      </c>
      <c r="N297" s="85"/>
      <c r="O297" s="85">
        <v>0</v>
      </c>
      <c r="P297" s="85"/>
      <c r="Q297" s="133"/>
      <c r="R297" s="133"/>
      <c r="S297" s="133"/>
      <c r="T297" s="133"/>
      <c r="U297" s="133"/>
      <c r="V297" s="133"/>
      <c r="W297" s="133"/>
      <c r="X297" s="133"/>
      <c r="Y297" s="133"/>
      <c r="Z297" s="86">
        <f t="shared" si="17"/>
        <v>0</v>
      </c>
      <c r="AA297" s="85"/>
      <c r="AB297" s="82">
        <v>1000</v>
      </c>
      <c r="AC297" s="70"/>
    </row>
    <row r="298" spans="1:30" x14ac:dyDescent="0.2">
      <c r="A298" s="88">
        <v>6080350</v>
      </c>
      <c r="B298" s="87" t="s">
        <v>137</v>
      </c>
      <c r="C298" s="85">
        <v>2363</v>
      </c>
      <c r="D298" s="85"/>
      <c r="E298" s="85"/>
      <c r="F298" s="85"/>
      <c r="G298" s="85"/>
      <c r="H298" s="85"/>
      <c r="I298" s="85"/>
      <c r="J298" s="85"/>
      <c r="K298" s="85"/>
      <c r="L298" s="85"/>
      <c r="M298" s="85">
        <v>0</v>
      </c>
      <c r="N298" s="85"/>
      <c r="O298" s="85">
        <v>143.6</v>
      </c>
      <c r="P298" s="85"/>
      <c r="Q298" s="133"/>
      <c r="R298" s="133"/>
      <c r="S298" s="133"/>
      <c r="T298" s="133"/>
      <c r="U298" s="133"/>
      <c r="V298" s="133"/>
      <c r="W298" s="133">
        <v>5000</v>
      </c>
      <c r="X298" s="133"/>
      <c r="Y298" s="133"/>
      <c r="Z298" s="86">
        <f t="shared" si="17"/>
        <v>7506.6</v>
      </c>
      <c r="AA298" s="85"/>
      <c r="AB298" s="82">
        <v>10000</v>
      </c>
      <c r="AC298" s="70"/>
    </row>
    <row r="299" spans="1:30" x14ac:dyDescent="0.2">
      <c r="A299" s="88">
        <v>6080360</v>
      </c>
      <c r="B299" s="87" t="s">
        <v>136</v>
      </c>
      <c r="C299" s="85">
        <v>-1759.53</v>
      </c>
      <c r="D299" s="85"/>
      <c r="E299" s="85">
        <v>-1759.53</v>
      </c>
      <c r="F299" s="85"/>
      <c r="G299" s="85">
        <v>-1759.53</v>
      </c>
      <c r="H299" s="85"/>
      <c r="I299" s="85">
        <v>-1759.53</v>
      </c>
      <c r="J299" s="85"/>
      <c r="K299" s="85">
        <v>-1759.53</v>
      </c>
      <c r="L299" s="85"/>
      <c r="M299" s="85">
        <v>1009.36</v>
      </c>
      <c r="N299" s="85"/>
      <c r="O299" s="85">
        <v>2519.39</v>
      </c>
      <c r="P299" s="85"/>
      <c r="Q299" s="133">
        <v>2500</v>
      </c>
      <c r="R299" s="133"/>
      <c r="S299" s="133">
        <v>2500</v>
      </c>
      <c r="T299" s="133"/>
      <c r="U299" s="133">
        <v>2500</v>
      </c>
      <c r="V299" s="133"/>
      <c r="W299" s="133">
        <v>2500</v>
      </c>
      <c r="X299" s="133"/>
      <c r="Y299" s="133">
        <v>2500</v>
      </c>
      <c r="Z299" s="86">
        <f t="shared" si="17"/>
        <v>7231.1</v>
      </c>
      <c r="AA299" s="85"/>
      <c r="AB299" s="82">
        <v>12381.37</v>
      </c>
      <c r="AC299" s="70"/>
      <c r="AD299" s="68"/>
    </row>
    <row r="300" spans="1:30" x14ac:dyDescent="0.2">
      <c r="A300" s="88" t="s">
        <v>135</v>
      </c>
      <c r="B300" s="87" t="s">
        <v>134</v>
      </c>
      <c r="C300" s="85">
        <v>524.23</v>
      </c>
      <c r="D300" s="85"/>
      <c r="E300" s="85">
        <v>890.52</v>
      </c>
      <c r="F300" s="85"/>
      <c r="G300" s="85">
        <v>514.63</v>
      </c>
      <c r="H300" s="85"/>
      <c r="I300" s="85">
        <v>276.7</v>
      </c>
      <c r="J300" s="85"/>
      <c r="K300" s="85">
        <v>1388.4</v>
      </c>
      <c r="L300" s="85"/>
      <c r="M300" s="85">
        <v>584.23</v>
      </c>
      <c r="N300" s="85"/>
      <c r="O300" s="85">
        <v>506.27</v>
      </c>
      <c r="P300" s="85"/>
      <c r="Q300" s="133">
        <v>750</v>
      </c>
      <c r="R300" s="133"/>
      <c r="S300" s="133">
        <v>750</v>
      </c>
      <c r="T300" s="133"/>
      <c r="U300" s="133">
        <v>750</v>
      </c>
      <c r="V300" s="133"/>
      <c r="W300" s="133">
        <v>750</v>
      </c>
      <c r="X300" s="133"/>
      <c r="Y300" s="133">
        <v>750</v>
      </c>
      <c r="Z300" s="86">
        <f t="shared" si="17"/>
        <v>8434.98</v>
      </c>
      <c r="AA300" s="85"/>
      <c r="AB300" s="82">
        <v>8000</v>
      </c>
      <c r="AC300" s="70"/>
    </row>
    <row r="301" spans="1:30" x14ac:dyDescent="0.2">
      <c r="A301" s="88" t="s">
        <v>133</v>
      </c>
      <c r="B301" s="87" t="s">
        <v>132</v>
      </c>
      <c r="C301" s="85">
        <v>300</v>
      </c>
      <c r="D301" s="85"/>
      <c r="E301" s="85"/>
      <c r="F301" s="85"/>
      <c r="G301" s="85">
        <v>415</v>
      </c>
      <c r="H301" s="85"/>
      <c r="I301" s="85">
        <v>300</v>
      </c>
      <c r="J301" s="85"/>
      <c r="K301" s="85"/>
      <c r="L301" s="85"/>
      <c r="M301" s="85">
        <v>493</v>
      </c>
      <c r="N301" s="85"/>
      <c r="O301" s="85">
        <v>0</v>
      </c>
      <c r="P301" s="85"/>
      <c r="Q301" s="133">
        <v>200</v>
      </c>
      <c r="R301" s="133"/>
      <c r="S301" s="133">
        <v>200</v>
      </c>
      <c r="T301" s="133"/>
      <c r="U301" s="133">
        <v>200</v>
      </c>
      <c r="V301" s="133"/>
      <c r="W301" s="133">
        <v>200</v>
      </c>
      <c r="X301" s="133"/>
      <c r="Y301" s="133">
        <v>200</v>
      </c>
      <c r="Z301" s="86">
        <f t="shared" si="17"/>
        <v>2508</v>
      </c>
      <c r="AA301" s="85"/>
      <c r="AB301" s="82">
        <v>2340</v>
      </c>
      <c r="AC301" s="70"/>
    </row>
    <row r="302" spans="1:30" x14ac:dyDescent="0.2">
      <c r="A302" s="88" t="s">
        <v>131</v>
      </c>
      <c r="B302" s="87" t="s">
        <v>130</v>
      </c>
      <c r="C302" s="85">
        <v>34.18</v>
      </c>
      <c r="D302" s="85"/>
      <c r="E302" s="85">
        <v>162.58000000000001</v>
      </c>
      <c r="F302" s="85"/>
      <c r="G302" s="85">
        <v>289.17</v>
      </c>
      <c r="H302" s="85"/>
      <c r="I302" s="85">
        <v>110.07</v>
      </c>
      <c r="J302" s="85"/>
      <c r="K302" s="85">
        <v>337.62</v>
      </c>
      <c r="L302" s="85"/>
      <c r="M302" s="85">
        <v>36.06</v>
      </c>
      <c r="N302" s="85"/>
      <c r="O302" s="85">
        <v>82.23</v>
      </c>
      <c r="P302" s="85"/>
      <c r="Q302" s="133"/>
      <c r="R302" s="133"/>
      <c r="S302" s="133"/>
      <c r="T302" s="133"/>
      <c r="U302" s="133"/>
      <c r="V302" s="133"/>
      <c r="W302" s="133"/>
      <c r="X302" s="133"/>
      <c r="Y302" s="133"/>
      <c r="Z302" s="86">
        <f t="shared" si="17"/>
        <v>1051.9100000000001</v>
      </c>
      <c r="AA302" s="85"/>
      <c r="AB302" s="82">
        <v>1500</v>
      </c>
      <c r="AC302" s="70"/>
    </row>
    <row r="303" spans="1:30" x14ac:dyDescent="0.2">
      <c r="A303" s="88" t="s">
        <v>129</v>
      </c>
      <c r="B303" s="87" t="s">
        <v>128</v>
      </c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>
        <v>0</v>
      </c>
      <c r="N303" s="85"/>
      <c r="O303" s="85"/>
      <c r="P303" s="85"/>
      <c r="Q303" s="133"/>
      <c r="R303" s="133"/>
      <c r="S303" s="133"/>
      <c r="T303" s="133"/>
      <c r="U303" s="133"/>
      <c r="V303" s="133"/>
      <c r="W303" s="133"/>
      <c r="X303" s="133"/>
      <c r="Y303" s="133"/>
      <c r="Z303" s="86">
        <f t="shared" si="17"/>
        <v>0</v>
      </c>
      <c r="AA303" s="85"/>
      <c r="AB303" s="82"/>
      <c r="AC303" s="70"/>
    </row>
    <row r="304" spans="1:30" x14ac:dyDescent="0.2">
      <c r="A304" s="88" t="s">
        <v>127</v>
      </c>
      <c r="B304" s="87" t="s">
        <v>126</v>
      </c>
      <c r="C304" s="85">
        <v>18.559999999999999</v>
      </c>
      <c r="D304" s="85"/>
      <c r="E304" s="85"/>
      <c r="F304" s="85"/>
      <c r="G304" s="85">
        <v>228.51</v>
      </c>
      <c r="H304" s="85"/>
      <c r="I304" s="85">
        <v>202.75</v>
      </c>
      <c r="J304" s="85"/>
      <c r="K304" s="85">
        <v>187.67</v>
      </c>
      <c r="L304" s="85"/>
      <c r="M304" s="85">
        <v>144.96</v>
      </c>
      <c r="N304" s="85"/>
      <c r="O304" s="85">
        <v>0</v>
      </c>
      <c r="P304" s="85"/>
      <c r="Q304" s="133"/>
      <c r="R304" s="133"/>
      <c r="S304" s="133"/>
      <c r="T304" s="133"/>
      <c r="U304" s="133"/>
      <c r="V304" s="133"/>
      <c r="W304" s="133"/>
      <c r="X304" s="133"/>
      <c r="Y304" s="133"/>
      <c r="Z304" s="86">
        <f t="shared" si="17"/>
        <v>782.45</v>
      </c>
      <c r="AA304" s="85"/>
      <c r="AB304" s="82">
        <v>1000</v>
      </c>
      <c r="AC304" s="70"/>
    </row>
    <row r="305" spans="1:29" x14ac:dyDescent="0.2">
      <c r="A305" s="88" t="s">
        <v>125</v>
      </c>
      <c r="B305" s="87" t="s">
        <v>124</v>
      </c>
      <c r="C305" s="85">
        <v>17.989999999999998</v>
      </c>
      <c r="D305" s="85"/>
      <c r="E305" s="85">
        <v>16.96</v>
      </c>
      <c r="F305" s="85"/>
      <c r="G305" s="85">
        <v>259.98</v>
      </c>
      <c r="H305" s="85"/>
      <c r="I305" s="85">
        <v>36.99</v>
      </c>
      <c r="J305" s="85"/>
      <c r="K305" s="85"/>
      <c r="L305" s="85"/>
      <c r="M305" s="85">
        <v>0</v>
      </c>
      <c r="N305" s="85"/>
      <c r="O305" s="85">
        <v>334.67</v>
      </c>
      <c r="P305" s="85"/>
      <c r="Q305" s="133"/>
      <c r="R305" s="133"/>
      <c r="S305" s="133"/>
      <c r="T305" s="133"/>
      <c r="U305" s="133"/>
      <c r="V305" s="133"/>
      <c r="W305" s="133"/>
      <c r="X305" s="133"/>
      <c r="Y305" s="133"/>
      <c r="Z305" s="86">
        <f t="shared" si="17"/>
        <v>666.59</v>
      </c>
      <c r="AA305" s="85"/>
      <c r="AB305" s="82">
        <v>1500</v>
      </c>
      <c r="AC305" s="70"/>
    </row>
    <row r="306" spans="1:29" x14ac:dyDescent="0.2">
      <c r="A306" s="88" t="s">
        <v>123</v>
      </c>
      <c r="B306" s="87" t="s">
        <v>122</v>
      </c>
      <c r="C306" s="85">
        <v>121.92</v>
      </c>
      <c r="D306" s="85"/>
      <c r="E306" s="85">
        <v>121.92</v>
      </c>
      <c r="F306" s="85"/>
      <c r="G306" s="85">
        <v>121.92</v>
      </c>
      <c r="H306" s="85"/>
      <c r="I306" s="85">
        <v>121.92</v>
      </c>
      <c r="J306" s="85"/>
      <c r="K306" s="85">
        <v>121.92</v>
      </c>
      <c r="L306" s="85"/>
      <c r="M306" s="85">
        <v>121.92</v>
      </c>
      <c r="N306" s="85"/>
      <c r="O306" s="85">
        <v>121.92</v>
      </c>
      <c r="P306" s="85"/>
      <c r="Q306" s="133">
        <v>125</v>
      </c>
      <c r="R306" s="133"/>
      <c r="S306" s="133">
        <v>125</v>
      </c>
      <c r="T306" s="133"/>
      <c r="U306" s="133">
        <v>125</v>
      </c>
      <c r="V306" s="133"/>
      <c r="W306" s="133">
        <v>125</v>
      </c>
      <c r="X306" s="133"/>
      <c r="Y306" s="133">
        <v>125</v>
      </c>
      <c r="Z306" s="86">
        <f t="shared" si="17"/>
        <v>1478.44</v>
      </c>
      <c r="AA306" s="85"/>
      <c r="AB306" s="82">
        <v>750</v>
      </c>
      <c r="AC306" s="70"/>
    </row>
    <row r="307" spans="1:29" x14ac:dyDescent="0.2">
      <c r="A307" s="88" t="s">
        <v>121</v>
      </c>
      <c r="B307" s="87" t="s">
        <v>120</v>
      </c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>
        <v>0</v>
      </c>
      <c r="N307" s="85"/>
      <c r="O307" s="85">
        <v>0</v>
      </c>
      <c r="P307" s="85"/>
      <c r="Q307" s="133"/>
      <c r="R307" s="133"/>
      <c r="S307" s="133"/>
      <c r="T307" s="133"/>
      <c r="U307" s="133"/>
      <c r="V307" s="133"/>
      <c r="W307" s="133"/>
      <c r="X307" s="133"/>
      <c r="Y307" s="133"/>
      <c r="Z307" s="86">
        <f t="shared" si="17"/>
        <v>0</v>
      </c>
      <c r="AA307" s="85"/>
      <c r="AB307" s="82">
        <v>500</v>
      </c>
      <c r="AC307" s="70"/>
    </row>
    <row r="308" spans="1:29" x14ac:dyDescent="0.2">
      <c r="A308" s="88" t="s">
        <v>119</v>
      </c>
      <c r="B308" s="87" t="s">
        <v>118</v>
      </c>
      <c r="C308" s="85"/>
      <c r="D308" s="85"/>
      <c r="E308" s="85">
        <v>270</v>
      </c>
      <c r="F308" s="85"/>
      <c r="G308" s="85"/>
      <c r="H308" s="85"/>
      <c r="I308" s="85">
        <v>2100</v>
      </c>
      <c r="J308" s="85"/>
      <c r="K308" s="85">
        <v>6650</v>
      </c>
      <c r="L308" s="85"/>
      <c r="M308" s="85">
        <v>0</v>
      </c>
      <c r="N308" s="85"/>
      <c r="O308" s="85">
        <v>0</v>
      </c>
      <c r="P308" s="85"/>
      <c r="Q308" s="133"/>
      <c r="R308" s="133"/>
      <c r="S308" s="133"/>
      <c r="T308" s="133"/>
      <c r="U308" s="133"/>
      <c r="V308" s="133"/>
      <c r="W308" s="133"/>
      <c r="X308" s="133"/>
      <c r="Y308" s="133"/>
      <c r="Z308" s="86">
        <f t="shared" si="17"/>
        <v>9020</v>
      </c>
      <c r="AA308" s="85"/>
      <c r="AB308" s="82">
        <v>10000</v>
      </c>
      <c r="AC308" s="70"/>
    </row>
    <row r="309" spans="1:29" x14ac:dyDescent="0.2">
      <c r="A309" s="88" t="s">
        <v>117</v>
      </c>
      <c r="B309" s="87" t="s">
        <v>116</v>
      </c>
      <c r="C309" s="85">
        <v>628.29</v>
      </c>
      <c r="D309" s="85"/>
      <c r="E309" s="85">
        <v>143.82</v>
      </c>
      <c r="F309" s="85"/>
      <c r="G309" s="85">
        <v>416.04</v>
      </c>
      <c r="H309" s="85"/>
      <c r="I309" s="85">
        <v>813.39</v>
      </c>
      <c r="J309" s="85"/>
      <c r="K309" s="85">
        <v>109.25</v>
      </c>
      <c r="L309" s="85"/>
      <c r="M309" s="85">
        <v>127.22</v>
      </c>
      <c r="N309" s="85"/>
      <c r="O309" s="85">
        <v>0</v>
      </c>
      <c r="P309" s="85"/>
      <c r="Q309" s="133"/>
      <c r="R309" s="133"/>
      <c r="S309" s="133"/>
      <c r="T309" s="133"/>
      <c r="U309" s="133"/>
      <c r="V309" s="133"/>
      <c r="W309" s="133"/>
      <c r="X309" s="133"/>
      <c r="Y309" s="133"/>
      <c r="Z309" s="86">
        <f t="shared" si="17"/>
        <v>2238.0099999999998</v>
      </c>
      <c r="AA309" s="85"/>
      <c r="AB309" s="82">
        <v>6000</v>
      </c>
      <c r="AC309" s="70"/>
    </row>
    <row r="310" spans="1:29" x14ac:dyDescent="0.2">
      <c r="A310" s="88" t="s">
        <v>115</v>
      </c>
      <c r="B310" s="87" t="s">
        <v>114</v>
      </c>
      <c r="C310" s="85">
        <v>967.14</v>
      </c>
      <c r="D310" s="85"/>
      <c r="E310" s="85"/>
      <c r="F310" s="85"/>
      <c r="G310" s="85">
        <v>281.64999999999998</v>
      </c>
      <c r="H310" s="85"/>
      <c r="I310" s="85"/>
      <c r="J310" s="85"/>
      <c r="K310" s="85"/>
      <c r="L310" s="85"/>
      <c r="M310" s="85">
        <v>0</v>
      </c>
      <c r="N310" s="85"/>
      <c r="O310" s="85">
        <v>0</v>
      </c>
      <c r="P310" s="85"/>
      <c r="Q310" s="133"/>
      <c r="R310" s="133"/>
      <c r="S310" s="133"/>
      <c r="T310" s="133"/>
      <c r="U310" s="133"/>
      <c r="V310" s="133"/>
      <c r="W310" s="133"/>
      <c r="X310" s="133"/>
      <c r="Y310" s="133"/>
      <c r="Z310" s="86">
        <f t="shared" si="17"/>
        <v>1248.79</v>
      </c>
      <c r="AA310" s="85"/>
      <c r="AB310" s="82"/>
      <c r="AC310" s="70"/>
    </row>
    <row r="311" spans="1:29" x14ac:dyDescent="0.2">
      <c r="A311" s="88" t="s">
        <v>113</v>
      </c>
      <c r="B311" s="87" t="s">
        <v>112</v>
      </c>
      <c r="C311" s="85"/>
      <c r="D311" s="85"/>
      <c r="E311" s="85"/>
      <c r="F311" s="85"/>
      <c r="G311" s="85">
        <v>158</v>
      </c>
      <c r="H311" s="85"/>
      <c r="I311" s="85"/>
      <c r="J311" s="85"/>
      <c r="K311" s="85">
        <v>80.180000000000007</v>
      </c>
      <c r="L311" s="85"/>
      <c r="M311" s="85">
        <v>245.05</v>
      </c>
      <c r="N311" s="85"/>
      <c r="O311" s="85">
        <v>0</v>
      </c>
      <c r="P311" s="85"/>
      <c r="Q311" s="133"/>
      <c r="R311" s="133"/>
      <c r="S311" s="133"/>
      <c r="T311" s="133"/>
      <c r="U311" s="133"/>
      <c r="V311" s="133"/>
      <c r="W311" s="133"/>
      <c r="X311" s="133"/>
      <c r="Y311" s="133"/>
      <c r="Z311" s="86">
        <f t="shared" si="17"/>
        <v>483.23</v>
      </c>
      <c r="AA311" s="85"/>
      <c r="AB311" s="82"/>
      <c r="AC311" s="70"/>
    </row>
    <row r="312" spans="1:29" x14ac:dyDescent="0.2">
      <c r="A312" s="88" t="s">
        <v>111</v>
      </c>
      <c r="B312" s="87" t="s">
        <v>110</v>
      </c>
      <c r="C312" s="85"/>
      <c r="D312" s="85"/>
      <c r="E312" s="85">
        <v>2170.8000000000002</v>
      </c>
      <c r="F312" s="85"/>
      <c r="G312" s="85"/>
      <c r="H312" s="85"/>
      <c r="I312" s="85">
        <v>1845</v>
      </c>
      <c r="J312" s="85"/>
      <c r="K312" s="85">
        <v>7081.47</v>
      </c>
      <c r="L312" s="85"/>
      <c r="M312" s="85">
        <v>235</v>
      </c>
      <c r="N312" s="85"/>
      <c r="O312" s="85">
        <v>0</v>
      </c>
      <c r="P312" s="85"/>
      <c r="Q312" s="133"/>
      <c r="R312" s="133"/>
      <c r="S312" s="133"/>
      <c r="T312" s="133"/>
      <c r="U312" s="133"/>
      <c r="V312" s="133"/>
      <c r="W312" s="133"/>
      <c r="X312" s="133"/>
      <c r="Y312" s="133"/>
      <c r="Z312" s="86">
        <f t="shared" si="17"/>
        <v>11332.27</v>
      </c>
      <c r="AA312" s="85"/>
      <c r="AB312" s="82">
        <v>8000</v>
      </c>
      <c r="AC312" s="70"/>
    </row>
    <row r="313" spans="1:29" x14ac:dyDescent="0.2">
      <c r="A313" s="88" t="s">
        <v>109</v>
      </c>
      <c r="B313" s="87" t="s">
        <v>108</v>
      </c>
      <c r="C313" s="85">
        <v>1554.8</v>
      </c>
      <c r="D313" s="85"/>
      <c r="E313" s="85"/>
      <c r="F313" s="85"/>
      <c r="G313" s="85"/>
      <c r="H313" s="85"/>
      <c r="I313" s="85"/>
      <c r="J313" s="85"/>
      <c r="K313" s="85"/>
      <c r="L313" s="85"/>
      <c r="M313" s="85">
        <v>0</v>
      </c>
      <c r="N313" s="85"/>
      <c r="O313" s="85">
        <v>0</v>
      </c>
      <c r="P313" s="85"/>
      <c r="Q313" s="133"/>
      <c r="R313" s="133"/>
      <c r="S313" s="133"/>
      <c r="T313" s="133"/>
      <c r="U313" s="133"/>
      <c r="V313" s="133"/>
      <c r="W313" s="133"/>
      <c r="X313" s="133"/>
      <c r="Y313" s="133"/>
      <c r="Z313" s="86">
        <f t="shared" si="17"/>
        <v>1554.8</v>
      </c>
      <c r="AA313" s="85"/>
      <c r="AB313" s="82">
        <v>2500</v>
      </c>
      <c r="AC313" s="70"/>
    </row>
    <row r="314" spans="1:29" x14ac:dyDescent="0.2">
      <c r="A314" s="88">
        <v>6082000</v>
      </c>
      <c r="B314" s="87" t="s">
        <v>107</v>
      </c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>
        <v>0</v>
      </c>
      <c r="N314" s="85"/>
      <c r="O314" s="85"/>
      <c r="P314" s="85"/>
      <c r="Q314" s="133"/>
      <c r="R314" s="133"/>
      <c r="S314" s="133"/>
      <c r="T314" s="133"/>
      <c r="U314" s="133"/>
      <c r="V314" s="133"/>
      <c r="W314" s="133"/>
      <c r="X314" s="133"/>
      <c r="Y314" s="133"/>
      <c r="Z314" s="86">
        <f t="shared" si="17"/>
        <v>0</v>
      </c>
      <c r="AA314" s="85"/>
      <c r="AB314" s="82"/>
      <c r="AC314" s="70"/>
    </row>
    <row r="315" spans="1:29" x14ac:dyDescent="0.2">
      <c r="A315" s="88">
        <v>6082050</v>
      </c>
      <c r="B315" s="87" t="s">
        <v>106</v>
      </c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>
        <v>0</v>
      </c>
      <c r="N315" s="85"/>
      <c r="O315" s="85"/>
      <c r="P315" s="85"/>
      <c r="Q315" s="133"/>
      <c r="R315" s="133"/>
      <c r="S315" s="133"/>
      <c r="T315" s="133"/>
      <c r="U315" s="133"/>
      <c r="V315" s="133"/>
      <c r="W315" s="133"/>
      <c r="X315" s="133"/>
      <c r="Y315" s="133"/>
      <c r="Z315" s="86">
        <f t="shared" si="17"/>
        <v>0</v>
      </c>
      <c r="AA315" s="85"/>
      <c r="AB315" s="82"/>
      <c r="AC315" s="70"/>
    </row>
    <row r="316" spans="1:29" x14ac:dyDescent="0.2">
      <c r="A316" s="84"/>
      <c r="B316" s="83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137"/>
      <c r="R316" s="137"/>
      <c r="S316" s="137"/>
      <c r="T316" s="137"/>
      <c r="U316" s="137"/>
      <c r="V316" s="137"/>
      <c r="W316" s="137"/>
      <c r="X316" s="137"/>
      <c r="Y316" s="137"/>
      <c r="Z316" s="82"/>
      <c r="AA316" s="82"/>
      <c r="AB316" s="82"/>
      <c r="AC316" s="70"/>
    </row>
    <row r="317" spans="1:29" x14ac:dyDescent="0.2">
      <c r="A317" s="81" t="s">
        <v>105</v>
      </c>
      <c r="B317" s="80" t="s">
        <v>104</v>
      </c>
      <c r="C317" s="79">
        <f>SUM(C291:C316)</f>
        <v>6919.73</v>
      </c>
      <c r="D317" s="76"/>
      <c r="E317" s="79">
        <f>SUM(E291:E316)</f>
        <v>4201.43</v>
      </c>
      <c r="F317" s="76"/>
      <c r="G317" s="79">
        <f>SUM(G291:G316)</f>
        <v>107626.84999999998</v>
      </c>
      <c r="H317" s="76"/>
      <c r="I317" s="79">
        <f>SUM(I291:I316)</f>
        <v>145587.77000000005</v>
      </c>
      <c r="J317" s="76"/>
      <c r="K317" s="79">
        <f>SUM(K291:K316)</f>
        <v>188872.19999999998</v>
      </c>
      <c r="L317" s="76"/>
      <c r="M317" s="79">
        <f>SUM(M291:M316)</f>
        <v>28747.26</v>
      </c>
      <c r="N317" s="76"/>
      <c r="O317" s="79">
        <f>SUM(O291:O316)</f>
        <v>5993.65</v>
      </c>
      <c r="P317" s="79"/>
      <c r="Q317" s="134">
        <f>SUM(Q291:Q316)</f>
        <v>5865.6263999999992</v>
      </c>
      <c r="R317" s="134"/>
      <c r="S317" s="134">
        <f>SUM(S291:S316)</f>
        <v>5865.6263999999992</v>
      </c>
      <c r="T317" s="134"/>
      <c r="U317" s="134">
        <f>SUM(U291:U316)</f>
        <v>5865.6263999999992</v>
      </c>
      <c r="V317" s="134"/>
      <c r="W317" s="134">
        <f>SUM(W291:W316)</f>
        <v>10865.626399999999</v>
      </c>
      <c r="X317" s="134"/>
      <c r="Y317" s="134">
        <f>SUM(Y291:Y316)</f>
        <v>8980.9943999999996</v>
      </c>
      <c r="Z317" s="79">
        <f>SUM(Z291:Z316)</f>
        <v>525392.39</v>
      </c>
      <c r="AA317" s="76"/>
      <c r="AB317" s="79">
        <f>SUM(AB291:AB316)</f>
        <v>536137.12</v>
      </c>
      <c r="AC317" s="70"/>
    </row>
    <row r="318" spans="1:29" x14ac:dyDescent="0.2"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135"/>
      <c r="R318" s="135"/>
      <c r="S318" s="135"/>
      <c r="T318" s="135"/>
      <c r="U318" s="135"/>
      <c r="V318" s="135"/>
      <c r="W318" s="135"/>
      <c r="X318" s="135"/>
      <c r="Y318" s="135"/>
      <c r="Z318" s="67"/>
      <c r="AA318" s="67"/>
      <c r="AB318" s="67"/>
      <c r="AC318" s="70"/>
    </row>
    <row r="319" spans="1:29" ht="12" thickBot="1" x14ac:dyDescent="0.25">
      <c r="A319" s="78" t="s">
        <v>103</v>
      </c>
      <c r="B319" s="77" t="s">
        <v>102</v>
      </c>
      <c r="C319" s="75">
        <f>+C317+C288+C253+C210</f>
        <v>393230.2</v>
      </c>
      <c r="D319" s="76"/>
      <c r="E319" s="75">
        <f>+E317+E288+E253+E210</f>
        <v>542606.97</v>
      </c>
      <c r="F319" s="76"/>
      <c r="G319" s="75">
        <f>+G317+G288+G253+G210</f>
        <v>639158.10999999987</v>
      </c>
      <c r="H319" s="76"/>
      <c r="I319" s="75">
        <f>+I317+I288+I253+I210</f>
        <v>760955.56</v>
      </c>
      <c r="J319" s="76"/>
      <c r="K319" s="75">
        <f>+K317+K288+K253+K210</f>
        <v>917623.02999999991</v>
      </c>
      <c r="L319" s="76"/>
      <c r="M319" s="75">
        <f>+M317+M288+M253+M210</f>
        <v>652628.17000000004</v>
      </c>
      <c r="N319" s="76"/>
      <c r="O319" s="75">
        <f>+O317+O288+O253+O210</f>
        <v>381792.69</v>
      </c>
      <c r="P319" s="75"/>
      <c r="Q319" s="138">
        <f>+Q317+Q288+Q253+Q210</f>
        <v>422089.42259999999</v>
      </c>
      <c r="R319" s="138"/>
      <c r="S319" s="138">
        <f>+S317+S288+S253+S210</f>
        <v>365290.88319999998</v>
      </c>
      <c r="T319" s="138"/>
      <c r="U319" s="138">
        <f>+U317+U288+U253+U210</f>
        <v>356465.88319999998</v>
      </c>
      <c r="V319" s="138"/>
      <c r="W319" s="138">
        <f>+W317+W288+W253+W210</f>
        <v>361465.88319999998</v>
      </c>
      <c r="X319" s="138"/>
      <c r="Y319" s="138">
        <f>+Y317+Y288+Y253+Y210</f>
        <v>658517.78559999994</v>
      </c>
      <c r="Z319" s="75">
        <f>+Z317+Z288+Z253+Z210</f>
        <v>6451824.5877999989</v>
      </c>
      <c r="AA319" s="76"/>
      <c r="AB319" s="75">
        <f>+AB317+AB288+AB253+AB210</f>
        <v>8022036.3300000001</v>
      </c>
      <c r="AC319" s="70"/>
    </row>
    <row r="320" spans="1:29" ht="12" thickTop="1" x14ac:dyDescent="0.2"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135"/>
      <c r="R320" s="135"/>
      <c r="S320" s="135"/>
      <c r="T320" s="135"/>
      <c r="U320" s="135"/>
      <c r="V320" s="135"/>
      <c r="W320" s="135"/>
      <c r="X320" s="135"/>
      <c r="Y320" s="135"/>
      <c r="Z320" s="67"/>
      <c r="AA320" s="67"/>
      <c r="AB320" s="67"/>
      <c r="AC320" s="70"/>
    </row>
    <row r="321" spans="1:29" x14ac:dyDescent="0.2"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135"/>
      <c r="R321" s="135"/>
      <c r="S321" s="135"/>
      <c r="T321" s="135"/>
      <c r="U321" s="135"/>
      <c r="V321" s="135"/>
      <c r="W321" s="135"/>
      <c r="X321" s="135"/>
      <c r="Y321" s="135"/>
      <c r="Z321" s="67"/>
      <c r="AA321" s="67"/>
      <c r="AB321" s="67"/>
      <c r="AC321" s="70"/>
    </row>
    <row r="322" spans="1:29" ht="12" thickBot="1" x14ac:dyDescent="0.25">
      <c r="A322" s="73"/>
      <c r="B322" s="72" t="s">
        <v>101</v>
      </c>
      <c r="C322" s="69">
        <f>+C100-C319</f>
        <v>37466.340000000026</v>
      </c>
      <c r="D322" s="71"/>
      <c r="E322" s="69">
        <f>+E100-E319</f>
        <v>286421.20000000007</v>
      </c>
      <c r="F322" s="71"/>
      <c r="G322" s="69">
        <f>+G100-G319</f>
        <v>-5670.5999999998603</v>
      </c>
      <c r="H322" s="71"/>
      <c r="I322" s="69">
        <f>+I100-I319</f>
        <v>111720.02999999991</v>
      </c>
      <c r="J322" s="71"/>
      <c r="K322" s="69">
        <f>+K100-K319</f>
        <v>42370.060000000172</v>
      </c>
      <c r="L322" s="71"/>
      <c r="M322" s="69">
        <f>+M100-M319</f>
        <v>128813.35999999999</v>
      </c>
      <c r="N322" s="71"/>
      <c r="O322" s="69">
        <f>+O100-O319</f>
        <v>784233.7200000002</v>
      </c>
      <c r="P322" s="69"/>
      <c r="Q322" s="142">
        <f>+Q100-Q319</f>
        <v>-162692.85260000001</v>
      </c>
      <c r="R322" s="142"/>
      <c r="S322" s="142">
        <f>+S100-S319</f>
        <v>-149932.78319999998</v>
      </c>
      <c r="T322" s="142"/>
      <c r="U322" s="142">
        <f>+U100-U319</f>
        <v>-160544.63319999998</v>
      </c>
      <c r="V322" s="142"/>
      <c r="W322" s="142">
        <f>+W100-W319</f>
        <v>-197258.37319999997</v>
      </c>
      <c r="X322" s="142"/>
      <c r="Y322" s="142">
        <f>+Y100-Y319</f>
        <v>-476573.59559999994</v>
      </c>
      <c r="Z322" s="69">
        <f>+Z100-Z319</f>
        <v>238351.8722000001</v>
      </c>
      <c r="AA322" s="71"/>
      <c r="AB322" s="69">
        <f>+AB100-AB319</f>
        <v>69968.669999999925</v>
      </c>
      <c r="AC322" s="70"/>
    </row>
    <row r="323" spans="1:29" ht="12" thickTop="1" x14ac:dyDescent="0.2">
      <c r="A323" s="63"/>
      <c r="B323" s="63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143"/>
      <c r="R323" s="143"/>
      <c r="S323" s="143"/>
      <c r="T323" s="143"/>
      <c r="U323" s="143"/>
      <c r="V323" s="143"/>
      <c r="W323" s="143"/>
      <c r="X323" s="143"/>
      <c r="Y323" s="143"/>
      <c r="Z323" s="66"/>
      <c r="AA323" s="66"/>
      <c r="AB323" s="66"/>
      <c r="AC323" s="67"/>
    </row>
    <row r="324" spans="1:29" x14ac:dyDescent="0.2">
      <c r="A324" s="63"/>
      <c r="B324" s="63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143"/>
      <c r="R324" s="143"/>
      <c r="S324" s="143"/>
      <c r="T324" s="143"/>
      <c r="U324" s="143"/>
      <c r="V324" s="143"/>
      <c r="W324" s="143"/>
      <c r="X324" s="143"/>
      <c r="Y324" s="143"/>
      <c r="Z324" s="66"/>
      <c r="AA324" s="66"/>
      <c r="AB324" s="66"/>
      <c r="AC324" s="67"/>
    </row>
    <row r="325" spans="1:29" x14ac:dyDescent="0.2">
      <c r="A325" s="63"/>
      <c r="B325" s="63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143"/>
      <c r="R325" s="143"/>
      <c r="S325" s="143"/>
      <c r="T325" s="143"/>
      <c r="U325" s="143"/>
      <c r="V325" s="143"/>
      <c r="W325" s="143"/>
      <c r="X325" s="143"/>
      <c r="Y325" s="143"/>
      <c r="Z325" s="66"/>
      <c r="AA325" s="66"/>
      <c r="AB325" s="66"/>
      <c r="AC325" s="67"/>
    </row>
    <row r="326" spans="1:29" x14ac:dyDescent="0.2">
      <c r="A326" s="63"/>
      <c r="B326" s="63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143"/>
      <c r="R326" s="143"/>
      <c r="S326" s="143"/>
      <c r="T326" s="143"/>
      <c r="U326" s="143"/>
      <c r="V326" s="143"/>
      <c r="W326" s="143"/>
      <c r="X326" s="143"/>
      <c r="Y326" s="143"/>
      <c r="Z326" s="66"/>
      <c r="AA326" s="66"/>
      <c r="AB326" s="66"/>
      <c r="AC326" s="67"/>
    </row>
    <row r="327" spans="1:29" x14ac:dyDescent="0.2">
      <c r="A327" s="63"/>
      <c r="B327" s="63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143"/>
      <c r="R327" s="143"/>
      <c r="S327" s="143"/>
      <c r="T327" s="143"/>
      <c r="U327" s="143"/>
      <c r="V327" s="143"/>
      <c r="W327" s="143"/>
      <c r="X327" s="143"/>
      <c r="Y327" s="143"/>
      <c r="Z327" s="66"/>
      <c r="AA327" s="66"/>
      <c r="AB327" s="66"/>
      <c r="AC327" s="67"/>
    </row>
    <row r="328" spans="1:29" x14ac:dyDescent="0.2">
      <c r="A328" s="63"/>
      <c r="B328" s="63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143"/>
      <c r="R328" s="143"/>
      <c r="S328" s="143"/>
      <c r="T328" s="143"/>
      <c r="U328" s="143"/>
      <c r="V328" s="143"/>
      <c r="W328" s="143"/>
      <c r="X328" s="143"/>
      <c r="Y328" s="143"/>
      <c r="Z328" s="66"/>
      <c r="AA328" s="66"/>
      <c r="AB328" s="66"/>
      <c r="AC328" s="67"/>
    </row>
    <row r="329" spans="1:29" x14ac:dyDescent="0.2">
      <c r="A329" s="63"/>
      <c r="B329" s="6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143"/>
      <c r="R329" s="143"/>
      <c r="S329" s="143"/>
      <c r="T329" s="143"/>
      <c r="U329" s="143"/>
      <c r="V329" s="143"/>
      <c r="W329" s="143"/>
      <c r="X329" s="143"/>
      <c r="Y329" s="143"/>
      <c r="Z329" s="66"/>
      <c r="AA329" s="66"/>
      <c r="AB329" s="66"/>
      <c r="AC329" s="67"/>
    </row>
    <row r="330" spans="1:29" x14ac:dyDescent="0.2">
      <c r="A330" s="63"/>
      <c r="B330" s="6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143"/>
      <c r="R330" s="143"/>
      <c r="S330" s="143"/>
      <c r="T330" s="143"/>
      <c r="U330" s="143"/>
      <c r="V330" s="143"/>
      <c r="W330" s="143"/>
      <c r="X330" s="143"/>
      <c r="Y330" s="143"/>
      <c r="Z330" s="66"/>
      <c r="AA330" s="66"/>
      <c r="AB330" s="66"/>
      <c r="AC330" s="67"/>
    </row>
    <row r="331" spans="1:29" x14ac:dyDescent="0.2">
      <c r="A331" s="63"/>
      <c r="B331" s="6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143"/>
      <c r="R331" s="143"/>
      <c r="S331" s="143"/>
      <c r="T331" s="143"/>
      <c r="U331" s="143"/>
      <c r="V331" s="143"/>
      <c r="W331" s="143"/>
      <c r="X331" s="143"/>
      <c r="Y331" s="143"/>
      <c r="Z331" s="66"/>
      <c r="AA331" s="66"/>
      <c r="AB331" s="66"/>
      <c r="AC331" s="67"/>
    </row>
    <row r="332" spans="1:29" x14ac:dyDescent="0.2">
      <c r="A332" s="63"/>
      <c r="B332" s="6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143"/>
      <c r="R332" s="143"/>
      <c r="S332" s="143"/>
      <c r="T332" s="143"/>
      <c r="U332" s="143"/>
      <c r="V332" s="143"/>
      <c r="W332" s="143"/>
      <c r="X332" s="143"/>
      <c r="Y332" s="143"/>
      <c r="Z332" s="66"/>
      <c r="AA332" s="66"/>
      <c r="AB332" s="66"/>
      <c r="AC332" s="67"/>
    </row>
    <row r="333" spans="1:29" x14ac:dyDescent="0.2">
      <c r="A333" s="63"/>
      <c r="B333" s="6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143"/>
      <c r="R333" s="143"/>
      <c r="S333" s="143"/>
      <c r="T333" s="143"/>
      <c r="U333" s="143"/>
      <c r="V333" s="143"/>
      <c r="W333" s="143"/>
      <c r="X333" s="143"/>
      <c r="Y333" s="143"/>
      <c r="Z333" s="66"/>
      <c r="AA333" s="66"/>
      <c r="AB333" s="66"/>
      <c r="AC333" s="67"/>
    </row>
    <row r="334" spans="1:29" x14ac:dyDescent="0.2">
      <c r="A334" s="63"/>
      <c r="B334" s="6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143"/>
      <c r="R334" s="143"/>
      <c r="S334" s="143"/>
      <c r="T334" s="143"/>
      <c r="U334" s="143"/>
      <c r="V334" s="143"/>
      <c r="W334" s="143"/>
      <c r="X334" s="143"/>
      <c r="Y334" s="143"/>
      <c r="Z334" s="66"/>
      <c r="AA334" s="66"/>
      <c r="AB334" s="66"/>
      <c r="AC334" s="67"/>
    </row>
    <row r="335" spans="1:29" x14ac:dyDescent="0.2">
      <c r="A335" s="63"/>
      <c r="B335" s="6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143"/>
      <c r="R335" s="143"/>
      <c r="S335" s="143"/>
      <c r="T335" s="143"/>
      <c r="U335" s="143"/>
      <c r="V335" s="143"/>
      <c r="W335" s="143"/>
      <c r="X335" s="143"/>
      <c r="Y335" s="143"/>
      <c r="Z335" s="66"/>
      <c r="AA335" s="66"/>
      <c r="AB335" s="66"/>
      <c r="AC335" s="67"/>
    </row>
    <row r="336" spans="1:29" x14ac:dyDescent="0.2">
      <c r="A336" s="63"/>
      <c r="B336" s="6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143"/>
      <c r="R336" s="143"/>
      <c r="S336" s="143"/>
      <c r="T336" s="143"/>
      <c r="U336" s="143"/>
      <c r="V336" s="143"/>
      <c r="W336" s="143"/>
      <c r="X336" s="143"/>
      <c r="Y336" s="143"/>
      <c r="Z336" s="66"/>
      <c r="AA336" s="66"/>
      <c r="AB336" s="66"/>
      <c r="AC336" s="67"/>
    </row>
    <row r="337" spans="1:29" x14ac:dyDescent="0.2">
      <c r="A337" s="63"/>
      <c r="B337" s="6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143"/>
      <c r="R337" s="143"/>
      <c r="S337" s="143"/>
      <c r="T337" s="143"/>
      <c r="U337" s="143"/>
      <c r="V337" s="143"/>
      <c r="W337" s="143"/>
      <c r="X337" s="143"/>
      <c r="Y337" s="143"/>
      <c r="Z337" s="66"/>
      <c r="AA337" s="66"/>
      <c r="AB337" s="66"/>
      <c r="AC337" s="67"/>
    </row>
    <row r="338" spans="1:29" x14ac:dyDescent="0.2">
      <c r="A338" s="63"/>
      <c r="B338" s="6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143"/>
      <c r="R338" s="143"/>
      <c r="S338" s="143"/>
      <c r="T338" s="143"/>
      <c r="U338" s="143"/>
      <c r="V338" s="143"/>
      <c r="W338" s="143"/>
      <c r="X338" s="143"/>
      <c r="Y338" s="143"/>
      <c r="Z338" s="66"/>
      <c r="AA338" s="66"/>
      <c r="AB338" s="66"/>
      <c r="AC338" s="67"/>
    </row>
    <row r="339" spans="1:29" x14ac:dyDescent="0.2">
      <c r="A339" s="63"/>
      <c r="B339" s="6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143"/>
      <c r="R339" s="143"/>
      <c r="S339" s="143"/>
      <c r="T339" s="143"/>
      <c r="U339" s="143"/>
      <c r="V339" s="143"/>
      <c r="W339" s="143"/>
      <c r="X339" s="143"/>
      <c r="Y339" s="143"/>
      <c r="Z339" s="66"/>
      <c r="AA339" s="66"/>
      <c r="AB339" s="66"/>
      <c r="AC339" s="67"/>
    </row>
    <row r="340" spans="1:29" x14ac:dyDescent="0.2">
      <c r="A340" s="63"/>
      <c r="B340" s="6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143"/>
      <c r="R340" s="143"/>
      <c r="S340" s="143"/>
      <c r="T340" s="143"/>
      <c r="U340" s="143"/>
      <c r="V340" s="143"/>
      <c r="W340" s="143"/>
      <c r="X340" s="143"/>
      <c r="Y340" s="143"/>
      <c r="Z340" s="66"/>
      <c r="AA340" s="66"/>
      <c r="AB340" s="66"/>
      <c r="AC340" s="67"/>
    </row>
    <row r="341" spans="1:29" x14ac:dyDescent="0.2">
      <c r="A341" s="63"/>
      <c r="B341" s="6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143"/>
      <c r="R341" s="143"/>
      <c r="S341" s="143"/>
      <c r="T341" s="143"/>
      <c r="U341" s="143"/>
      <c r="V341" s="143"/>
      <c r="W341" s="143"/>
      <c r="X341" s="143"/>
      <c r="Y341" s="143"/>
      <c r="Z341" s="66"/>
      <c r="AA341" s="66"/>
      <c r="AB341" s="66"/>
      <c r="AC341" s="67"/>
    </row>
    <row r="342" spans="1:29" x14ac:dyDescent="0.2">
      <c r="A342" s="63"/>
      <c r="B342" s="6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43"/>
      <c r="R342" s="143"/>
      <c r="S342" s="143"/>
      <c r="T342" s="143"/>
      <c r="U342" s="143"/>
      <c r="V342" s="143"/>
      <c r="W342" s="143"/>
      <c r="X342" s="143"/>
      <c r="Y342" s="143"/>
      <c r="Z342" s="66"/>
      <c r="AA342" s="66"/>
      <c r="AB342" s="66"/>
      <c r="AC342" s="67"/>
    </row>
    <row r="343" spans="1:29" x14ac:dyDescent="0.2">
      <c r="A343" s="63"/>
      <c r="B343" s="6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143"/>
      <c r="R343" s="143"/>
      <c r="S343" s="143"/>
      <c r="T343" s="143"/>
      <c r="U343" s="143"/>
      <c r="V343" s="143"/>
      <c r="W343" s="143"/>
      <c r="X343" s="143"/>
      <c r="Y343" s="143"/>
      <c r="Z343" s="66"/>
      <c r="AA343" s="66"/>
      <c r="AB343" s="66"/>
      <c r="AC343" s="67"/>
    </row>
    <row r="344" spans="1:29" x14ac:dyDescent="0.2">
      <c r="A344" s="63"/>
      <c r="B344" s="6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143"/>
      <c r="R344" s="143"/>
      <c r="S344" s="143"/>
      <c r="T344" s="143"/>
      <c r="U344" s="143"/>
      <c r="V344" s="143"/>
      <c r="W344" s="143"/>
      <c r="X344" s="143"/>
      <c r="Y344" s="143"/>
      <c r="Z344" s="66"/>
      <c r="AA344" s="66"/>
      <c r="AB344" s="66"/>
      <c r="AC344" s="67"/>
    </row>
    <row r="345" spans="1:29" x14ac:dyDescent="0.2">
      <c r="A345" s="63"/>
      <c r="B345" s="6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143"/>
      <c r="R345" s="143"/>
      <c r="S345" s="143"/>
      <c r="T345" s="143"/>
      <c r="U345" s="143"/>
      <c r="V345" s="143"/>
      <c r="W345" s="143"/>
      <c r="X345" s="143"/>
      <c r="Y345" s="143"/>
      <c r="Z345" s="66"/>
      <c r="AA345" s="66"/>
      <c r="AB345" s="66"/>
      <c r="AC345" s="67"/>
    </row>
    <row r="346" spans="1:29" x14ac:dyDescent="0.2">
      <c r="A346" s="63"/>
      <c r="B346" s="6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143"/>
      <c r="R346" s="143"/>
      <c r="S346" s="143"/>
      <c r="T346" s="143"/>
      <c r="U346" s="143"/>
      <c r="V346" s="143"/>
      <c r="W346" s="143"/>
      <c r="X346" s="143"/>
      <c r="Y346" s="143"/>
      <c r="Z346" s="66"/>
      <c r="AA346" s="66"/>
      <c r="AB346" s="66"/>
      <c r="AC346" s="67"/>
    </row>
    <row r="347" spans="1:29" x14ac:dyDescent="0.2">
      <c r="A347" s="63"/>
      <c r="B347" s="6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143"/>
      <c r="R347" s="143"/>
      <c r="S347" s="143"/>
      <c r="T347" s="143"/>
      <c r="U347" s="143"/>
      <c r="V347" s="143"/>
      <c r="W347" s="143"/>
      <c r="X347" s="143"/>
      <c r="Y347" s="143"/>
      <c r="Z347" s="66"/>
      <c r="AA347" s="66"/>
      <c r="AB347" s="66"/>
      <c r="AC347" s="67"/>
    </row>
    <row r="348" spans="1:29" x14ac:dyDescent="0.2">
      <c r="A348" s="63"/>
      <c r="B348" s="6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143"/>
      <c r="R348" s="143"/>
      <c r="S348" s="143"/>
      <c r="T348" s="143"/>
      <c r="U348" s="143"/>
      <c r="V348" s="143"/>
      <c r="W348" s="143"/>
      <c r="X348" s="143"/>
      <c r="Y348" s="143"/>
      <c r="Z348" s="66"/>
      <c r="AA348" s="66"/>
      <c r="AB348" s="66"/>
      <c r="AC348" s="67"/>
    </row>
    <row r="349" spans="1:29" x14ac:dyDescent="0.2">
      <c r="A349" s="63"/>
      <c r="B349" s="6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143"/>
      <c r="R349" s="143"/>
      <c r="S349" s="143"/>
      <c r="T349" s="143"/>
      <c r="U349" s="143"/>
      <c r="V349" s="143"/>
      <c r="W349" s="143"/>
      <c r="X349" s="143"/>
      <c r="Y349" s="143"/>
      <c r="Z349" s="66"/>
      <c r="AA349" s="66"/>
      <c r="AB349" s="66"/>
      <c r="AC349" s="67"/>
    </row>
    <row r="350" spans="1:29" x14ac:dyDescent="0.2">
      <c r="A350" s="63"/>
      <c r="B350" s="6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143"/>
      <c r="R350" s="143"/>
      <c r="S350" s="143"/>
      <c r="T350" s="143"/>
      <c r="U350" s="143"/>
      <c r="V350" s="143"/>
      <c r="W350" s="143"/>
      <c r="X350" s="143"/>
      <c r="Y350" s="143"/>
      <c r="Z350" s="66"/>
      <c r="AA350" s="66"/>
      <c r="AB350" s="66"/>
      <c r="AC350" s="67"/>
    </row>
    <row r="351" spans="1:29" x14ac:dyDescent="0.2">
      <c r="A351" s="63"/>
      <c r="B351" s="6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143"/>
      <c r="R351" s="143"/>
      <c r="S351" s="143"/>
      <c r="T351" s="143"/>
      <c r="U351" s="143"/>
      <c r="V351" s="143"/>
      <c r="W351" s="143"/>
      <c r="X351" s="143"/>
      <c r="Y351" s="143"/>
      <c r="Z351" s="66"/>
      <c r="AA351" s="66"/>
      <c r="AB351" s="66"/>
      <c r="AC351" s="67"/>
    </row>
    <row r="352" spans="1:29" x14ac:dyDescent="0.2">
      <c r="A352" s="63"/>
      <c r="B352" s="6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143"/>
      <c r="R352" s="143"/>
      <c r="S352" s="143"/>
      <c r="T352" s="143"/>
      <c r="U352" s="143"/>
      <c r="V352" s="143"/>
      <c r="W352" s="143"/>
      <c r="X352" s="143"/>
      <c r="Y352" s="143"/>
      <c r="Z352" s="66"/>
      <c r="AA352" s="66"/>
      <c r="AB352" s="66"/>
      <c r="AC352" s="67"/>
    </row>
    <row r="353" spans="1:29" x14ac:dyDescent="0.2">
      <c r="A353" s="63"/>
      <c r="B353" s="6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143"/>
      <c r="R353" s="143"/>
      <c r="S353" s="143"/>
      <c r="T353" s="143"/>
      <c r="U353" s="143"/>
      <c r="V353" s="143"/>
      <c r="W353" s="143"/>
      <c r="X353" s="143"/>
      <c r="Y353" s="143"/>
      <c r="Z353" s="66"/>
      <c r="AA353" s="66"/>
      <c r="AB353" s="66"/>
      <c r="AC353" s="67"/>
    </row>
    <row r="354" spans="1:29" x14ac:dyDescent="0.2">
      <c r="A354" s="63"/>
      <c r="B354" s="6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143"/>
      <c r="R354" s="143"/>
      <c r="S354" s="143"/>
      <c r="T354" s="143"/>
      <c r="U354" s="143"/>
      <c r="V354" s="143"/>
      <c r="W354" s="143"/>
      <c r="X354" s="143"/>
      <c r="Y354" s="143"/>
      <c r="Z354" s="66"/>
      <c r="AA354" s="66"/>
      <c r="AB354" s="66"/>
      <c r="AC354" s="67"/>
    </row>
    <row r="355" spans="1:29" x14ac:dyDescent="0.2">
      <c r="A355" s="63"/>
      <c r="B355" s="6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143"/>
      <c r="R355" s="143"/>
      <c r="S355" s="143"/>
      <c r="T355" s="143"/>
      <c r="U355" s="143"/>
      <c r="V355" s="143"/>
      <c r="W355" s="143"/>
      <c r="X355" s="143"/>
      <c r="Y355" s="143"/>
      <c r="Z355" s="66"/>
      <c r="AA355" s="66"/>
      <c r="AB355" s="66"/>
      <c r="AC355" s="67"/>
    </row>
    <row r="356" spans="1:29" x14ac:dyDescent="0.2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144"/>
      <c r="R356" s="144"/>
      <c r="S356" s="144"/>
      <c r="T356" s="144"/>
      <c r="U356" s="144"/>
      <c r="V356" s="144"/>
      <c r="W356" s="144"/>
      <c r="X356" s="144"/>
      <c r="Y356" s="144"/>
      <c r="Z356" s="63"/>
      <c r="AA356" s="63"/>
      <c r="AB356" s="63"/>
    </row>
    <row r="357" spans="1:29" x14ac:dyDescent="0.2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144"/>
      <c r="R357" s="144"/>
      <c r="S357" s="144"/>
      <c r="T357" s="144"/>
      <c r="U357" s="144"/>
      <c r="V357" s="144"/>
      <c r="W357" s="144"/>
      <c r="X357" s="144"/>
      <c r="Y357" s="144"/>
      <c r="Z357" s="63"/>
      <c r="AA357" s="63"/>
      <c r="AB357" s="63"/>
    </row>
    <row r="358" spans="1:29" x14ac:dyDescent="0.2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144"/>
      <c r="R358" s="144"/>
      <c r="S358" s="144"/>
      <c r="T358" s="144"/>
      <c r="U358" s="144"/>
      <c r="V358" s="144"/>
      <c r="W358" s="144"/>
      <c r="X358" s="144"/>
      <c r="Y358" s="144"/>
      <c r="Z358" s="63"/>
      <c r="AA358" s="63"/>
      <c r="AB358" s="63"/>
    </row>
    <row r="359" spans="1:29" x14ac:dyDescent="0.2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144"/>
      <c r="R359" s="144"/>
      <c r="S359" s="144"/>
      <c r="T359" s="144"/>
      <c r="U359" s="144"/>
      <c r="V359" s="144"/>
      <c r="W359" s="144"/>
      <c r="X359" s="144"/>
      <c r="Y359" s="144"/>
      <c r="Z359" s="63"/>
      <c r="AA359" s="63"/>
      <c r="AB359" s="63"/>
    </row>
    <row r="360" spans="1:29" x14ac:dyDescent="0.2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144"/>
      <c r="R360" s="144"/>
      <c r="S360" s="144"/>
      <c r="T360" s="144"/>
      <c r="U360" s="144"/>
      <c r="V360" s="144"/>
      <c r="W360" s="144"/>
      <c r="X360" s="144"/>
      <c r="Y360" s="144"/>
      <c r="Z360" s="63"/>
      <c r="AA360" s="63"/>
      <c r="AB360" s="63"/>
    </row>
    <row r="361" spans="1:29" x14ac:dyDescent="0.2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144"/>
      <c r="R361" s="144"/>
      <c r="S361" s="144"/>
      <c r="T361" s="144"/>
      <c r="U361" s="144"/>
      <c r="V361" s="144"/>
      <c r="W361" s="144"/>
      <c r="X361" s="144"/>
      <c r="Y361" s="144"/>
      <c r="Z361" s="63"/>
      <c r="AA361" s="63"/>
      <c r="AB361" s="63"/>
    </row>
    <row r="362" spans="1:29" x14ac:dyDescent="0.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144"/>
      <c r="R362" s="144"/>
      <c r="S362" s="144"/>
      <c r="T362" s="144"/>
      <c r="U362" s="144"/>
      <c r="V362" s="144"/>
      <c r="W362" s="144"/>
      <c r="X362" s="144"/>
      <c r="Y362" s="144"/>
      <c r="Z362" s="63"/>
      <c r="AA362" s="63"/>
      <c r="AB362" s="63"/>
    </row>
    <row r="363" spans="1:29" x14ac:dyDescent="0.2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144"/>
      <c r="R363" s="144"/>
      <c r="S363" s="144"/>
      <c r="T363" s="144"/>
      <c r="U363" s="144"/>
      <c r="V363" s="144"/>
      <c r="W363" s="144"/>
      <c r="X363" s="144"/>
      <c r="Y363" s="144"/>
      <c r="Z363" s="63"/>
      <c r="AA363" s="63"/>
      <c r="AB363" s="63"/>
    </row>
    <row r="364" spans="1:29" x14ac:dyDescent="0.2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144"/>
      <c r="R364" s="144"/>
      <c r="S364" s="144"/>
      <c r="T364" s="144"/>
      <c r="U364" s="144"/>
      <c r="V364" s="144"/>
      <c r="W364" s="144"/>
      <c r="X364" s="144"/>
      <c r="Y364" s="144"/>
      <c r="Z364" s="63"/>
      <c r="AA364" s="63"/>
      <c r="AB364" s="63"/>
    </row>
    <row r="365" spans="1:29" x14ac:dyDescent="0.2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144"/>
      <c r="R365" s="144"/>
      <c r="S365" s="144"/>
      <c r="T365" s="144"/>
      <c r="U365" s="144"/>
      <c r="V365" s="144"/>
      <c r="W365" s="144"/>
      <c r="X365" s="144"/>
      <c r="Y365" s="144"/>
      <c r="Z365" s="63"/>
      <c r="AA365" s="63"/>
      <c r="AB365" s="63"/>
    </row>
    <row r="366" spans="1:29" x14ac:dyDescent="0.2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144"/>
      <c r="R366" s="144"/>
      <c r="S366" s="144"/>
      <c r="T366" s="144"/>
      <c r="U366" s="144"/>
      <c r="V366" s="144"/>
      <c r="W366" s="144"/>
      <c r="X366" s="144"/>
      <c r="Y366" s="144"/>
      <c r="Z366" s="63"/>
      <c r="AA366" s="63"/>
      <c r="AB366" s="63"/>
    </row>
    <row r="367" spans="1:29" x14ac:dyDescent="0.2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144"/>
      <c r="R367" s="144"/>
      <c r="S367" s="144"/>
      <c r="T367" s="144"/>
      <c r="U367" s="144"/>
      <c r="V367" s="144"/>
      <c r="W367" s="144"/>
      <c r="X367" s="144"/>
      <c r="Y367" s="144"/>
      <c r="Z367" s="63"/>
      <c r="AA367" s="63"/>
      <c r="AB367" s="63"/>
    </row>
    <row r="368" spans="1:29" x14ac:dyDescent="0.2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144"/>
      <c r="R368" s="144"/>
      <c r="S368" s="144"/>
      <c r="T368" s="144"/>
      <c r="U368" s="144"/>
      <c r="V368" s="144"/>
      <c r="W368" s="144"/>
      <c r="X368" s="144"/>
      <c r="Y368" s="144"/>
      <c r="Z368" s="63"/>
      <c r="AA368" s="63"/>
      <c r="AB368" s="63"/>
    </row>
    <row r="369" spans="1:28" x14ac:dyDescent="0.2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144"/>
      <c r="R369" s="144"/>
      <c r="S369" s="144"/>
      <c r="T369" s="144"/>
      <c r="U369" s="144"/>
      <c r="V369" s="144"/>
      <c r="W369" s="144"/>
      <c r="X369" s="144"/>
      <c r="Y369" s="144"/>
      <c r="Z369" s="63"/>
      <c r="AA369" s="63"/>
      <c r="AB369" s="63"/>
    </row>
    <row r="370" spans="1:28" x14ac:dyDescent="0.2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144"/>
      <c r="R370" s="144"/>
      <c r="S370" s="144"/>
      <c r="T370" s="144"/>
      <c r="U370" s="144"/>
      <c r="V370" s="144"/>
      <c r="W370" s="144"/>
      <c r="X370" s="144"/>
      <c r="Y370" s="144"/>
      <c r="Z370" s="63"/>
      <c r="AA370" s="63"/>
      <c r="AB370" s="63"/>
    </row>
    <row r="371" spans="1:28" x14ac:dyDescent="0.2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144"/>
      <c r="R371" s="144"/>
      <c r="S371" s="144"/>
      <c r="T371" s="144"/>
      <c r="U371" s="144"/>
      <c r="V371" s="144"/>
      <c r="W371" s="144"/>
      <c r="X371" s="144"/>
      <c r="Y371" s="144"/>
      <c r="Z371" s="63"/>
      <c r="AA371" s="63"/>
      <c r="AB371" s="63"/>
    </row>
    <row r="372" spans="1:28" x14ac:dyDescent="0.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144"/>
      <c r="R372" s="144"/>
      <c r="S372" s="144"/>
      <c r="T372" s="144"/>
      <c r="U372" s="144"/>
      <c r="V372" s="144"/>
      <c r="W372" s="144"/>
      <c r="X372" s="144"/>
      <c r="Y372" s="144"/>
      <c r="Z372" s="63"/>
      <c r="AA372" s="63"/>
      <c r="AB372" s="63"/>
    </row>
    <row r="373" spans="1:28" x14ac:dyDescent="0.2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144"/>
      <c r="R373" s="144"/>
      <c r="S373" s="144"/>
      <c r="T373" s="144"/>
      <c r="U373" s="144"/>
      <c r="V373" s="144"/>
      <c r="W373" s="144"/>
      <c r="X373" s="144"/>
      <c r="Y373" s="144"/>
      <c r="Z373" s="63"/>
      <c r="AA373" s="63"/>
      <c r="AB373" s="63"/>
    </row>
    <row r="374" spans="1:28" x14ac:dyDescent="0.2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144"/>
      <c r="R374" s="144"/>
      <c r="S374" s="144"/>
      <c r="T374" s="144"/>
      <c r="U374" s="144"/>
      <c r="V374" s="144"/>
      <c r="W374" s="144"/>
      <c r="X374" s="144"/>
      <c r="Y374" s="144"/>
      <c r="Z374" s="63"/>
      <c r="AA374" s="63"/>
      <c r="AB374" s="63"/>
    </row>
    <row r="375" spans="1:28" x14ac:dyDescent="0.2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144"/>
      <c r="R375" s="144"/>
      <c r="S375" s="144"/>
      <c r="T375" s="144"/>
      <c r="U375" s="144"/>
      <c r="V375" s="144"/>
      <c r="W375" s="144"/>
      <c r="X375" s="144"/>
      <c r="Y375" s="144"/>
      <c r="Z375" s="63"/>
      <c r="AA375" s="63"/>
      <c r="AB375" s="63"/>
    </row>
    <row r="376" spans="1:28" x14ac:dyDescent="0.2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144"/>
      <c r="R376" s="144"/>
      <c r="S376" s="144"/>
      <c r="T376" s="144"/>
      <c r="U376" s="144"/>
      <c r="V376" s="144"/>
      <c r="W376" s="144"/>
      <c r="X376" s="144"/>
      <c r="Y376" s="144"/>
      <c r="Z376" s="63"/>
      <c r="AA376" s="63"/>
      <c r="AB376" s="63"/>
    </row>
    <row r="377" spans="1:28" x14ac:dyDescent="0.2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144"/>
      <c r="R377" s="144"/>
      <c r="S377" s="144"/>
      <c r="T377" s="144"/>
      <c r="U377" s="144"/>
      <c r="V377" s="144"/>
      <c r="W377" s="144"/>
      <c r="X377" s="144"/>
      <c r="Y377" s="144"/>
      <c r="Z377" s="63"/>
      <c r="AA377" s="63"/>
      <c r="AB377" s="63"/>
    </row>
    <row r="378" spans="1:28" x14ac:dyDescent="0.2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144"/>
      <c r="R378" s="144"/>
      <c r="S378" s="144"/>
      <c r="T378" s="144"/>
      <c r="U378" s="144"/>
      <c r="V378" s="144"/>
      <c r="W378" s="144"/>
      <c r="X378" s="144"/>
      <c r="Y378" s="144"/>
      <c r="Z378" s="63"/>
      <c r="AA378" s="63"/>
      <c r="AB378" s="63"/>
    </row>
    <row r="379" spans="1:28" x14ac:dyDescent="0.2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144"/>
      <c r="R379" s="144"/>
      <c r="S379" s="144"/>
      <c r="T379" s="144"/>
      <c r="U379" s="144"/>
      <c r="V379" s="144"/>
      <c r="W379" s="144"/>
      <c r="X379" s="144"/>
      <c r="Y379" s="144"/>
      <c r="Z379" s="63"/>
      <c r="AA379" s="63"/>
      <c r="AB379" s="63"/>
    </row>
    <row r="380" spans="1:28" x14ac:dyDescent="0.2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144"/>
      <c r="R380" s="144"/>
      <c r="S380" s="144"/>
      <c r="T380" s="144"/>
      <c r="U380" s="144"/>
      <c r="V380" s="144"/>
      <c r="W380" s="144"/>
      <c r="X380" s="144"/>
      <c r="Y380" s="144"/>
      <c r="Z380" s="63"/>
      <c r="AA380" s="63"/>
      <c r="AB380" s="63"/>
    </row>
    <row r="381" spans="1:28" x14ac:dyDescent="0.2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144"/>
      <c r="R381" s="144"/>
      <c r="S381" s="144"/>
      <c r="T381" s="144"/>
      <c r="U381" s="144"/>
      <c r="V381" s="144"/>
      <c r="W381" s="144"/>
      <c r="X381" s="144"/>
      <c r="Y381" s="144"/>
      <c r="Z381" s="63"/>
      <c r="AA381" s="63"/>
      <c r="AB381" s="63"/>
    </row>
    <row r="382" spans="1:28" x14ac:dyDescent="0.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144"/>
      <c r="R382" s="144"/>
      <c r="S382" s="144"/>
      <c r="T382" s="144"/>
      <c r="U382" s="144"/>
      <c r="V382" s="144"/>
      <c r="W382" s="144"/>
      <c r="X382" s="144"/>
      <c r="Y382" s="144"/>
      <c r="Z382" s="63"/>
      <c r="AA382" s="63"/>
      <c r="AB382" s="63"/>
    </row>
    <row r="383" spans="1:28" x14ac:dyDescent="0.2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144"/>
      <c r="R383" s="144"/>
      <c r="S383" s="144"/>
      <c r="T383" s="144"/>
      <c r="U383" s="144"/>
      <c r="V383" s="144"/>
      <c r="W383" s="144"/>
      <c r="X383" s="144"/>
      <c r="Y383" s="144"/>
      <c r="Z383" s="63"/>
      <c r="AA383" s="63"/>
      <c r="AB383" s="63"/>
    </row>
    <row r="384" spans="1:28" x14ac:dyDescent="0.2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144"/>
      <c r="R384" s="144"/>
      <c r="S384" s="144"/>
      <c r="T384" s="144"/>
      <c r="U384" s="144"/>
      <c r="V384" s="144"/>
      <c r="W384" s="144"/>
      <c r="X384" s="144"/>
      <c r="Y384" s="144"/>
      <c r="Z384" s="63"/>
      <c r="AA384" s="63"/>
      <c r="AB384" s="63"/>
    </row>
    <row r="385" spans="1:28" x14ac:dyDescent="0.2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144"/>
      <c r="R385" s="144"/>
      <c r="S385" s="144"/>
      <c r="T385" s="144"/>
      <c r="U385" s="144"/>
      <c r="V385" s="144"/>
      <c r="W385" s="144"/>
      <c r="X385" s="144"/>
      <c r="Y385" s="144"/>
      <c r="Z385" s="63"/>
      <c r="AA385" s="63"/>
      <c r="AB385" s="63"/>
    </row>
    <row r="386" spans="1:28" x14ac:dyDescent="0.2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144"/>
      <c r="R386" s="144"/>
      <c r="S386" s="144"/>
      <c r="T386" s="144"/>
      <c r="U386" s="144"/>
      <c r="V386" s="144"/>
      <c r="W386" s="144"/>
      <c r="X386" s="144"/>
      <c r="Y386" s="144"/>
      <c r="Z386" s="63"/>
      <c r="AA386" s="63"/>
      <c r="AB386" s="63"/>
    </row>
    <row r="387" spans="1:28" x14ac:dyDescent="0.2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144"/>
      <c r="R387" s="144"/>
      <c r="S387" s="144"/>
      <c r="T387" s="144"/>
      <c r="U387" s="144"/>
      <c r="V387" s="144"/>
      <c r="W387" s="144"/>
      <c r="X387" s="144"/>
      <c r="Y387" s="144"/>
      <c r="Z387" s="63"/>
      <c r="AA387" s="63"/>
      <c r="AB387" s="63"/>
    </row>
    <row r="388" spans="1:28" x14ac:dyDescent="0.2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144"/>
      <c r="R388" s="144"/>
      <c r="S388" s="144"/>
      <c r="T388" s="144"/>
      <c r="U388" s="144"/>
      <c r="V388" s="144"/>
      <c r="W388" s="144"/>
      <c r="X388" s="144"/>
      <c r="Y388" s="144"/>
      <c r="Z388" s="63"/>
      <c r="AA388" s="63"/>
      <c r="AB388" s="63"/>
    </row>
  </sheetData>
  <mergeCells count="16">
    <mergeCell ref="W1:W2"/>
    <mergeCell ref="Y1:Y2"/>
    <mergeCell ref="Z1:Z2"/>
    <mergeCell ref="AB1:AB2"/>
    <mergeCell ref="K1:K2"/>
    <mergeCell ref="M1:M2"/>
    <mergeCell ref="O1:O2"/>
    <mergeCell ref="Q1:Q2"/>
    <mergeCell ref="S1:S2"/>
    <mergeCell ref="U1:U2"/>
    <mergeCell ref="A1:A2"/>
    <mergeCell ref="B1:B2"/>
    <mergeCell ref="C1:C2"/>
    <mergeCell ref="E1:E2"/>
    <mergeCell ref="G1:G2"/>
    <mergeCell ref="I1:I2"/>
  </mergeCells>
  <conditionalFormatting sqref="AC3:AC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AC5:AC8">
    <cfRule type="cellIs" dxfId="4" priority="1" operator="greaterThan">
      <formula>0.1</formula>
    </cfRule>
  </conditionalFormatting>
  <conditionalFormatting sqref="AC14:AC82">
    <cfRule type="cellIs" dxfId="3" priority="2" operator="greaterThan">
      <formula>0.1</formula>
    </cfRule>
  </conditionalFormatting>
  <conditionalFormatting sqref="AC100">
    <cfRule type="cellIs" dxfId="2" priority="5" operator="greaterThan">
      <formula>0.1</formula>
    </cfRule>
  </conditionalFormatting>
  <conditionalFormatting sqref="AC104:AC319">
    <cfRule type="cellIs" dxfId="1" priority="4" operator="lessThan">
      <formula>-0.1</formula>
    </cfRule>
  </conditionalFormatting>
  <conditionalFormatting sqref="AC322">
    <cfRule type="cellIs" dxfId="0" priority="3" operator="greaterThan">
      <formula>0.1</formula>
    </cfRule>
  </conditionalFormatting>
  <pageMargins left="0.2" right="0.2" top="0.75" bottom="0.75" header="0.3" footer="0.3"/>
  <pageSetup paperSize="3" fitToHeight="0" orientation="landscape" r:id="rId1"/>
  <headerFooter>
    <oddHeader>&amp;C&amp;14Overall Budget</oddHeader>
    <oddFooter>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 Summary - All Data</vt:lpstr>
      <vt:lpstr>Fin Summary - Operating</vt:lpstr>
      <vt:lpstr>Full Data</vt:lpstr>
      <vt:lpstr>Fund Balances</vt:lpstr>
      <vt:lpstr>Projections</vt:lpstr>
      <vt:lpstr>'Fin Summary - All Data'!Print_Area</vt:lpstr>
      <vt:lpstr>'Fin Summary - Operating'!Print_Area</vt:lpstr>
      <vt:lpstr>'Full Data'!Print_Titles</vt:lpstr>
      <vt:lpstr>Projections!Print_Titles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2024-11-08T18:05:08Z</cp:lastPrinted>
  <dcterms:created xsi:type="dcterms:W3CDTF">2024-06-19T14:45:16Z</dcterms:created>
  <dcterms:modified xsi:type="dcterms:W3CDTF">2024-11-08T18:05:21Z</dcterms:modified>
</cp:coreProperties>
</file>