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12"/>
  <workbookPr/>
  <mc:AlternateContent xmlns:mc="http://schemas.openxmlformats.org/markup-compatibility/2006">
    <mc:Choice Requires="x15">
      <x15ac:absPath xmlns:x15ac="http://schemas.microsoft.com/office/spreadsheetml/2010/11/ac" url="U:\Sheena\Sheena\FY25 Financials\9 December\"/>
    </mc:Choice>
  </mc:AlternateContent>
  <xr:revisionPtr revIDLastSave="0" documentId="13_ncr:1_{6B89B1C4-612A-4A5F-856E-FCD04259F3A8}" xr6:coauthVersionLast="47" xr6:coauthVersionMax="47" xr10:uidLastSave="{00000000-0000-0000-0000-000000000000}"/>
  <bookViews>
    <workbookView xWindow="-120" yWindow="-120" windowWidth="29040" windowHeight="15840" xr2:uid="{C68F0406-22B3-4D10-97B4-C68BE80D0FCD}"/>
  </bookViews>
  <sheets>
    <sheet name="Fin Summary - Operating" sheetId="4" r:id="rId1"/>
    <sheet name="Fin Summary - All Data" sheetId="2" r:id="rId2"/>
    <sheet name="Full Data" sheetId="1" r:id="rId3"/>
    <sheet name="Fund Balances" sheetId="5" r:id="rId4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1">'Fin Summary - All Data'!$A$1:$P$81</definedName>
    <definedName name="_xlnm.Print_Area" localSheetId="0">'Fin Summary - Operating'!$A$1:$P$81</definedName>
    <definedName name="_xlnm.Print_Titles" localSheetId="2">'Full Data'!$1:$2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4" l="1"/>
  <c r="N28" i="4"/>
  <c r="J28" i="4"/>
  <c r="I13" i="4"/>
  <c r="C13" i="4"/>
  <c r="B13" i="4"/>
  <c r="I39" i="2" l="1"/>
  <c r="AJ45" i="1"/>
  <c r="I29" i="2"/>
  <c r="J325" i="1"/>
  <c r="O2" i="5" l="1"/>
  <c r="E3" i="5"/>
  <c r="B4" i="5" s="1"/>
  <c r="E4" i="5" s="1"/>
  <c r="B5" i="5" s="1"/>
  <c r="E5" i="5" s="1"/>
  <c r="B6" i="5" s="1"/>
  <c r="E6" i="5" s="1"/>
  <c r="B7" i="5" s="1"/>
  <c r="E7" i="5" s="1"/>
  <c r="B8" i="5" s="1"/>
  <c r="E8" i="5" s="1"/>
  <c r="B9" i="5" s="1"/>
  <c r="E9" i="5" s="1"/>
  <c r="B10" i="5" s="1"/>
  <c r="E10" i="5" s="1"/>
  <c r="B11" i="5" s="1"/>
  <c r="E11" i="5" s="1"/>
  <c r="B12" i="5" s="1"/>
  <c r="E12" i="5" s="1"/>
  <c r="B13" i="5" s="1"/>
  <c r="E13" i="5" s="1"/>
  <c r="B14" i="5" s="1"/>
  <c r="E14" i="5" s="1"/>
  <c r="P2" i="5" s="1"/>
  <c r="Q2" i="5" s="1"/>
  <c r="J3" i="5"/>
  <c r="O3" i="5"/>
  <c r="I4" i="5"/>
  <c r="J4" i="5"/>
  <c r="I5" i="5"/>
  <c r="J5" i="5"/>
  <c r="I6" i="5"/>
  <c r="J6" i="5"/>
  <c r="J7" i="5"/>
  <c r="I8" i="5"/>
  <c r="J8" i="5"/>
  <c r="I9" i="5"/>
  <c r="I10" i="5"/>
  <c r="J10" i="5"/>
  <c r="I11" i="5"/>
  <c r="J11" i="5"/>
  <c r="I12" i="5"/>
  <c r="J12" i="5"/>
  <c r="I13" i="5"/>
  <c r="J13" i="5"/>
  <c r="I14" i="5"/>
  <c r="J14" i="5"/>
  <c r="E19" i="5"/>
  <c r="K19" i="5"/>
  <c r="H20" i="5" s="1"/>
  <c r="K20" i="5" s="1"/>
  <c r="H21" i="5" s="1"/>
  <c r="K21" i="5" s="1"/>
  <c r="H22" i="5" s="1"/>
  <c r="K22" i="5" s="1"/>
  <c r="H23" i="5" s="1"/>
  <c r="K23" i="5" s="1"/>
  <c r="H24" i="5" s="1"/>
  <c r="K24" i="5" s="1"/>
  <c r="H25" i="5" s="1"/>
  <c r="K25" i="5" s="1"/>
  <c r="H26" i="5" s="1"/>
  <c r="K26" i="5" s="1"/>
  <c r="H27" i="5" s="1"/>
  <c r="K27" i="5" s="1"/>
  <c r="H28" i="5" s="1"/>
  <c r="K28" i="5" s="1"/>
  <c r="H29" i="5" s="1"/>
  <c r="K29" i="5" s="1"/>
  <c r="H30" i="5" s="1"/>
  <c r="K30" i="5" s="1"/>
  <c r="R19" i="5"/>
  <c r="O20" i="5" s="1"/>
  <c r="R20" i="5" s="1"/>
  <c r="O21" i="5" s="1"/>
  <c r="R21" i="5" s="1"/>
  <c r="O22" i="5" s="1"/>
  <c r="R22" i="5" s="1"/>
  <c r="O23" i="5" s="1"/>
  <c r="R23" i="5" s="1"/>
  <c r="O24" i="5" s="1"/>
  <c r="R24" i="5" s="1"/>
  <c r="O25" i="5" s="1"/>
  <c r="R25" i="5" s="1"/>
  <c r="O26" i="5" s="1"/>
  <c r="R26" i="5" s="1"/>
  <c r="O27" i="5" s="1"/>
  <c r="R27" i="5" s="1"/>
  <c r="O28" i="5" s="1"/>
  <c r="R28" i="5" s="1"/>
  <c r="O29" i="5" s="1"/>
  <c r="R29" i="5" s="1"/>
  <c r="O30" i="5" s="1"/>
  <c r="R30" i="5" s="1"/>
  <c r="B20" i="5"/>
  <c r="E20" i="5"/>
  <c r="B21" i="5" s="1"/>
  <c r="E21" i="5" s="1"/>
  <c r="B22" i="5" s="1"/>
  <c r="E22" i="5" s="1"/>
  <c r="B23" i="5" s="1"/>
  <c r="E23" i="5" s="1"/>
  <c r="B24" i="5" s="1"/>
  <c r="E24" i="5" s="1"/>
  <c r="B25" i="5" s="1"/>
  <c r="E25" i="5" s="1"/>
  <c r="B26" i="5" s="1"/>
  <c r="E26" i="5" s="1"/>
  <c r="B27" i="5" s="1"/>
  <c r="E27" i="5" s="1"/>
  <c r="B28" i="5" s="1"/>
  <c r="E28" i="5" s="1"/>
  <c r="B29" i="5" s="1"/>
  <c r="E29" i="5" s="1"/>
  <c r="B30" i="5" s="1"/>
  <c r="E30" i="5" s="1"/>
  <c r="C25" i="5"/>
  <c r="J9" i="5" s="1"/>
  <c r="D35" i="5"/>
  <c r="I3" i="5" s="1"/>
  <c r="K3" i="5" s="1"/>
  <c r="H4" i="5" s="1"/>
  <c r="K4" i="5" s="1"/>
  <c r="H5" i="5" s="1"/>
  <c r="K5" i="5" s="1"/>
  <c r="H6" i="5" s="1"/>
  <c r="E35" i="5"/>
  <c r="B36" i="5" s="1"/>
  <c r="E36" i="5" s="1"/>
  <c r="B37" i="5" s="1"/>
  <c r="E37" i="5" s="1"/>
  <c r="B38" i="5" s="1"/>
  <c r="E38" i="5" s="1"/>
  <c r="B39" i="5" s="1"/>
  <c r="E39" i="5" s="1"/>
  <c r="B40" i="5" s="1"/>
  <c r="E40" i="5" s="1"/>
  <c r="B41" i="5" s="1"/>
  <c r="E41" i="5" s="1"/>
  <c r="B42" i="5" s="1"/>
  <c r="E42" i="5" s="1"/>
  <c r="B43" i="5" s="1"/>
  <c r="E43" i="5" s="1"/>
  <c r="B44" i="5" s="1"/>
  <c r="E44" i="5" s="1"/>
  <c r="B45" i="5" s="1"/>
  <c r="E45" i="5" s="1"/>
  <c r="B46" i="5" s="1"/>
  <c r="E46" i="5" s="1"/>
  <c r="K35" i="5"/>
  <c r="H36" i="5" s="1"/>
  <c r="K36" i="5" s="1"/>
  <c r="H37" i="5" s="1"/>
  <c r="K37" i="5" s="1"/>
  <c r="H38" i="5" s="1"/>
  <c r="K38" i="5" s="1"/>
  <c r="H39" i="5" s="1"/>
  <c r="K39" i="5" s="1"/>
  <c r="H40" i="5" s="1"/>
  <c r="K40" i="5" s="1"/>
  <c r="H41" i="5" s="1"/>
  <c r="K41" i="5" s="1"/>
  <c r="H42" i="5" s="1"/>
  <c r="K42" i="5" s="1"/>
  <c r="H43" i="5" s="1"/>
  <c r="K43" i="5" s="1"/>
  <c r="H44" i="5" s="1"/>
  <c r="K44" i="5" s="1"/>
  <c r="H45" i="5" s="1"/>
  <c r="K45" i="5" s="1"/>
  <c r="H46" i="5" s="1"/>
  <c r="K46" i="5" s="1"/>
  <c r="R35" i="5"/>
  <c r="O36" i="5" s="1"/>
  <c r="R36" i="5" s="1"/>
  <c r="O37" i="5" s="1"/>
  <c r="R37" i="5" s="1"/>
  <c r="O38" i="5" s="1"/>
  <c r="R38" i="5" s="1"/>
  <c r="O39" i="5" s="1"/>
  <c r="R39" i="5" s="1"/>
  <c r="O40" i="5" s="1"/>
  <c r="R40" i="5" s="1"/>
  <c r="O41" i="5" s="1"/>
  <c r="R41" i="5" s="1"/>
  <c r="O42" i="5" s="1"/>
  <c r="R42" i="5" s="1"/>
  <c r="O43" i="5" s="1"/>
  <c r="R43" i="5" s="1"/>
  <c r="O44" i="5" s="1"/>
  <c r="R44" i="5" s="1"/>
  <c r="O45" i="5" s="1"/>
  <c r="R45" i="5" s="1"/>
  <c r="O46" i="5" s="1"/>
  <c r="R46" i="5" s="1"/>
  <c r="D39" i="5"/>
  <c r="I7" i="5" s="1"/>
  <c r="C41" i="5"/>
  <c r="J41" i="5"/>
  <c r="D6" i="4"/>
  <c r="E6" i="4"/>
  <c r="K6" i="4"/>
  <c r="L6" i="4"/>
  <c r="O6" i="4"/>
  <c r="P6" i="4"/>
  <c r="D7" i="4"/>
  <c r="E7" i="4"/>
  <c r="K7" i="4"/>
  <c r="L7" i="4"/>
  <c r="O7" i="4"/>
  <c r="P7" i="4"/>
  <c r="D8" i="4"/>
  <c r="E8" i="4"/>
  <c r="K8" i="4"/>
  <c r="L8" i="4"/>
  <c r="O8" i="4"/>
  <c r="P8" i="4"/>
  <c r="D9" i="4"/>
  <c r="E9" i="4"/>
  <c r="K9" i="4"/>
  <c r="L9" i="4"/>
  <c r="O9" i="4"/>
  <c r="P9" i="4"/>
  <c r="D10" i="4"/>
  <c r="K10" i="4"/>
  <c r="L10" i="4"/>
  <c r="O10" i="4"/>
  <c r="P10" i="4"/>
  <c r="D11" i="4"/>
  <c r="E11" i="4"/>
  <c r="K11" i="4"/>
  <c r="L11" i="4"/>
  <c r="O11" i="4"/>
  <c r="P11" i="4"/>
  <c r="D12" i="4"/>
  <c r="E12" i="4"/>
  <c r="K12" i="4"/>
  <c r="L12" i="4"/>
  <c r="O12" i="4"/>
  <c r="P12" i="4"/>
  <c r="B14" i="4"/>
  <c r="E13" i="4"/>
  <c r="L13" i="4"/>
  <c r="J13" i="4"/>
  <c r="J14" i="4" s="1"/>
  <c r="C14" i="4"/>
  <c r="I14" i="4"/>
  <c r="N14" i="4"/>
  <c r="B20" i="4"/>
  <c r="I20" i="4"/>
  <c r="J20" i="4"/>
  <c r="D22" i="4"/>
  <c r="E22" i="4"/>
  <c r="K22" i="4"/>
  <c r="K24" i="4" s="1"/>
  <c r="L22" i="4"/>
  <c r="O22" i="4"/>
  <c r="O24" i="4" s="1"/>
  <c r="P22" i="4"/>
  <c r="D23" i="4"/>
  <c r="E23" i="4"/>
  <c r="K23" i="4"/>
  <c r="L23" i="4"/>
  <c r="O23" i="4"/>
  <c r="P23" i="4"/>
  <c r="B24" i="4"/>
  <c r="D24" i="4" s="1"/>
  <c r="C24" i="4"/>
  <c r="I24" i="4"/>
  <c r="L24" i="4" s="1"/>
  <c r="J24" i="4"/>
  <c r="N24" i="4"/>
  <c r="D26" i="4"/>
  <c r="E26" i="4"/>
  <c r="K26" i="4"/>
  <c r="L26" i="4"/>
  <c r="O26" i="4"/>
  <c r="P26" i="4"/>
  <c r="D27" i="4"/>
  <c r="E27" i="4"/>
  <c r="K27" i="4"/>
  <c r="L27" i="4"/>
  <c r="O27" i="4"/>
  <c r="P27" i="4"/>
  <c r="B28" i="4"/>
  <c r="B29" i="4" s="1"/>
  <c r="C28" i="4"/>
  <c r="E28" i="4"/>
  <c r="I28" i="4"/>
  <c r="L28" i="4" s="1"/>
  <c r="J29" i="4"/>
  <c r="C29" i="4"/>
  <c r="I29" i="4"/>
  <c r="N29" i="4"/>
  <c r="D31" i="4"/>
  <c r="E31" i="4"/>
  <c r="K31" i="4"/>
  <c r="L31" i="4"/>
  <c r="O31" i="4"/>
  <c r="P31" i="4"/>
  <c r="D32" i="4"/>
  <c r="E32" i="4"/>
  <c r="K32" i="4"/>
  <c r="L32" i="4"/>
  <c r="O32" i="4"/>
  <c r="P32" i="4"/>
  <c r="D33" i="4"/>
  <c r="E33" i="4"/>
  <c r="K33" i="4"/>
  <c r="L33" i="4"/>
  <c r="O33" i="4"/>
  <c r="P33" i="4"/>
  <c r="B34" i="4"/>
  <c r="E34" i="4" s="1"/>
  <c r="C34" i="4"/>
  <c r="C35" i="4" s="1"/>
  <c r="D35" i="4" s="1"/>
  <c r="I34" i="4"/>
  <c r="J34" i="4"/>
  <c r="J35" i="4" s="1"/>
  <c r="L35" i="4" s="1"/>
  <c r="L34" i="4"/>
  <c r="N34" i="4"/>
  <c r="N35" i="4" s="1"/>
  <c r="P35" i="4" s="1"/>
  <c r="B35" i="4"/>
  <c r="E35" i="4" s="1"/>
  <c r="I35" i="4"/>
  <c r="D37" i="4"/>
  <c r="E37" i="4"/>
  <c r="K37" i="4"/>
  <c r="L37" i="4"/>
  <c r="O37" i="4"/>
  <c r="P37" i="4"/>
  <c r="D38" i="4"/>
  <c r="K38" i="4"/>
  <c r="L38" i="4"/>
  <c r="O38" i="4"/>
  <c r="P38" i="4"/>
  <c r="B39" i="4"/>
  <c r="C39" i="4"/>
  <c r="D39" i="4"/>
  <c r="E39" i="4"/>
  <c r="I39" i="4"/>
  <c r="K39" i="4" s="1"/>
  <c r="K40" i="4" s="1"/>
  <c r="J39" i="4"/>
  <c r="N39" i="4"/>
  <c r="N40" i="4" s="1"/>
  <c r="B40" i="4"/>
  <c r="D40" i="4" s="1"/>
  <c r="C40" i="4"/>
  <c r="E40" i="4"/>
  <c r="J40" i="4"/>
  <c r="D42" i="4"/>
  <c r="E42" i="4"/>
  <c r="K42" i="4"/>
  <c r="L42" i="4"/>
  <c r="O42" i="4"/>
  <c r="O45" i="4" s="1"/>
  <c r="P42" i="4"/>
  <c r="D43" i="4"/>
  <c r="E43" i="4"/>
  <c r="K43" i="4"/>
  <c r="L43" i="4"/>
  <c r="O43" i="4"/>
  <c r="P43" i="4"/>
  <c r="B44" i="4"/>
  <c r="B45" i="4" s="1"/>
  <c r="C44" i="4"/>
  <c r="C45" i="4" s="1"/>
  <c r="I44" i="4"/>
  <c r="O44" i="4" s="1"/>
  <c r="J44" i="4"/>
  <c r="K44" i="4"/>
  <c r="K45" i="4" s="1"/>
  <c r="N44" i="4"/>
  <c r="J45" i="4"/>
  <c r="J56" i="4" s="1"/>
  <c r="N45" i="4"/>
  <c r="D47" i="4"/>
  <c r="E47" i="4"/>
  <c r="K47" i="4"/>
  <c r="L47" i="4"/>
  <c r="O47" i="4"/>
  <c r="P47" i="4"/>
  <c r="D49" i="4"/>
  <c r="E49" i="4"/>
  <c r="K49" i="4"/>
  <c r="L49" i="4"/>
  <c r="O49" i="4"/>
  <c r="P49" i="4"/>
  <c r="D51" i="4"/>
  <c r="E51" i="4"/>
  <c r="K51" i="4"/>
  <c r="L51" i="4"/>
  <c r="O51" i="4"/>
  <c r="P51" i="4"/>
  <c r="D52" i="4"/>
  <c r="E52" i="4"/>
  <c r="K52" i="4"/>
  <c r="L52" i="4"/>
  <c r="O52" i="4"/>
  <c r="P52" i="4"/>
  <c r="B53" i="4"/>
  <c r="B54" i="4" s="1"/>
  <c r="C53" i="4"/>
  <c r="D53" i="4"/>
  <c r="E53" i="4"/>
  <c r="I53" i="4"/>
  <c r="J53" i="4"/>
  <c r="K53" i="4"/>
  <c r="K54" i="4" s="1"/>
  <c r="L53" i="4"/>
  <c r="N53" i="4"/>
  <c r="P53" i="4" s="1"/>
  <c r="C54" i="4"/>
  <c r="I54" i="4"/>
  <c r="J54" i="4"/>
  <c r="L54" i="4"/>
  <c r="I61" i="4"/>
  <c r="J61" i="4"/>
  <c r="J64" i="4" s="1"/>
  <c r="I62" i="4"/>
  <c r="J62" i="4"/>
  <c r="I63" i="4"/>
  <c r="J63" i="4"/>
  <c r="I64" i="4"/>
  <c r="I67" i="4"/>
  <c r="J67" i="4"/>
  <c r="I68" i="4"/>
  <c r="J68" i="4"/>
  <c r="B75" i="4"/>
  <c r="C75" i="4"/>
  <c r="I75" i="4"/>
  <c r="I81" i="4" s="1"/>
  <c r="I16" i="4" s="1"/>
  <c r="K16" i="4" s="1"/>
  <c r="J75" i="4"/>
  <c r="N75" i="4"/>
  <c r="N81" i="4" s="1"/>
  <c r="N16" i="4" s="1"/>
  <c r="B76" i="4"/>
  <c r="C76" i="4"/>
  <c r="I76" i="4"/>
  <c r="J76" i="4"/>
  <c r="N76" i="4"/>
  <c r="I77" i="4"/>
  <c r="J77" i="4"/>
  <c r="N77" i="4"/>
  <c r="B78" i="4"/>
  <c r="C78" i="4"/>
  <c r="C81" i="4" s="1"/>
  <c r="C16" i="4" s="1"/>
  <c r="I78" i="4"/>
  <c r="J78" i="4"/>
  <c r="J81" i="4" s="1"/>
  <c r="J16" i="4" s="1"/>
  <c r="N78" i="4"/>
  <c r="B79" i="4"/>
  <c r="C79" i="4"/>
  <c r="I79" i="4"/>
  <c r="J79" i="4"/>
  <c r="N79" i="4"/>
  <c r="B81" i="4"/>
  <c r="B16" i="4" s="1"/>
  <c r="J81" i="2"/>
  <c r="J16" i="2" s="1"/>
  <c r="N79" i="2"/>
  <c r="J79" i="2"/>
  <c r="I79" i="2"/>
  <c r="I81" i="2" s="1"/>
  <c r="I16" i="2" s="1"/>
  <c r="C79" i="2"/>
  <c r="B79" i="2"/>
  <c r="N78" i="2"/>
  <c r="J78" i="2"/>
  <c r="I78" i="2"/>
  <c r="C78" i="2"/>
  <c r="B78" i="2"/>
  <c r="N77" i="2"/>
  <c r="J77" i="2"/>
  <c r="I77" i="2"/>
  <c r="N76" i="2"/>
  <c r="N81" i="2" s="1"/>
  <c r="N16" i="2" s="1"/>
  <c r="N18" i="2" s="1"/>
  <c r="J76" i="2"/>
  <c r="I76" i="2"/>
  <c r="C76" i="2"/>
  <c r="B76" i="2"/>
  <c r="B81" i="2" s="1"/>
  <c r="B16" i="2" s="1"/>
  <c r="N75" i="2"/>
  <c r="J75" i="2"/>
  <c r="I75" i="2"/>
  <c r="C75" i="2"/>
  <c r="C81" i="2" s="1"/>
  <c r="C16" i="2" s="1"/>
  <c r="D16" i="2" s="1"/>
  <c r="B75" i="2"/>
  <c r="J67" i="2"/>
  <c r="J68" i="2" s="1"/>
  <c r="I67" i="2"/>
  <c r="I68" i="2" s="1"/>
  <c r="J64" i="2"/>
  <c r="J71" i="2" s="1"/>
  <c r="J63" i="2"/>
  <c r="I63" i="2"/>
  <c r="J62" i="2"/>
  <c r="I62" i="2"/>
  <c r="J61" i="2"/>
  <c r="I61" i="2"/>
  <c r="I64" i="2" s="1"/>
  <c r="N54" i="2"/>
  <c r="N56" i="2" s="1"/>
  <c r="J54" i="2"/>
  <c r="I54" i="2"/>
  <c r="P54" i="2" s="1"/>
  <c r="B54" i="2"/>
  <c r="P53" i="2"/>
  <c r="O53" i="2"/>
  <c r="O54" i="2" s="1"/>
  <c r="N53" i="2"/>
  <c r="J53" i="2"/>
  <c r="I53" i="2"/>
  <c r="L53" i="2" s="1"/>
  <c r="C53" i="2"/>
  <c r="E53" i="2" s="1"/>
  <c r="B53" i="2"/>
  <c r="P52" i="2"/>
  <c r="O52" i="2"/>
  <c r="L52" i="2"/>
  <c r="K52" i="2"/>
  <c r="E52" i="2"/>
  <c r="D52" i="2"/>
  <c r="P51" i="2"/>
  <c r="O51" i="2"/>
  <c r="L51" i="2"/>
  <c r="K51" i="2"/>
  <c r="E51" i="2"/>
  <c r="D51" i="2"/>
  <c r="P49" i="2"/>
  <c r="O49" i="2"/>
  <c r="L49" i="2"/>
  <c r="K49" i="2"/>
  <c r="E49" i="2"/>
  <c r="D49" i="2"/>
  <c r="P47" i="2"/>
  <c r="O47" i="2"/>
  <c r="L47" i="2"/>
  <c r="K47" i="2"/>
  <c r="E47" i="2"/>
  <c r="D47" i="2"/>
  <c r="N45" i="2"/>
  <c r="P45" i="2" s="1"/>
  <c r="I45" i="2"/>
  <c r="L45" i="2" s="1"/>
  <c r="C45" i="2"/>
  <c r="B45" i="2"/>
  <c r="D45" i="2" s="1"/>
  <c r="N44" i="2"/>
  <c r="O44" i="2" s="1"/>
  <c r="O45" i="2" s="1"/>
  <c r="L44" i="2"/>
  <c r="J44" i="2"/>
  <c r="J45" i="2" s="1"/>
  <c r="I44" i="2"/>
  <c r="K44" i="2" s="1"/>
  <c r="C44" i="2"/>
  <c r="B44" i="2"/>
  <c r="E44" i="2" s="1"/>
  <c r="P43" i="2"/>
  <c r="O43" i="2"/>
  <c r="L43" i="2"/>
  <c r="K43" i="2"/>
  <c r="E43" i="2"/>
  <c r="D43" i="2"/>
  <c r="P42" i="2"/>
  <c r="O42" i="2"/>
  <c r="L42" i="2"/>
  <c r="K42" i="2"/>
  <c r="K45" i="2" s="1"/>
  <c r="E42" i="2"/>
  <c r="D42" i="2"/>
  <c r="N40" i="2"/>
  <c r="I40" i="2"/>
  <c r="P40" i="2" s="1"/>
  <c r="C40" i="2"/>
  <c r="B40" i="2"/>
  <c r="E40" i="2" s="1"/>
  <c r="P39" i="2"/>
  <c r="O39" i="2"/>
  <c r="O40" i="2" s="1"/>
  <c r="N39" i="2"/>
  <c r="J39" i="2"/>
  <c r="J40" i="2" s="1"/>
  <c r="C39" i="2"/>
  <c r="B39" i="2"/>
  <c r="E39" i="2" s="1"/>
  <c r="P38" i="2"/>
  <c r="O38" i="2"/>
  <c r="L38" i="2"/>
  <c r="K38" i="2"/>
  <c r="D38" i="2"/>
  <c r="P37" i="2"/>
  <c r="O37" i="2"/>
  <c r="L37" i="2"/>
  <c r="K37" i="2"/>
  <c r="E37" i="2"/>
  <c r="D37" i="2"/>
  <c r="N35" i="2"/>
  <c r="L35" i="2"/>
  <c r="J35" i="2"/>
  <c r="I35" i="2"/>
  <c r="P35" i="2" s="1"/>
  <c r="C35" i="2"/>
  <c r="N34" i="2"/>
  <c r="O34" i="2" s="1"/>
  <c r="O35" i="2" s="1"/>
  <c r="L34" i="2"/>
  <c r="K34" i="2"/>
  <c r="J34" i="2"/>
  <c r="I34" i="2"/>
  <c r="P34" i="2" s="1"/>
  <c r="E34" i="2"/>
  <c r="D34" i="2"/>
  <c r="C34" i="2"/>
  <c r="B34" i="2"/>
  <c r="B35" i="2" s="1"/>
  <c r="P33" i="2"/>
  <c r="O33" i="2"/>
  <c r="L33" i="2"/>
  <c r="K33" i="2"/>
  <c r="E33" i="2"/>
  <c r="D33" i="2"/>
  <c r="P32" i="2"/>
  <c r="O32" i="2"/>
  <c r="L32" i="2"/>
  <c r="K32" i="2"/>
  <c r="E32" i="2"/>
  <c r="D32" i="2"/>
  <c r="P31" i="2"/>
  <c r="O31" i="2"/>
  <c r="L31" i="2"/>
  <c r="K31" i="2"/>
  <c r="K35" i="2" s="1"/>
  <c r="E31" i="2"/>
  <c r="D31" i="2"/>
  <c r="N29" i="2"/>
  <c r="P29" i="2" s="1"/>
  <c r="C29" i="2"/>
  <c r="B29" i="2"/>
  <c r="E29" i="2" s="1"/>
  <c r="P28" i="2"/>
  <c r="O28" i="2"/>
  <c r="N28" i="2"/>
  <c r="J28" i="2"/>
  <c r="J29" i="2" s="1"/>
  <c r="L29" i="2" s="1"/>
  <c r="I28" i="2"/>
  <c r="C28" i="2"/>
  <c r="B28" i="2"/>
  <c r="E28" i="2" s="1"/>
  <c r="P27" i="2"/>
  <c r="O27" i="2"/>
  <c r="O29" i="2" s="1"/>
  <c r="L27" i="2"/>
  <c r="K27" i="2"/>
  <c r="E27" i="2"/>
  <c r="D27" i="2"/>
  <c r="P26" i="2"/>
  <c r="O26" i="2"/>
  <c r="L26" i="2"/>
  <c r="K26" i="2"/>
  <c r="E26" i="2"/>
  <c r="D26" i="2"/>
  <c r="O24" i="2"/>
  <c r="N24" i="2"/>
  <c r="P24" i="2" s="1"/>
  <c r="J24" i="2"/>
  <c r="I24" i="2"/>
  <c r="L24" i="2" s="1"/>
  <c r="D24" i="2"/>
  <c r="C24" i="2"/>
  <c r="B24" i="2"/>
  <c r="E24" i="2" s="1"/>
  <c r="P23" i="2"/>
  <c r="O23" i="2"/>
  <c r="L23" i="2"/>
  <c r="K23" i="2"/>
  <c r="E23" i="2"/>
  <c r="D23" i="2"/>
  <c r="P22" i="2"/>
  <c r="O22" i="2"/>
  <c r="L22" i="2"/>
  <c r="K22" i="2"/>
  <c r="K24" i="2" s="1"/>
  <c r="E22" i="2"/>
  <c r="D22" i="2"/>
  <c r="J20" i="2"/>
  <c r="I20" i="2"/>
  <c r="B20" i="2"/>
  <c r="P14" i="2"/>
  <c r="N14" i="2"/>
  <c r="I14" i="2"/>
  <c r="I18" i="2" s="1"/>
  <c r="P13" i="2"/>
  <c r="O13" i="2"/>
  <c r="N13" i="2"/>
  <c r="J13" i="2"/>
  <c r="K13" i="2" s="1"/>
  <c r="I13" i="2"/>
  <c r="C13" i="2"/>
  <c r="B13" i="2"/>
  <c r="E13" i="2" s="1"/>
  <c r="P12" i="2"/>
  <c r="O12" i="2"/>
  <c r="L12" i="2"/>
  <c r="K12" i="2"/>
  <c r="E12" i="2"/>
  <c r="D12" i="2"/>
  <c r="P11" i="2"/>
  <c r="O11" i="2"/>
  <c r="L11" i="2"/>
  <c r="K11" i="2"/>
  <c r="E11" i="2"/>
  <c r="D11" i="2"/>
  <c r="P10" i="2"/>
  <c r="O10" i="2"/>
  <c r="L10" i="2"/>
  <c r="K10" i="2"/>
  <c r="D10" i="2"/>
  <c r="P9" i="2"/>
  <c r="O9" i="2"/>
  <c r="K9" i="2"/>
  <c r="J9" i="2"/>
  <c r="J14" i="2" s="1"/>
  <c r="I9" i="2"/>
  <c r="L9" i="2" s="1"/>
  <c r="C9" i="2"/>
  <c r="C14" i="2" s="1"/>
  <c r="B9" i="2"/>
  <c r="D9" i="2" s="1"/>
  <c r="P8" i="2"/>
  <c r="O8" i="2"/>
  <c r="L8" i="2"/>
  <c r="K8" i="2"/>
  <c r="E8" i="2"/>
  <c r="D8" i="2"/>
  <c r="P7" i="2"/>
  <c r="O7" i="2"/>
  <c r="L7" i="2"/>
  <c r="K7" i="2"/>
  <c r="E7" i="2"/>
  <c r="D7" i="2"/>
  <c r="P6" i="2"/>
  <c r="O6" i="2"/>
  <c r="O14" i="2" s="1"/>
  <c r="L6" i="2"/>
  <c r="K6" i="2"/>
  <c r="K14" i="2" s="1"/>
  <c r="E6" i="2"/>
  <c r="D6" i="2"/>
  <c r="P29" i="4" l="1"/>
  <c r="E24" i="4"/>
  <c r="C18" i="4"/>
  <c r="I56" i="2"/>
  <c r="I58" i="2" s="1"/>
  <c r="L40" i="2"/>
  <c r="K6" i="5"/>
  <c r="H7" i="5" s="1"/>
  <c r="K7" i="5" s="1"/>
  <c r="H8" i="5" s="1"/>
  <c r="K8" i="5" s="1"/>
  <c r="H9" i="5" s="1"/>
  <c r="K9" i="5" s="1"/>
  <c r="H10" i="5" s="1"/>
  <c r="K10" i="5" s="1"/>
  <c r="H11" i="5" s="1"/>
  <c r="K11" i="5" s="1"/>
  <c r="H12" i="5" s="1"/>
  <c r="K12" i="5" s="1"/>
  <c r="H13" i="5" s="1"/>
  <c r="K13" i="5" s="1"/>
  <c r="H14" i="5" s="1"/>
  <c r="K14" i="5" s="1"/>
  <c r="P3" i="5" s="1"/>
  <c r="Q3" i="5" s="1"/>
  <c r="D45" i="4"/>
  <c r="E45" i="4"/>
  <c r="J18" i="4"/>
  <c r="J58" i="4" s="1"/>
  <c r="J71" i="4" s="1"/>
  <c r="B56" i="4"/>
  <c r="D54" i="4"/>
  <c r="E54" i="4"/>
  <c r="E14" i="4"/>
  <c r="B18" i="4"/>
  <c r="D16" i="4"/>
  <c r="C56" i="4"/>
  <c r="N18" i="4"/>
  <c r="D29" i="4"/>
  <c r="E29" i="4"/>
  <c r="I18" i="4"/>
  <c r="P54" i="4"/>
  <c r="O53" i="4"/>
  <c r="O54" i="4" s="1"/>
  <c r="L44" i="4"/>
  <c r="D34" i="4"/>
  <c r="L29" i="4"/>
  <c r="K28" i="4"/>
  <c r="K29" i="4" s="1"/>
  <c r="L14" i="4"/>
  <c r="K13" i="4"/>
  <c r="K14" i="4" s="1"/>
  <c r="N54" i="4"/>
  <c r="N56" i="4" s="1"/>
  <c r="N58" i="4" s="1"/>
  <c r="I40" i="4"/>
  <c r="I45" i="4"/>
  <c r="I56" i="4" s="1"/>
  <c r="E44" i="4"/>
  <c r="P34" i="4"/>
  <c r="D28" i="4"/>
  <c r="D13" i="4"/>
  <c r="D14" i="4" s="1"/>
  <c r="D44" i="4"/>
  <c r="O34" i="4"/>
  <c r="O35" i="4" s="1"/>
  <c r="P39" i="4"/>
  <c r="P24" i="4"/>
  <c r="O39" i="4"/>
  <c r="O40" i="4" s="1"/>
  <c r="K34" i="4"/>
  <c r="K35" i="4" s="1"/>
  <c r="P28" i="4"/>
  <c r="P13" i="4"/>
  <c r="P44" i="4"/>
  <c r="O28" i="4"/>
  <c r="O29" i="4" s="1"/>
  <c r="P14" i="4"/>
  <c r="O13" i="4"/>
  <c r="O14" i="4" s="1"/>
  <c r="L39" i="4"/>
  <c r="N58" i="2"/>
  <c r="K29" i="2"/>
  <c r="I71" i="2"/>
  <c r="E35" i="2"/>
  <c r="D35" i="2"/>
  <c r="C18" i="2"/>
  <c r="L14" i="2"/>
  <c r="J18" i="2"/>
  <c r="J56" i="2"/>
  <c r="K16" i="2"/>
  <c r="D53" i="2"/>
  <c r="B14" i="2"/>
  <c r="K28" i="2"/>
  <c r="K39" i="2"/>
  <c r="K40" i="2" s="1"/>
  <c r="B56" i="2"/>
  <c r="L13" i="2"/>
  <c r="L28" i="2"/>
  <c r="L39" i="2"/>
  <c r="P44" i="2"/>
  <c r="C54" i="2"/>
  <c r="D44" i="2"/>
  <c r="E45" i="2"/>
  <c r="D29" i="2"/>
  <c r="D40" i="2"/>
  <c r="D13" i="2"/>
  <c r="D14" i="2" s="1"/>
  <c r="D28" i="2"/>
  <c r="D39" i="2"/>
  <c r="K53" i="2"/>
  <c r="K54" i="2" s="1"/>
  <c r="L54" i="2"/>
  <c r="E9" i="2"/>
  <c r="B58" i="4" l="1"/>
  <c r="C58" i="4"/>
  <c r="K56" i="2"/>
  <c r="P56" i="2"/>
  <c r="O56" i="2"/>
  <c r="P56" i="4"/>
  <c r="K56" i="4"/>
  <c r="L56" i="4"/>
  <c r="O56" i="4"/>
  <c r="D56" i="4"/>
  <c r="E56" i="4"/>
  <c r="I58" i="4"/>
  <c r="I71" i="4" s="1"/>
  <c r="L40" i="4"/>
  <c r="P40" i="4"/>
  <c r="P45" i="4"/>
  <c r="L45" i="4"/>
  <c r="J58" i="2"/>
  <c r="E54" i="2"/>
  <c r="D54" i="2"/>
  <c r="C56" i="2"/>
  <c r="C58" i="2" s="1"/>
  <c r="L56" i="2"/>
  <c r="B58" i="2"/>
  <c r="E14" i="2"/>
  <c r="B18" i="2"/>
  <c r="E56" i="2"/>
  <c r="D56" i="2"/>
  <c r="K58" i="2" l="1"/>
  <c r="L58" i="2"/>
  <c r="E58" i="2"/>
  <c r="D58" i="2"/>
  <c r="AJ315" i="1" l="1"/>
  <c r="AJ265" i="1"/>
  <c r="AJ264" i="1"/>
  <c r="AI252" i="1"/>
  <c r="AJ252" i="1" s="1"/>
  <c r="AJ285" i="1"/>
  <c r="AJ263" i="1"/>
  <c r="AJ253" i="1"/>
  <c r="AJ153" i="1"/>
  <c r="AJ146" i="1"/>
  <c r="AJ117" i="1"/>
  <c r="AJ94" i="1"/>
  <c r="AJ92" i="1"/>
  <c r="AJ91" i="1"/>
  <c r="AJ73" i="1"/>
  <c r="AJ72" i="1"/>
  <c r="AJ71" i="1"/>
  <c r="AJ63" i="1"/>
  <c r="AJ57" i="1"/>
  <c r="AJ56" i="1"/>
  <c r="AJ55" i="1"/>
  <c r="AJ54" i="1"/>
  <c r="AJ53" i="1"/>
  <c r="AJ51" i="1"/>
  <c r="AJ50" i="1"/>
  <c r="AJ49" i="1"/>
  <c r="AJ48" i="1"/>
  <c r="AJ29" i="1"/>
  <c r="AJ27" i="1"/>
  <c r="AJ26" i="1"/>
  <c r="AJ15" i="1"/>
  <c r="AJ13" i="1"/>
  <c r="AJ7" i="1"/>
  <c r="AJ6" i="1"/>
  <c r="AJ5" i="1"/>
  <c r="AI317" i="1"/>
  <c r="AI316" i="1"/>
  <c r="AI314" i="1"/>
  <c r="AI313" i="1"/>
  <c r="AI312" i="1"/>
  <c r="AI311" i="1"/>
  <c r="AI310" i="1"/>
  <c r="AI309" i="1"/>
  <c r="AI308" i="1"/>
  <c r="AI307" i="1"/>
  <c r="AI306" i="1"/>
  <c r="AI305" i="1"/>
  <c r="AI304" i="1"/>
  <c r="AI303" i="1"/>
  <c r="AI302" i="1"/>
  <c r="AI301" i="1"/>
  <c r="AI300" i="1"/>
  <c r="AI299" i="1"/>
  <c r="AI298" i="1"/>
  <c r="AI297" i="1"/>
  <c r="AI296" i="1"/>
  <c r="AI295" i="1"/>
  <c r="AI294" i="1"/>
  <c r="AI293" i="1"/>
  <c r="AI284" i="1"/>
  <c r="AI283" i="1"/>
  <c r="AI282" i="1"/>
  <c r="AI281" i="1"/>
  <c r="AI280" i="1"/>
  <c r="AI279" i="1"/>
  <c r="AI278" i="1"/>
  <c r="AI277" i="1"/>
  <c r="AI276" i="1"/>
  <c r="AI275" i="1"/>
  <c r="AI274" i="1"/>
  <c r="AI273" i="1"/>
  <c r="AI272" i="1"/>
  <c r="AI271" i="1"/>
  <c r="AI270" i="1"/>
  <c r="AI269" i="1"/>
  <c r="AI262" i="1"/>
  <c r="AI261" i="1"/>
  <c r="AI260" i="1"/>
  <c r="AI259" i="1"/>
  <c r="AI258" i="1"/>
  <c r="AI251" i="1"/>
  <c r="AI250" i="1"/>
  <c r="AI249" i="1"/>
  <c r="AI248" i="1"/>
  <c r="AI247" i="1"/>
  <c r="AI246" i="1"/>
  <c r="AI245" i="1"/>
  <c r="AI244" i="1"/>
  <c r="AI243" i="1"/>
  <c r="AI242" i="1"/>
  <c r="AI241" i="1"/>
  <c r="AI240" i="1"/>
  <c r="AI238" i="1"/>
  <c r="AI237" i="1"/>
  <c r="AI236" i="1"/>
  <c r="AI235" i="1"/>
  <c r="AI234" i="1"/>
  <c r="AI233" i="1"/>
  <c r="AI232" i="1"/>
  <c r="AI231" i="1"/>
  <c r="AI230" i="1"/>
  <c r="AI229" i="1"/>
  <c r="AI228" i="1"/>
  <c r="AI227" i="1"/>
  <c r="AI226" i="1"/>
  <c r="AI225" i="1"/>
  <c r="AI224" i="1"/>
  <c r="AI223" i="1"/>
  <c r="AI222" i="1"/>
  <c r="AI221" i="1"/>
  <c r="AI220" i="1"/>
  <c r="AI219" i="1"/>
  <c r="AI218" i="1"/>
  <c r="AI217" i="1"/>
  <c r="AI216" i="1"/>
  <c r="AI215" i="1"/>
  <c r="AI214" i="1"/>
  <c r="AI213" i="1"/>
  <c r="AI206" i="1"/>
  <c r="AI205" i="1"/>
  <c r="AI204" i="1"/>
  <c r="AI203" i="1"/>
  <c r="AI202" i="1"/>
  <c r="AI201" i="1"/>
  <c r="AI200" i="1"/>
  <c r="AI196" i="1"/>
  <c r="AI195" i="1"/>
  <c r="AI194" i="1"/>
  <c r="AI193" i="1"/>
  <c r="AI192" i="1"/>
  <c r="AI191" i="1"/>
  <c r="AI190" i="1"/>
  <c r="AI189" i="1"/>
  <c r="AI188" i="1"/>
  <c r="AI187" i="1"/>
  <c r="AI186" i="1"/>
  <c r="AI185" i="1"/>
  <c r="AI184" i="1"/>
  <c r="AI178" i="1"/>
  <c r="AI177" i="1"/>
  <c r="AI176" i="1"/>
  <c r="AI175" i="1"/>
  <c r="AI174" i="1"/>
  <c r="AI173" i="1"/>
  <c r="AI172" i="1"/>
  <c r="AI171" i="1"/>
  <c r="AI170" i="1"/>
  <c r="AI169" i="1"/>
  <c r="AI168" i="1"/>
  <c r="AI167" i="1"/>
  <c r="AI166" i="1"/>
  <c r="AI165" i="1"/>
  <c r="AI164" i="1"/>
  <c r="AI163" i="1"/>
  <c r="AI162" i="1"/>
  <c r="AI161" i="1"/>
  <c r="AI160" i="1"/>
  <c r="AI159" i="1"/>
  <c r="AI158" i="1"/>
  <c r="AI157" i="1"/>
  <c r="AI152" i="1"/>
  <c r="AI151" i="1"/>
  <c r="AI150" i="1"/>
  <c r="AI149" i="1"/>
  <c r="AI148" i="1"/>
  <c r="AI147" i="1"/>
  <c r="AI145" i="1"/>
  <c r="AI144" i="1"/>
  <c r="AI143" i="1"/>
  <c r="AI142" i="1"/>
  <c r="AI141" i="1"/>
  <c r="AI140" i="1"/>
  <c r="AI139" i="1"/>
  <c r="AI138" i="1"/>
  <c r="AI137" i="1"/>
  <c r="AI136" i="1"/>
  <c r="AI135" i="1"/>
  <c r="AI134" i="1"/>
  <c r="AI133" i="1"/>
  <c r="AI132" i="1"/>
  <c r="AI128" i="1"/>
  <c r="AI127" i="1"/>
  <c r="AI126" i="1"/>
  <c r="AI125" i="1"/>
  <c r="AI124" i="1"/>
  <c r="AI123" i="1"/>
  <c r="AI122" i="1"/>
  <c r="AI121" i="1"/>
  <c r="AI120" i="1"/>
  <c r="AI119" i="1"/>
  <c r="AI118" i="1"/>
  <c r="AI116" i="1"/>
  <c r="AI115" i="1"/>
  <c r="AI114" i="1"/>
  <c r="AI113" i="1"/>
  <c r="AI112" i="1"/>
  <c r="AI111" i="1"/>
  <c r="AI110" i="1"/>
  <c r="AI109" i="1"/>
  <c r="AI108" i="1"/>
  <c r="AI107" i="1"/>
  <c r="AI106" i="1"/>
  <c r="AI105" i="1"/>
  <c r="AI104" i="1"/>
  <c r="AI96" i="1"/>
  <c r="AI95" i="1"/>
  <c r="AI93" i="1"/>
  <c r="AI92" i="1"/>
  <c r="AI91" i="1"/>
  <c r="AI90" i="1"/>
  <c r="AI78" i="1"/>
  <c r="AI66" i="1"/>
  <c r="AI65" i="1"/>
  <c r="AI64" i="1"/>
  <c r="AI43" i="1"/>
  <c r="AI42" i="1"/>
  <c r="AI41" i="1"/>
  <c r="AI40" i="1"/>
  <c r="AI39" i="1"/>
  <c r="AI38" i="1"/>
  <c r="AI37" i="1"/>
  <c r="AI32" i="1"/>
  <c r="AI31" i="1"/>
  <c r="AI30" i="1"/>
  <c r="AI29" i="1"/>
  <c r="AI28" i="1"/>
  <c r="AI27" i="1"/>
  <c r="AI26" i="1"/>
  <c r="AI25" i="1"/>
  <c r="AI24" i="1"/>
  <c r="AI23" i="1"/>
  <c r="AI22" i="1"/>
  <c r="AI17" i="1"/>
  <c r="AI16" i="1"/>
  <c r="AI15" i="1"/>
  <c r="AI14" i="1"/>
  <c r="AI13" i="1"/>
  <c r="AG320" i="1"/>
  <c r="AG290" i="1"/>
  <c r="AG288" i="1"/>
  <c r="AG271" i="1"/>
  <c r="AG267" i="1"/>
  <c r="AG221" i="1"/>
  <c r="AG220" i="1"/>
  <c r="AG219" i="1"/>
  <c r="AG217" i="1"/>
  <c r="AG216" i="1"/>
  <c r="AG215" i="1"/>
  <c r="AG255" i="1" s="1"/>
  <c r="AG208" i="1"/>
  <c r="AG210" i="1" s="1"/>
  <c r="AG201" i="1"/>
  <c r="AG198" i="1"/>
  <c r="AG182" i="1"/>
  <c r="AG162" i="1"/>
  <c r="AG159" i="1"/>
  <c r="AG158" i="1"/>
  <c r="AG155" i="1"/>
  <c r="AG134" i="1"/>
  <c r="AG130" i="1"/>
  <c r="AG98" i="1"/>
  <c r="AG100" i="1" s="1"/>
  <c r="AG87" i="1"/>
  <c r="AG81" i="1"/>
  <c r="AG75" i="1"/>
  <c r="AG68" i="1"/>
  <c r="AG59" i="1"/>
  <c r="AG45" i="1"/>
  <c r="AG34" i="1"/>
  <c r="AG19" i="1"/>
  <c r="AG7" i="1"/>
  <c r="AG6" i="1"/>
  <c r="AG5" i="1"/>
  <c r="AG9" i="1" s="1"/>
  <c r="AG322" i="1" l="1"/>
  <c r="AG325" i="1" s="1"/>
  <c r="AD286" i="1" l="1"/>
  <c r="AC286" i="1"/>
  <c r="AD239" i="1"/>
  <c r="AC239" i="1"/>
  <c r="AD318" i="1"/>
  <c r="AC318" i="1"/>
  <c r="AD317" i="1"/>
  <c r="AC317" i="1"/>
  <c r="AD316" i="1"/>
  <c r="AC316" i="1"/>
  <c r="AD315" i="1"/>
  <c r="AC315" i="1"/>
  <c r="AD314" i="1"/>
  <c r="AC314" i="1"/>
  <c r="AD313" i="1"/>
  <c r="AC313" i="1"/>
  <c r="AD312" i="1"/>
  <c r="AC312" i="1"/>
  <c r="AD311" i="1"/>
  <c r="AC311" i="1"/>
  <c r="AD310" i="1"/>
  <c r="AC310" i="1"/>
  <c r="AD309" i="1"/>
  <c r="AC309" i="1"/>
  <c r="AD308" i="1"/>
  <c r="AC308" i="1"/>
  <c r="AD307" i="1"/>
  <c r="AC307" i="1"/>
  <c r="AD306" i="1"/>
  <c r="AC306" i="1"/>
  <c r="AD305" i="1"/>
  <c r="AC305" i="1"/>
  <c r="AD304" i="1"/>
  <c r="AC304" i="1"/>
  <c r="AD303" i="1"/>
  <c r="AC303" i="1"/>
  <c r="AD302" i="1"/>
  <c r="AC302" i="1"/>
  <c r="AD301" i="1"/>
  <c r="AC301" i="1"/>
  <c r="AD300" i="1"/>
  <c r="AC300" i="1"/>
  <c r="AD299" i="1"/>
  <c r="AC299" i="1"/>
  <c r="AD298" i="1"/>
  <c r="AC298" i="1"/>
  <c r="AD297" i="1"/>
  <c r="AC297" i="1"/>
  <c r="AD296" i="1"/>
  <c r="AC296" i="1"/>
  <c r="AD295" i="1"/>
  <c r="AC295" i="1"/>
  <c r="AD294" i="1"/>
  <c r="AC294" i="1"/>
  <c r="AD293" i="1"/>
  <c r="AC293" i="1"/>
  <c r="AD285" i="1"/>
  <c r="AC285" i="1"/>
  <c r="AD284" i="1"/>
  <c r="AC284" i="1"/>
  <c r="AD283" i="1"/>
  <c r="AC283" i="1"/>
  <c r="AD282" i="1"/>
  <c r="AC282" i="1"/>
  <c r="AD281" i="1"/>
  <c r="AC281" i="1"/>
  <c r="AD280" i="1"/>
  <c r="AC280" i="1"/>
  <c r="AD279" i="1"/>
  <c r="AC279" i="1"/>
  <c r="AD278" i="1"/>
  <c r="AC278" i="1"/>
  <c r="AD277" i="1"/>
  <c r="AC277" i="1"/>
  <c r="AD276" i="1"/>
  <c r="AC276" i="1"/>
  <c r="AD275" i="1"/>
  <c r="AC275" i="1"/>
  <c r="AD274" i="1"/>
  <c r="AC274" i="1"/>
  <c r="AD273" i="1"/>
  <c r="AC273" i="1"/>
  <c r="AD272" i="1"/>
  <c r="AC272" i="1"/>
  <c r="AD271" i="1"/>
  <c r="AC271" i="1"/>
  <c r="AD270" i="1"/>
  <c r="AC270" i="1"/>
  <c r="AD269" i="1"/>
  <c r="AD288" i="1" s="1"/>
  <c r="AC269" i="1"/>
  <c r="AC288" i="1" s="1"/>
  <c r="AD265" i="1"/>
  <c r="AC265" i="1"/>
  <c r="AD264" i="1"/>
  <c r="AC264" i="1"/>
  <c r="AD263" i="1"/>
  <c r="AC263" i="1"/>
  <c r="AD262" i="1"/>
  <c r="AC262" i="1"/>
  <c r="AD261" i="1"/>
  <c r="AC261" i="1"/>
  <c r="AD260" i="1"/>
  <c r="AC260" i="1"/>
  <c r="AD259" i="1"/>
  <c r="AC259" i="1"/>
  <c r="AD258" i="1"/>
  <c r="AC258" i="1"/>
  <c r="AD253" i="1"/>
  <c r="AC253" i="1"/>
  <c r="AD252" i="1"/>
  <c r="AC252" i="1"/>
  <c r="AD251" i="1"/>
  <c r="AC251" i="1"/>
  <c r="AD250" i="1"/>
  <c r="AC250" i="1"/>
  <c r="AD249" i="1"/>
  <c r="AC249" i="1"/>
  <c r="AD248" i="1"/>
  <c r="AC248" i="1"/>
  <c r="AD247" i="1"/>
  <c r="AC247" i="1"/>
  <c r="AD246" i="1"/>
  <c r="AC246" i="1"/>
  <c r="AD245" i="1"/>
  <c r="AC245" i="1"/>
  <c r="AD244" i="1"/>
  <c r="AC244" i="1"/>
  <c r="AD243" i="1"/>
  <c r="AC243" i="1"/>
  <c r="AD242" i="1"/>
  <c r="AC242" i="1"/>
  <c r="AD241" i="1"/>
  <c r="AC241" i="1"/>
  <c r="AD240" i="1"/>
  <c r="AC240" i="1"/>
  <c r="AD238" i="1"/>
  <c r="AC238" i="1"/>
  <c r="AD237" i="1"/>
  <c r="AC237" i="1"/>
  <c r="AD236" i="1"/>
  <c r="AC236" i="1"/>
  <c r="AD235" i="1"/>
  <c r="AC235" i="1"/>
  <c r="AD234" i="1"/>
  <c r="AC234" i="1"/>
  <c r="AD233" i="1"/>
  <c r="AC233" i="1"/>
  <c r="AD232" i="1"/>
  <c r="AC232" i="1"/>
  <c r="AD231" i="1"/>
  <c r="AC231" i="1"/>
  <c r="AD230" i="1"/>
  <c r="AC230" i="1"/>
  <c r="AD229" i="1"/>
  <c r="AC229" i="1"/>
  <c r="AD228" i="1"/>
  <c r="AC228" i="1"/>
  <c r="AD227" i="1"/>
  <c r="AC227" i="1"/>
  <c r="AD226" i="1"/>
  <c r="AC226" i="1"/>
  <c r="AD225" i="1"/>
  <c r="AC225" i="1"/>
  <c r="AD224" i="1"/>
  <c r="AC224" i="1"/>
  <c r="AD223" i="1"/>
  <c r="AC223" i="1"/>
  <c r="AD222" i="1"/>
  <c r="AC222" i="1"/>
  <c r="AD221" i="1"/>
  <c r="AC221" i="1"/>
  <c r="AD220" i="1"/>
  <c r="AC220" i="1"/>
  <c r="AD219" i="1"/>
  <c r="AC219" i="1"/>
  <c r="AD218" i="1"/>
  <c r="AC218" i="1"/>
  <c r="AD217" i="1"/>
  <c r="AC217" i="1"/>
  <c r="AD216" i="1"/>
  <c r="AC216" i="1"/>
  <c r="AD215" i="1"/>
  <c r="AC215" i="1"/>
  <c r="AD214" i="1"/>
  <c r="AC214" i="1"/>
  <c r="AD213" i="1"/>
  <c r="AC213" i="1"/>
  <c r="AD206" i="1"/>
  <c r="AC206" i="1"/>
  <c r="AD205" i="1"/>
  <c r="AC205" i="1"/>
  <c r="AD204" i="1"/>
  <c r="AC204" i="1"/>
  <c r="AD203" i="1"/>
  <c r="AC203" i="1"/>
  <c r="AD202" i="1"/>
  <c r="AC202" i="1"/>
  <c r="AD201" i="1"/>
  <c r="AC201" i="1"/>
  <c r="AD200" i="1"/>
  <c r="AC200" i="1"/>
  <c r="AD196" i="1"/>
  <c r="AC196" i="1"/>
  <c r="AD195" i="1"/>
  <c r="AC195" i="1"/>
  <c r="AD194" i="1"/>
  <c r="AC194" i="1"/>
  <c r="AD193" i="1"/>
  <c r="AC193" i="1"/>
  <c r="AD192" i="1"/>
  <c r="AC192" i="1"/>
  <c r="AD191" i="1"/>
  <c r="AC191" i="1"/>
  <c r="AD190" i="1"/>
  <c r="AC190" i="1"/>
  <c r="AD189" i="1"/>
  <c r="AC189" i="1"/>
  <c r="AD188" i="1"/>
  <c r="AC188" i="1"/>
  <c r="AD187" i="1"/>
  <c r="AC187" i="1"/>
  <c r="AD186" i="1"/>
  <c r="AC186" i="1"/>
  <c r="AD185" i="1"/>
  <c r="AC185" i="1"/>
  <c r="AD184" i="1"/>
  <c r="AC184" i="1"/>
  <c r="AD180" i="1"/>
  <c r="AC180" i="1"/>
  <c r="AD179" i="1"/>
  <c r="AC179" i="1"/>
  <c r="AD178" i="1"/>
  <c r="AC178" i="1"/>
  <c r="AD177" i="1"/>
  <c r="AC177" i="1"/>
  <c r="AD176" i="1"/>
  <c r="AC176" i="1"/>
  <c r="AD175" i="1"/>
  <c r="AC175" i="1"/>
  <c r="AD174" i="1"/>
  <c r="AC174" i="1"/>
  <c r="AD173" i="1"/>
  <c r="AC173" i="1"/>
  <c r="AD172" i="1"/>
  <c r="AC172" i="1"/>
  <c r="AD171" i="1"/>
  <c r="AC171" i="1"/>
  <c r="AD170" i="1"/>
  <c r="AC170" i="1"/>
  <c r="AD169" i="1"/>
  <c r="AC169" i="1"/>
  <c r="AD168" i="1"/>
  <c r="AC168" i="1"/>
  <c r="AD167" i="1"/>
  <c r="AC167" i="1"/>
  <c r="AD166" i="1"/>
  <c r="AC166" i="1"/>
  <c r="AD165" i="1"/>
  <c r="AC165" i="1"/>
  <c r="AD164" i="1"/>
  <c r="AC164" i="1"/>
  <c r="AD163" i="1"/>
  <c r="AC163" i="1"/>
  <c r="AD162" i="1"/>
  <c r="AC162" i="1"/>
  <c r="AD161" i="1"/>
  <c r="AC161" i="1"/>
  <c r="AD160" i="1"/>
  <c r="AC160" i="1"/>
  <c r="AD159" i="1"/>
  <c r="AC159" i="1"/>
  <c r="AD158" i="1"/>
  <c r="AC158" i="1"/>
  <c r="AD157" i="1"/>
  <c r="AC157" i="1"/>
  <c r="AD153" i="1"/>
  <c r="AC153" i="1"/>
  <c r="AD152" i="1"/>
  <c r="AC152" i="1"/>
  <c r="AD151" i="1"/>
  <c r="AC151" i="1"/>
  <c r="AD150" i="1"/>
  <c r="AC150" i="1"/>
  <c r="AD149" i="1"/>
  <c r="AC149" i="1"/>
  <c r="AD148" i="1"/>
  <c r="AC148" i="1"/>
  <c r="AD147" i="1"/>
  <c r="AC147" i="1"/>
  <c r="AD146" i="1"/>
  <c r="AC146" i="1"/>
  <c r="AD145" i="1"/>
  <c r="AC145" i="1"/>
  <c r="AD144" i="1"/>
  <c r="AC144" i="1"/>
  <c r="AD143" i="1"/>
  <c r="AC143" i="1"/>
  <c r="AD142" i="1"/>
  <c r="AC142" i="1"/>
  <c r="AD141" i="1"/>
  <c r="AC141" i="1"/>
  <c r="AD140" i="1"/>
  <c r="AC140" i="1"/>
  <c r="AD139" i="1"/>
  <c r="AC139" i="1"/>
  <c r="AD138" i="1"/>
  <c r="AC138" i="1"/>
  <c r="AD137" i="1"/>
  <c r="AC137" i="1"/>
  <c r="AD136" i="1"/>
  <c r="AC136" i="1"/>
  <c r="AD135" i="1"/>
  <c r="AC135" i="1"/>
  <c r="AD134" i="1"/>
  <c r="AC134" i="1"/>
  <c r="AD133" i="1"/>
  <c r="AC133" i="1"/>
  <c r="AD132" i="1"/>
  <c r="AC132" i="1"/>
  <c r="AD128" i="1"/>
  <c r="AC128" i="1"/>
  <c r="AD127" i="1"/>
  <c r="AC127" i="1"/>
  <c r="AD126" i="1"/>
  <c r="AC126" i="1"/>
  <c r="AD125" i="1"/>
  <c r="AC125" i="1"/>
  <c r="AD124" i="1"/>
  <c r="AC124" i="1"/>
  <c r="AD123" i="1"/>
  <c r="AC123" i="1"/>
  <c r="AD122" i="1"/>
  <c r="AD121" i="1"/>
  <c r="AC121" i="1"/>
  <c r="AD120" i="1"/>
  <c r="AC120" i="1"/>
  <c r="AD119" i="1"/>
  <c r="AC119" i="1"/>
  <c r="AD118" i="1"/>
  <c r="AC118" i="1"/>
  <c r="AD117" i="1"/>
  <c r="AC117" i="1"/>
  <c r="AD116" i="1"/>
  <c r="AC116" i="1"/>
  <c r="AD115" i="1"/>
  <c r="AC115" i="1"/>
  <c r="AD114" i="1"/>
  <c r="AC114" i="1"/>
  <c r="AD113" i="1"/>
  <c r="AC113" i="1"/>
  <c r="AD112" i="1"/>
  <c r="AC112" i="1"/>
  <c r="AD111" i="1"/>
  <c r="AC111" i="1"/>
  <c r="AD110" i="1"/>
  <c r="AC110" i="1"/>
  <c r="AD109" i="1"/>
  <c r="AC109" i="1"/>
  <c r="AD108" i="1"/>
  <c r="AC108" i="1"/>
  <c r="AD107" i="1"/>
  <c r="AD106" i="1"/>
  <c r="AC106" i="1"/>
  <c r="AD105" i="1"/>
  <c r="AC105" i="1"/>
  <c r="AD104" i="1"/>
  <c r="AC104" i="1"/>
  <c r="AD96" i="1"/>
  <c r="AC96" i="1"/>
  <c r="AD95" i="1"/>
  <c r="AC95" i="1"/>
  <c r="AD94" i="1"/>
  <c r="AC94" i="1"/>
  <c r="AD93" i="1"/>
  <c r="AC93" i="1"/>
  <c r="AD92" i="1"/>
  <c r="AC92" i="1"/>
  <c r="AD91" i="1"/>
  <c r="AC91" i="1"/>
  <c r="AD90" i="1"/>
  <c r="AC90" i="1"/>
  <c r="AD85" i="1"/>
  <c r="AC85" i="1"/>
  <c r="AD84" i="1"/>
  <c r="AC84" i="1"/>
  <c r="AD79" i="1"/>
  <c r="AC79" i="1"/>
  <c r="AD78" i="1"/>
  <c r="AC78" i="1"/>
  <c r="AD73" i="1"/>
  <c r="AC73" i="1"/>
  <c r="AD72" i="1"/>
  <c r="AC72" i="1"/>
  <c r="AD71" i="1"/>
  <c r="AC71" i="1"/>
  <c r="AD66" i="1"/>
  <c r="AC66" i="1"/>
  <c r="AD65" i="1"/>
  <c r="AC65" i="1"/>
  <c r="AD64" i="1"/>
  <c r="AC64" i="1"/>
  <c r="AD63" i="1"/>
  <c r="AC63" i="1"/>
  <c r="AD62" i="1"/>
  <c r="AC62" i="1"/>
  <c r="AD57" i="1"/>
  <c r="AC57" i="1"/>
  <c r="AD56" i="1"/>
  <c r="AC56" i="1"/>
  <c r="AD55" i="1"/>
  <c r="AC55" i="1"/>
  <c r="AD54" i="1"/>
  <c r="AC54" i="1"/>
  <c r="AD53" i="1"/>
  <c r="AC53" i="1"/>
  <c r="AD52" i="1"/>
  <c r="AC52" i="1"/>
  <c r="AD51" i="1"/>
  <c r="AC51" i="1"/>
  <c r="AD50" i="1"/>
  <c r="AC50" i="1"/>
  <c r="AD49" i="1"/>
  <c r="AC49" i="1"/>
  <c r="AD48" i="1"/>
  <c r="AC48" i="1"/>
  <c r="AD43" i="1"/>
  <c r="AC43" i="1"/>
  <c r="AD42" i="1"/>
  <c r="AC42" i="1"/>
  <c r="AD41" i="1"/>
  <c r="AC41" i="1"/>
  <c r="AD40" i="1"/>
  <c r="AC40" i="1"/>
  <c r="AD39" i="1"/>
  <c r="AC39" i="1"/>
  <c r="AD38" i="1"/>
  <c r="AC38" i="1"/>
  <c r="AD37" i="1"/>
  <c r="AC37" i="1"/>
  <c r="AD32" i="1"/>
  <c r="AC32" i="1"/>
  <c r="AD31" i="1"/>
  <c r="AC31" i="1"/>
  <c r="AD30" i="1"/>
  <c r="AC30" i="1"/>
  <c r="AD29" i="1"/>
  <c r="AC29" i="1"/>
  <c r="AD28" i="1"/>
  <c r="AC28" i="1"/>
  <c r="AD27" i="1"/>
  <c r="AC27" i="1"/>
  <c r="AD26" i="1"/>
  <c r="AC26" i="1"/>
  <c r="AD25" i="1"/>
  <c r="AD24" i="1"/>
  <c r="AC24" i="1"/>
  <c r="AD23" i="1"/>
  <c r="AD22" i="1"/>
  <c r="AC22" i="1"/>
  <c r="AD17" i="1"/>
  <c r="AC17" i="1"/>
  <c r="AD16" i="1"/>
  <c r="AC16" i="1"/>
  <c r="AD15" i="1"/>
  <c r="AC15" i="1"/>
  <c r="AD14" i="1"/>
  <c r="AC14" i="1"/>
  <c r="AD13" i="1"/>
  <c r="AC13" i="1"/>
  <c r="AB320" i="1"/>
  <c r="AA320" i="1"/>
  <c r="AB288" i="1"/>
  <c r="AA288" i="1"/>
  <c r="AB267" i="1"/>
  <c r="AA267" i="1"/>
  <c r="AB255" i="1"/>
  <c r="AA255" i="1"/>
  <c r="AB208" i="1"/>
  <c r="AA208" i="1"/>
  <c r="AB198" i="1"/>
  <c r="AA198" i="1"/>
  <c r="AB182" i="1"/>
  <c r="AA182" i="1"/>
  <c r="AB155" i="1"/>
  <c r="AA155" i="1"/>
  <c r="AB130" i="1"/>
  <c r="AA130" i="1"/>
  <c r="AB98" i="1"/>
  <c r="AA98" i="1"/>
  <c r="AB87" i="1"/>
  <c r="AA87" i="1"/>
  <c r="AB81" i="1"/>
  <c r="AA81" i="1"/>
  <c r="AB75" i="1"/>
  <c r="AA75" i="1"/>
  <c r="AB68" i="1"/>
  <c r="AA68" i="1"/>
  <c r="AB59" i="1"/>
  <c r="AA59" i="1"/>
  <c r="AB45" i="1"/>
  <c r="AA45" i="1"/>
  <c r="AB34" i="1"/>
  <c r="AA34" i="1"/>
  <c r="AB19" i="1"/>
  <c r="AA19" i="1"/>
  <c r="AB7" i="1"/>
  <c r="AA7" i="1"/>
  <c r="AB6" i="1"/>
  <c r="AA6" i="1"/>
  <c r="AB5" i="1"/>
  <c r="AA5" i="1"/>
  <c r="C288" i="1"/>
  <c r="X255" i="1"/>
  <c r="Y320" i="1"/>
  <c r="X320" i="1"/>
  <c r="Y288" i="1"/>
  <c r="X288" i="1"/>
  <c r="Y267" i="1"/>
  <c r="X267" i="1"/>
  <c r="Y255" i="1"/>
  <c r="Y208" i="1"/>
  <c r="X208" i="1"/>
  <c r="Y198" i="1"/>
  <c r="X198" i="1"/>
  <c r="Y182" i="1"/>
  <c r="X182" i="1"/>
  <c r="Y155" i="1"/>
  <c r="X155" i="1"/>
  <c r="Y130" i="1"/>
  <c r="X130" i="1"/>
  <c r="Y98" i="1"/>
  <c r="X98" i="1"/>
  <c r="Y87" i="1"/>
  <c r="X87" i="1"/>
  <c r="Y81" i="1"/>
  <c r="X81" i="1"/>
  <c r="Y75" i="1"/>
  <c r="X75" i="1"/>
  <c r="Y68" i="1"/>
  <c r="X68" i="1"/>
  <c r="Y59" i="1"/>
  <c r="X59" i="1"/>
  <c r="Y45" i="1"/>
  <c r="X45" i="1"/>
  <c r="Y34" i="1"/>
  <c r="X34" i="1"/>
  <c r="Y19" i="1"/>
  <c r="X19" i="1"/>
  <c r="Y7" i="1"/>
  <c r="X7" i="1"/>
  <c r="Y6" i="1"/>
  <c r="X6" i="1"/>
  <c r="Y5" i="1"/>
  <c r="X5" i="1"/>
  <c r="U107" i="1"/>
  <c r="AC107" i="1" s="1"/>
  <c r="U122" i="1"/>
  <c r="U208" i="1"/>
  <c r="AA290" i="1" l="1"/>
  <c r="AA210" i="1"/>
  <c r="AB290" i="1"/>
  <c r="AB210" i="1"/>
  <c r="AA100" i="1"/>
  <c r="AB100" i="1"/>
  <c r="AB9" i="1"/>
  <c r="AA9" i="1"/>
  <c r="AJ267" i="1"/>
  <c r="AC45" i="1"/>
  <c r="Y9" i="1"/>
  <c r="Y290" i="1"/>
  <c r="X290" i="1"/>
  <c r="X210" i="1"/>
  <c r="Y210" i="1"/>
  <c r="X100" i="1"/>
  <c r="Y100" i="1"/>
  <c r="X9" i="1"/>
  <c r="V320" i="1"/>
  <c r="U320" i="1"/>
  <c r="V288" i="1"/>
  <c r="U288" i="1"/>
  <c r="V267" i="1"/>
  <c r="U267" i="1"/>
  <c r="V255" i="1"/>
  <c r="U255" i="1"/>
  <c r="V208" i="1"/>
  <c r="V198" i="1"/>
  <c r="U198" i="1"/>
  <c r="V182" i="1"/>
  <c r="U182" i="1"/>
  <c r="V155" i="1"/>
  <c r="U155" i="1"/>
  <c r="V130" i="1"/>
  <c r="U130" i="1"/>
  <c r="V98" i="1"/>
  <c r="U98" i="1"/>
  <c r="V87" i="1"/>
  <c r="U87" i="1"/>
  <c r="V81" i="1"/>
  <c r="U81" i="1"/>
  <c r="V75" i="1"/>
  <c r="U75" i="1"/>
  <c r="V68" i="1"/>
  <c r="U68" i="1"/>
  <c r="V59" i="1"/>
  <c r="U59" i="1"/>
  <c r="V45" i="1"/>
  <c r="U45" i="1"/>
  <c r="V34" i="1"/>
  <c r="U34" i="1"/>
  <c r="V19" i="1"/>
  <c r="U19" i="1"/>
  <c r="V7" i="1"/>
  <c r="U7" i="1"/>
  <c r="V6" i="1"/>
  <c r="U6" i="1"/>
  <c r="V5" i="1"/>
  <c r="U5" i="1"/>
  <c r="R122" i="1"/>
  <c r="AC122" i="1" s="1"/>
  <c r="S288" i="1"/>
  <c r="R288" i="1"/>
  <c r="S182" i="1"/>
  <c r="R182" i="1"/>
  <c r="S320" i="1"/>
  <c r="R320" i="1"/>
  <c r="S267" i="1"/>
  <c r="R267" i="1"/>
  <c r="S255" i="1"/>
  <c r="R255" i="1"/>
  <c r="S208" i="1"/>
  <c r="R208" i="1"/>
  <c r="S198" i="1"/>
  <c r="R198" i="1"/>
  <c r="S155" i="1"/>
  <c r="R155" i="1"/>
  <c r="S130" i="1"/>
  <c r="S98" i="1"/>
  <c r="R98" i="1"/>
  <c r="S87" i="1"/>
  <c r="R87" i="1"/>
  <c r="S81" i="1"/>
  <c r="R81" i="1"/>
  <c r="S75" i="1"/>
  <c r="R75" i="1"/>
  <c r="S68" i="1"/>
  <c r="R68" i="1"/>
  <c r="S59" i="1"/>
  <c r="R59" i="1"/>
  <c r="S45" i="1"/>
  <c r="R45" i="1"/>
  <c r="S34" i="1"/>
  <c r="R34" i="1"/>
  <c r="S19" i="1"/>
  <c r="R19" i="1"/>
  <c r="S7" i="1"/>
  <c r="R7" i="1"/>
  <c r="S6" i="1"/>
  <c r="R6" i="1"/>
  <c r="S5" i="1"/>
  <c r="R5" i="1"/>
  <c r="P320" i="1"/>
  <c r="O320" i="1"/>
  <c r="P288" i="1"/>
  <c r="O288" i="1"/>
  <c r="P267" i="1"/>
  <c r="O267" i="1"/>
  <c r="P255" i="1"/>
  <c r="O255" i="1"/>
  <c r="P208" i="1"/>
  <c r="O208" i="1"/>
  <c r="P198" i="1"/>
  <c r="O198" i="1"/>
  <c r="P182" i="1"/>
  <c r="O182" i="1"/>
  <c r="P155" i="1"/>
  <c r="O155" i="1"/>
  <c r="P130" i="1"/>
  <c r="O130" i="1"/>
  <c r="P98" i="1"/>
  <c r="O98" i="1"/>
  <c r="P87" i="1"/>
  <c r="O87" i="1"/>
  <c r="P81" i="1"/>
  <c r="O81" i="1"/>
  <c r="P75" i="1"/>
  <c r="O75" i="1"/>
  <c r="P68" i="1"/>
  <c r="O68" i="1"/>
  <c r="P59" i="1"/>
  <c r="O59" i="1"/>
  <c r="P45" i="1"/>
  <c r="O45" i="1"/>
  <c r="P34" i="1"/>
  <c r="O34" i="1"/>
  <c r="P19" i="1"/>
  <c r="O19" i="1"/>
  <c r="P7" i="1"/>
  <c r="O7" i="1"/>
  <c r="P6" i="1"/>
  <c r="O6" i="1"/>
  <c r="P5" i="1"/>
  <c r="O5" i="1"/>
  <c r="M320" i="1"/>
  <c r="L320" i="1"/>
  <c r="M288" i="1"/>
  <c r="L288" i="1"/>
  <c r="M267" i="1"/>
  <c r="L267" i="1"/>
  <c r="M255" i="1"/>
  <c r="L255" i="1"/>
  <c r="M208" i="1"/>
  <c r="L208" i="1"/>
  <c r="M198" i="1"/>
  <c r="L198" i="1"/>
  <c r="M182" i="1"/>
  <c r="L182" i="1"/>
  <c r="M155" i="1"/>
  <c r="L155" i="1"/>
  <c r="M130" i="1"/>
  <c r="L130" i="1"/>
  <c r="M98" i="1"/>
  <c r="L98" i="1"/>
  <c r="M87" i="1"/>
  <c r="L87" i="1"/>
  <c r="M81" i="1"/>
  <c r="L81" i="1"/>
  <c r="M75" i="1"/>
  <c r="L75" i="1"/>
  <c r="M68" i="1"/>
  <c r="L68" i="1"/>
  <c r="M59" i="1"/>
  <c r="L59" i="1"/>
  <c r="M45" i="1"/>
  <c r="L45" i="1"/>
  <c r="M34" i="1"/>
  <c r="L34" i="1"/>
  <c r="M19" i="1"/>
  <c r="L19" i="1"/>
  <c r="M7" i="1"/>
  <c r="L7" i="1"/>
  <c r="M6" i="1"/>
  <c r="L6" i="1"/>
  <c r="M5" i="1"/>
  <c r="L5" i="1"/>
  <c r="AA322" i="1" l="1"/>
  <c r="AA325" i="1" s="1"/>
  <c r="AB322" i="1"/>
  <c r="AB325" i="1" s="1"/>
  <c r="R130" i="1"/>
  <c r="R210" i="1" s="1"/>
  <c r="V9" i="1"/>
  <c r="Y322" i="1"/>
  <c r="Y325" i="1" s="1"/>
  <c r="X322" i="1"/>
  <c r="X325" i="1" s="1"/>
  <c r="U9" i="1"/>
  <c r="V100" i="1"/>
  <c r="U100" i="1"/>
  <c r="V210" i="1"/>
  <c r="U210" i="1"/>
  <c r="U290" i="1"/>
  <c r="V290" i="1"/>
  <c r="S9" i="1"/>
  <c r="AC182" i="1"/>
  <c r="AD182" i="1"/>
  <c r="R290" i="1"/>
  <c r="R9" i="1"/>
  <c r="S100" i="1"/>
  <c r="R100" i="1"/>
  <c r="S210" i="1"/>
  <c r="S290" i="1"/>
  <c r="L290" i="1"/>
  <c r="P290" i="1"/>
  <c r="O290" i="1"/>
  <c r="M290" i="1"/>
  <c r="L210" i="1"/>
  <c r="P210" i="1"/>
  <c r="O210" i="1"/>
  <c r="M210" i="1"/>
  <c r="O9" i="1"/>
  <c r="P9" i="1"/>
  <c r="O100" i="1"/>
  <c r="L9" i="1"/>
  <c r="P100" i="1"/>
  <c r="M9" i="1"/>
  <c r="M100" i="1"/>
  <c r="L100" i="1"/>
  <c r="U322" i="1" l="1"/>
  <c r="U325" i="1" s="1"/>
  <c r="V322" i="1"/>
  <c r="V325" i="1" s="1"/>
  <c r="R322" i="1"/>
  <c r="R325" i="1" s="1"/>
  <c r="S322" i="1"/>
  <c r="S325" i="1" s="1"/>
  <c r="O322" i="1"/>
  <c r="O325" i="1" s="1"/>
  <c r="P322" i="1"/>
  <c r="P325" i="1" s="1"/>
  <c r="M322" i="1"/>
  <c r="M325" i="1" s="1"/>
  <c r="L322" i="1"/>
  <c r="L325" i="1" s="1"/>
  <c r="J320" i="1" l="1"/>
  <c r="I320" i="1"/>
  <c r="J288" i="1"/>
  <c r="I288" i="1"/>
  <c r="J267" i="1"/>
  <c r="I267" i="1"/>
  <c r="J255" i="1"/>
  <c r="I255" i="1"/>
  <c r="J208" i="1"/>
  <c r="I208" i="1"/>
  <c r="J198" i="1"/>
  <c r="I198" i="1"/>
  <c r="J182" i="1"/>
  <c r="I182" i="1"/>
  <c r="J155" i="1"/>
  <c r="I155" i="1"/>
  <c r="J130" i="1"/>
  <c r="I130" i="1"/>
  <c r="J98" i="1"/>
  <c r="I98" i="1"/>
  <c r="J87" i="1"/>
  <c r="I87" i="1"/>
  <c r="J81" i="1"/>
  <c r="I81" i="1"/>
  <c r="J75" i="1"/>
  <c r="I75" i="1"/>
  <c r="J68" i="1"/>
  <c r="I68" i="1"/>
  <c r="J59" i="1"/>
  <c r="I59" i="1"/>
  <c r="J45" i="1"/>
  <c r="I45" i="1"/>
  <c r="J34" i="1"/>
  <c r="I34" i="1"/>
  <c r="J19" i="1"/>
  <c r="I19" i="1"/>
  <c r="J7" i="1"/>
  <c r="I7" i="1"/>
  <c r="J6" i="1"/>
  <c r="I6" i="1"/>
  <c r="J5" i="1"/>
  <c r="I5" i="1"/>
  <c r="F25" i="1"/>
  <c r="AC25" i="1" s="1"/>
  <c r="J210" i="1" l="1"/>
  <c r="I290" i="1"/>
  <c r="J290" i="1"/>
  <c r="I210" i="1"/>
  <c r="J9" i="1"/>
  <c r="I100" i="1"/>
  <c r="J100" i="1"/>
  <c r="I9" i="1"/>
  <c r="C130" i="1"/>
  <c r="C23" i="1"/>
  <c r="AC23" i="1" s="1"/>
  <c r="G320" i="1"/>
  <c r="F320" i="1"/>
  <c r="D320" i="1"/>
  <c r="C320" i="1"/>
  <c r="G288" i="1"/>
  <c r="F288" i="1"/>
  <c r="D288" i="1"/>
  <c r="G267" i="1"/>
  <c r="F267" i="1"/>
  <c r="D267" i="1"/>
  <c r="C267" i="1"/>
  <c r="G255" i="1"/>
  <c r="F255" i="1"/>
  <c r="D255" i="1"/>
  <c r="C255" i="1"/>
  <c r="G208" i="1"/>
  <c r="F208" i="1"/>
  <c r="D208" i="1"/>
  <c r="C208" i="1"/>
  <c r="AF208" i="1"/>
  <c r="G198" i="1"/>
  <c r="F198" i="1"/>
  <c r="D198" i="1"/>
  <c r="C198" i="1"/>
  <c r="G182" i="1"/>
  <c r="F182" i="1"/>
  <c r="D182" i="1"/>
  <c r="C182" i="1"/>
  <c r="G155" i="1"/>
  <c r="F155" i="1"/>
  <c r="D155" i="1"/>
  <c r="C155" i="1"/>
  <c r="G130" i="1"/>
  <c r="F130" i="1"/>
  <c r="D130" i="1"/>
  <c r="G98" i="1"/>
  <c r="F98" i="1"/>
  <c r="D98" i="1"/>
  <c r="C98" i="1"/>
  <c r="G87" i="1"/>
  <c r="F87" i="1"/>
  <c r="D87" i="1"/>
  <c r="C87" i="1"/>
  <c r="G81" i="1"/>
  <c r="F81" i="1"/>
  <c r="D81" i="1"/>
  <c r="C81" i="1"/>
  <c r="G75" i="1"/>
  <c r="F75" i="1"/>
  <c r="D75" i="1"/>
  <c r="C75" i="1"/>
  <c r="G68" i="1"/>
  <c r="F68" i="1"/>
  <c r="D68" i="1"/>
  <c r="C68" i="1"/>
  <c r="G59" i="1"/>
  <c r="F59" i="1"/>
  <c r="D59" i="1"/>
  <c r="C59" i="1"/>
  <c r="G45" i="1"/>
  <c r="F45" i="1"/>
  <c r="D45" i="1"/>
  <c r="C45" i="1"/>
  <c r="G34" i="1"/>
  <c r="F34" i="1"/>
  <c r="D34" i="1"/>
  <c r="G19" i="1"/>
  <c r="F19" i="1"/>
  <c r="D19" i="1"/>
  <c r="C19" i="1"/>
  <c r="G7" i="1"/>
  <c r="G6" i="1"/>
  <c r="G5" i="1"/>
  <c r="F7" i="1"/>
  <c r="F6" i="1"/>
  <c r="F5" i="1"/>
  <c r="D7" i="1"/>
  <c r="D6" i="1"/>
  <c r="D5" i="1"/>
  <c r="C7" i="1"/>
  <c r="C6" i="1"/>
  <c r="C5" i="1"/>
  <c r="AF5" i="1"/>
  <c r="AF6" i="1"/>
  <c r="AF7" i="1"/>
  <c r="AI9" i="1"/>
  <c r="AF19" i="1"/>
  <c r="AF28" i="1"/>
  <c r="AF45" i="1"/>
  <c r="AF57" i="1"/>
  <c r="AI59" i="1"/>
  <c r="AJ68" i="1"/>
  <c r="AF68" i="1"/>
  <c r="AF75" i="1"/>
  <c r="AI75" i="1"/>
  <c r="AI81" i="1"/>
  <c r="AF81" i="1"/>
  <c r="AJ81" i="1"/>
  <c r="AF87" i="1"/>
  <c r="AI87" i="1"/>
  <c r="AJ87" i="1"/>
  <c r="AF98" i="1"/>
  <c r="AF105" i="1"/>
  <c r="AF117" i="1"/>
  <c r="AF134" i="1"/>
  <c r="AJ155" i="1"/>
  <c r="AF158" i="1"/>
  <c r="AF159" i="1"/>
  <c r="AF162" i="1"/>
  <c r="AJ182" i="1"/>
  <c r="AF198" i="1"/>
  <c r="AJ198" i="1"/>
  <c r="AJ208" i="1"/>
  <c r="AF215" i="1"/>
  <c r="AF216" i="1"/>
  <c r="AF217" i="1"/>
  <c r="AF219" i="1"/>
  <c r="AF220" i="1"/>
  <c r="AF221" i="1"/>
  <c r="AF222" i="1"/>
  <c r="AF223" i="1"/>
  <c r="AF225" i="1"/>
  <c r="AF267" i="1"/>
  <c r="AF271" i="1"/>
  <c r="AJ288" i="1"/>
  <c r="AJ320" i="1"/>
  <c r="AF320" i="1"/>
  <c r="AC5" i="1" l="1"/>
  <c r="AC6" i="1"/>
  <c r="AD5" i="1"/>
  <c r="AD6" i="1"/>
  <c r="AC7" i="1"/>
  <c r="AD7" i="1"/>
  <c r="F210" i="1"/>
  <c r="AJ130" i="1"/>
  <c r="AJ210" i="1" s="1"/>
  <c r="AF34" i="1"/>
  <c r="AJ255" i="1"/>
  <c r="D210" i="1"/>
  <c r="C290" i="1"/>
  <c r="D290" i="1"/>
  <c r="F290" i="1"/>
  <c r="G210" i="1"/>
  <c r="G290" i="1"/>
  <c r="C210" i="1"/>
  <c r="C34" i="1"/>
  <c r="C100" i="1" s="1"/>
  <c r="J322" i="1"/>
  <c r="I322" i="1"/>
  <c r="I325" i="1" s="1"/>
  <c r="AD320" i="1"/>
  <c r="F9" i="1"/>
  <c r="AD87" i="1"/>
  <c r="AC68" i="1"/>
  <c r="AD255" i="1"/>
  <c r="C9" i="1"/>
  <c r="AD81" i="1"/>
  <c r="AD267" i="1"/>
  <c r="AC320" i="1"/>
  <c r="AC267" i="1"/>
  <c r="AC98" i="1"/>
  <c r="AD98" i="1"/>
  <c r="D9" i="1"/>
  <c r="AC255" i="1"/>
  <c r="AC87" i="1"/>
  <c r="AC81" i="1"/>
  <c r="AD45" i="1"/>
  <c r="AC34" i="1"/>
  <c r="AC59" i="1"/>
  <c r="AD34" i="1"/>
  <c r="AD59" i="1"/>
  <c r="AD155" i="1"/>
  <c r="AC19" i="1"/>
  <c r="AC198" i="1"/>
  <c r="G9" i="1"/>
  <c r="F100" i="1"/>
  <c r="AD198" i="1"/>
  <c r="AC75" i="1"/>
  <c r="G100" i="1"/>
  <c r="AC208" i="1"/>
  <c r="AC155" i="1"/>
  <c r="AD75" i="1"/>
  <c r="AD208" i="1"/>
  <c r="AC130" i="1"/>
  <c r="AD68" i="1"/>
  <c r="AD130" i="1"/>
  <c r="AF155" i="1"/>
  <c r="AI34" i="1"/>
  <c r="AF59" i="1"/>
  <c r="AD19" i="1"/>
  <c r="D100" i="1"/>
  <c r="AI198" i="1"/>
  <c r="AF182" i="1"/>
  <c r="AI19" i="1"/>
  <c r="AJ19" i="1"/>
  <c r="AI320" i="1"/>
  <c r="AI208" i="1"/>
  <c r="AJ59" i="1"/>
  <c r="AI155" i="1"/>
  <c r="AJ98" i="1"/>
  <c r="AJ75" i="1"/>
  <c r="AI45" i="1"/>
  <c r="AF255" i="1"/>
  <c r="AI98" i="1"/>
  <c r="AI267" i="1"/>
  <c r="AJ290" i="1" s="1"/>
  <c r="AJ34" i="1"/>
  <c r="AF130" i="1"/>
  <c r="AJ9" i="1"/>
  <c r="AI182" i="1"/>
  <c r="AI130" i="1"/>
  <c r="AI68" i="1"/>
  <c r="AI288" i="1"/>
  <c r="AI255" i="1"/>
  <c r="AF9" i="1"/>
  <c r="AF288" i="1"/>
  <c r="AF290" i="1" s="1"/>
  <c r="AF100" i="1" l="1"/>
  <c r="AI290" i="1"/>
  <c r="AF210" i="1"/>
  <c r="AF322" i="1" s="1"/>
  <c r="AF325" i="1" s="1"/>
  <c r="AI210" i="1"/>
  <c r="AC290" i="1"/>
  <c r="AD290" i="1"/>
  <c r="AD210" i="1"/>
  <c r="AC210" i="1"/>
  <c r="F322" i="1"/>
  <c r="F325" i="1" s="1"/>
  <c r="D322" i="1"/>
  <c r="D325" i="1" s="1"/>
  <c r="AC9" i="1"/>
  <c r="G322" i="1"/>
  <c r="G325" i="1" s="1"/>
  <c r="C322" i="1"/>
  <c r="C325" i="1" s="1"/>
  <c r="AD9" i="1"/>
  <c r="AC100" i="1"/>
  <c r="AD100" i="1"/>
  <c r="AJ322" i="1"/>
  <c r="AJ100" i="1"/>
  <c r="AI100" i="1"/>
  <c r="AD322" i="1" l="1"/>
  <c r="AD325" i="1" s="1"/>
  <c r="AI322" i="1"/>
  <c r="AI325" i="1" s="1"/>
  <c r="AJ325" i="1"/>
  <c r="AC322" i="1"/>
  <c r="AC3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Sheena Hall</author>
  </authors>
  <commentList>
    <comment ref="AF15" authorId="0" shapeId="0" xr:uid="{4372FF81-C986-4F6D-852A-FE1E1FB83C4C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Upped per WS decision</t>
        </r>
      </text>
    </comment>
    <comment ref="AF78" authorId="0" shapeId="0" xr:uid="{8FC5F6F2-5229-4A4D-8484-92FD3CCEE74D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backed down due to usage of funds on new TH</t>
        </r>
      </text>
    </comment>
    <comment ref="AG78" authorId="0" shapeId="0" xr:uid="{A42740EE-934A-42E2-883F-64EDF96192FC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backed down due to usage of funds on new TH</t>
        </r>
      </text>
    </comment>
    <comment ref="AF213" authorId="0" shapeId="0" xr:uid="{B2A97191-4496-4E37-AED1-9B944F6E922A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Originally reduced to removed excess OT.  Raised so not decrease year to year.</t>
        </r>
      </text>
    </comment>
    <comment ref="AF230" authorId="0" shapeId="0" xr:uid="{616935AD-B44D-4ED0-8280-70111148A055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Only phones &amp; DPD Server
rest now under admin</t>
        </r>
      </text>
    </comment>
    <comment ref="AG230" authorId="0" shapeId="0" xr:uid="{6BAC8EC1-1F02-476B-8783-A80949F9168C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Only phones &amp; DPD Server
rest now under admin</t>
        </r>
      </text>
    </comment>
    <comment ref="AF231" authorId="0" shapeId="0" xr:uid="{C05EEF22-62AC-42E0-8BE3-8D158C777FF9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Now under admin</t>
        </r>
      </text>
    </comment>
    <comment ref="AF232" authorId="0" shapeId="0" xr:uid="{26289FD0-CA38-4839-BCBE-D5D92B014B7B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Now under Admin</t>
        </r>
      </text>
    </comment>
    <comment ref="AF233" authorId="0" shapeId="0" xr:uid="{E85AF46B-8FEB-440A-B28A-B833A3BEE319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Now under Admin</t>
        </r>
      </text>
    </comment>
  </commentList>
</comments>
</file>

<file path=xl/sharedStrings.xml><?xml version="1.0" encoding="utf-8"?>
<sst xmlns="http://schemas.openxmlformats.org/spreadsheetml/2006/main" count="857" uniqueCount="518">
  <si>
    <t>General Fund Financial Overview: December 2024 - OPERATING</t>
  </si>
  <si>
    <t>UNAUDITED</t>
  </si>
  <si>
    <t>Monthly</t>
  </si>
  <si>
    <t>Annual FY25</t>
  </si>
  <si>
    <t>Budget</t>
  </si>
  <si>
    <t>$OverBud</t>
  </si>
  <si>
    <t>% of Budget</t>
  </si>
  <si>
    <t>Revenue</t>
  </si>
  <si>
    <t>Actual April - December 2024</t>
  </si>
  <si>
    <t>Budgeted April - December 2024</t>
  </si>
  <si>
    <t>% of  YTD Budget</t>
  </si>
  <si>
    <t>Annual Budget - Amended</t>
  </si>
  <si>
    <t>% of Annual Budget</t>
  </si>
  <si>
    <t>Transfer Tax</t>
  </si>
  <si>
    <t xml:space="preserve"> </t>
  </si>
  <si>
    <t>Accommodation Tax</t>
  </si>
  <si>
    <t>Hotel Tax</t>
  </si>
  <si>
    <t>Business Licenses</t>
  </si>
  <si>
    <t>Parking Permits &amp; Meters</t>
  </si>
  <si>
    <t>Building Permits</t>
  </si>
  <si>
    <t>Total Fines</t>
  </si>
  <si>
    <t>All Other Revenue</t>
  </si>
  <si>
    <t>Total Revenue</t>
  </si>
  <si>
    <t>Allocations to Set Asides</t>
  </si>
  <si>
    <t>Net Revenues</t>
  </si>
  <si>
    <t>Expenses</t>
  </si>
  <si>
    <t>Annual Budget</t>
  </si>
  <si>
    <t xml:space="preserve">Town Administrative Expenses </t>
  </si>
  <si>
    <t>Town Operating Expenses</t>
  </si>
  <si>
    <t>Total Town Expenses</t>
  </si>
  <si>
    <t>Admin Employee Expenses</t>
  </si>
  <si>
    <t>Seasonal Admin Employee Expenses</t>
  </si>
  <si>
    <t>All Other Admin Expense</t>
  </si>
  <si>
    <t>Total Administration Expenses</t>
  </si>
  <si>
    <t>Police Employee Expenses</t>
  </si>
  <si>
    <t>Police Admin Employee Expenses</t>
  </si>
  <si>
    <t>Seasonal Police Employee Expenses</t>
  </si>
  <si>
    <t>All Other Police Expenses</t>
  </si>
  <si>
    <t>Total Police Expenses</t>
  </si>
  <si>
    <t>Maintenance Employee Expenses</t>
  </si>
  <si>
    <t>Seasonal Maintenance Employee Expenses</t>
  </si>
  <si>
    <t>All Other Maintenance Expenses</t>
  </si>
  <si>
    <t>Total Maintenance Expenses</t>
  </si>
  <si>
    <t>Parking Enforcement Employee Expenses</t>
  </si>
  <si>
    <t>Seasonal Parking Employee Expenses</t>
  </si>
  <si>
    <t>All Other Parking Enforcement Expenses</t>
  </si>
  <si>
    <t>Total Code Enforcement Expenses</t>
  </si>
  <si>
    <t>Total BuildingOfficial Expenses</t>
  </si>
  <si>
    <t>Total Alderman Court Expenses</t>
  </si>
  <si>
    <t>Lifeguard Employee Expenses</t>
  </si>
  <si>
    <t>Seasonal Lifeguard Employee Expenses</t>
  </si>
  <si>
    <t>All Other Lifeguard &amp; LSS Expense</t>
  </si>
  <si>
    <t>Total Lifeguard &amp; LSS Expenses</t>
  </si>
  <si>
    <t>Total Expense</t>
  </si>
  <si>
    <t>Net Operating Budget Performance</t>
  </si>
  <si>
    <t>Set Asides:</t>
  </si>
  <si>
    <t>Transfer to Streets / Infrastructure</t>
  </si>
  <si>
    <t>3% Transfer Tax</t>
  </si>
  <si>
    <t>20% Building Permits</t>
  </si>
  <si>
    <t>5% Daily &amp; Seasonal Permits</t>
  </si>
  <si>
    <t>Total to Streets / Infrastructure</t>
  </si>
  <si>
    <t>Capital Improvements</t>
  </si>
  <si>
    <t>Hotel Tax (50%)</t>
  </si>
  <si>
    <t>Total for Captial Improvements</t>
  </si>
  <si>
    <t>Net Operations</t>
  </si>
  <si>
    <t>Tranfer Tax - to Streets &amp; Infrastructure</t>
  </si>
  <si>
    <t>Tranfer Tax - to Rainy Day</t>
  </si>
  <si>
    <t>Daily &amp; Seasonal Parking - to Streets &amp; Infrastructure</t>
  </si>
  <si>
    <t>Building Permints - to Streets &amp; Infrastructure</t>
  </si>
  <si>
    <t>Hotel Tax - to Capital Improvements - Town Hall</t>
  </si>
  <si>
    <t>General Fund Financial Overview: December 2024 - ALL DATA</t>
  </si>
  <si>
    <t>Account</t>
  </si>
  <si>
    <t>Description</t>
  </si>
  <si>
    <t>April 2024</t>
  </si>
  <si>
    <t>April Budget</t>
  </si>
  <si>
    <t>May 2024</t>
  </si>
  <si>
    <t>May Budget</t>
  </si>
  <si>
    <t>June 2024</t>
  </si>
  <si>
    <t>June Budget</t>
  </si>
  <si>
    <t>July 2024</t>
  </si>
  <si>
    <t>July Budget</t>
  </si>
  <si>
    <t>August 2024</t>
  </si>
  <si>
    <t>August Budget</t>
  </si>
  <si>
    <t>September 2024</t>
  </si>
  <si>
    <t>September Budget</t>
  </si>
  <si>
    <t>October 2024</t>
  </si>
  <si>
    <t>October Budget</t>
  </si>
  <si>
    <t>November 2024</t>
  </si>
  <si>
    <t>November Budget</t>
  </si>
  <si>
    <t>December 2024</t>
  </si>
  <si>
    <t>December Budget</t>
  </si>
  <si>
    <t>Year To Date Actual</t>
  </si>
  <si>
    <t>Year To Date Budget</t>
  </si>
  <si>
    <t>FY2025 Budget</t>
  </si>
  <si>
    <t>12.20.24 Amendment</t>
  </si>
  <si>
    <t>Operating Budget - Amended</t>
  </si>
  <si>
    <t>Set Asides &amp; Grants Budget - Amended</t>
  </si>
  <si>
    <t>Group : [6100]</t>
  </si>
  <si>
    <t>Net Position</t>
  </si>
  <si>
    <t>3200100</t>
  </si>
  <si>
    <t>Street &amp; Infrastructure</t>
  </si>
  <si>
    <t>Capital Improvements - Town Hall</t>
  </si>
  <si>
    <t>3200800</t>
  </si>
  <si>
    <t>Rainy Day Fund</t>
  </si>
  <si>
    <t/>
  </si>
  <si>
    <t>Subtotal - Equity</t>
  </si>
  <si>
    <t>Group : [7100]</t>
  </si>
  <si>
    <t>Subgroup : [7100.01]</t>
  </si>
  <si>
    <t>Taxes and Assessments</t>
  </si>
  <si>
    <t>4000100</t>
  </si>
  <si>
    <t>4000200</t>
  </si>
  <si>
    <t>Accommodations Tax</t>
  </si>
  <si>
    <t>4000250</t>
  </si>
  <si>
    <t>4000300</t>
  </si>
  <si>
    <t>Cable TV Franchise</t>
  </si>
  <si>
    <t>4000400</t>
  </si>
  <si>
    <t>Beach Concession Contract</t>
  </si>
  <si>
    <t>Subtotal - Taxes &amp; Assessments</t>
  </si>
  <si>
    <t>Subgroup : [7100.02]</t>
  </si>
  <si>
    <t>Licenses, Permits, and Fees</t>
  </si>
  <si>
    <t>4010050</t>
  </si>
  <si>
    <t>Business License Fines</t>
  </si>
  <si>
    <t>4010100</t>
  </si>
  <si>
    <t>Rental License</t>
  </si>
  <si>
    <t>4010200</t>
  </si>
  <si>
    <t>Commercial Rental License</t>
  </si>
  <si>
    <t>4010300</t>
  </si>
  <si>
    <t>Commerical Business</t>
  </si>
  <si>
    <t>4010500</t>
  </si>
  <si>
    <t>Seasonal</t>
  </si>
  <si>
    <t>4010600</t>
  </si>
  <si>
    <t>Daily</t>
  </si>
  <si>
    <t>4010700</t>
  </si>
  <si>
    <t>Parking Meters</t>
  </si>
  <si>
    <t>4010800</t>
  </si>
  <si>
    <t>Building</t>
  </si>
  <si>
    <t>4010850</t>
  </si>
  <si>
    <t>Builing Permit Application Fees</t>
  </si>
  <si>
    <t>4010900</t>
  </si>
  <si>
    <t>Beach Fire</t>
  </si>
  <si>
    <t>4011100</t>
  </si>
  <si>
    <t>Dog Licenses</t>
  </si>
  <si>
    <t>Subtotal - Licenses, Permits &amp; Fees</t>
  </si>
  <si>
    <t>Subgroup : [7100.03]</t>
  </si>
  <si>
    <t>Fines</t>
  </si>
  <si>
    <t>4020100</t>
  </si>
  <si>
    <t>Parking Tickets</t>
  </si>
  <si>
    <t>4020150</t>
  </si>
  <si>
    <t>Delinquent Parking Tickets</t>
  </si>
  <si>
    <t>4020300</t>
  </si>
  <si>
    <t>Ordinance Fines &amp; Court Costs</t>
  </si>
  <si>
    <t>4020400</t>
  </si>
  <si>
    <t>Traffic Fines</t>
  </si>
  <si>
    <t>4020500</t>
  </si>
  <si>
    <t>Capias / Contempt Charges</t>
  </si>
  <si>
    <t>4020600</t>
  </si>
  <si>
    <t>Delinquent Civil Summons</t>
  </si>
  <si>
    <t>4020700</t>
  </si>
  <si>
    <t>Fines - Other Courts</t>
  </si>
  <si>
    <t>Subtotal - Fines</t>
  </si>
  <si>
    <t>Subgroup : [7100.04]</t>
  </si>
  <si>
    <t>Intergovernmental Grants</t>
  </si>
  <si>
    <t>State 5G Funds</t>
  </si>
  <si>
    <t>4060100</t>
  </si>
  <si>
    <t>SALLE</t>
  </si>
  <si>
    <t>4060200</t>
  </si>
  <si>
    <t>EDIE</t>
  </si>
  <si>
    <t>4060300</t>
  </si>
  <si>
    <t>Municipal Street Aid</t>
  </si>
  <si>
    <t>SLEAF</t>
  </si>
  <si>
    <t>4060500</t>
  </si>
  <si>
    <t>Community Transportation Funds</t>
  </si>
  <si>
    <t>ARPA revenue</t>
  </si>
  <si>
    <t>Violent Crimes</t>
  </si>
  <si>
    <t>Sustainable Energy Grant</t>
  </si>
  <si>
    <t>4070400</t>
  </si>
  <si>
    <t>Police Department</t>
  </si>
  <si>
    <t>Subtotal - Intergovernmental Grants</t>
  </si>
  <si>
    <t>Subgroup : [7100.05]</t>
  </si>
  <si>
    <t>Donations and Other Revenues: Public Safety</t>
  </si>
  <si>
    <t>4040500</t>
  </si>
  <si>
    <t>Donations</t>
  </si>
  <si>
    <t>4040550</t>
  </si>
  <si>
    <t>Marketing Donations</t>
  </si>
  <si>
    <t>4040600</t>
  </si>
  <si>
    <t>Police Reports</t>
  </si>
  <si>
    <t>4040700</t>
  </si>
  <si>
    <t>Police Extra Duty</t>
  </si>
  <si>
    <t>4040800</t>
  </si>
  <si>
    <t>Pension State Funding</t>
  </si>
  <si>
    <t>Subtotal -  Donations and Other Revenues: Public Safety</t>
  </si>
  <si>
    <t>Subgroup : [7100.06]</t>
  </si>
  <si>
    <t>Donations and Other Revenues: Beach Safety</t>
  </si>
  <si>
    <t>4070100</t>
  </si>
  <si>
    <t>Donations - Beach Patrol</t>
  </si>
  <si>
    <t>4070200</t>
  </si>
  <si>
    <t>Donations - Jr Lifeguard Prog</t>
  </si>
  <si>
    <t>4070300</t>
  </si>
  <si>
    <t>Donations - DBP Competition</t>
  </si>
  <si>
    <t>Subtotal - Donations and Other Revenues: Beach Safety</t>
  </si>
  <si>
    <t>Subgroup : [7100.07]</t>
  </si>
  <si>
    <t>Investment Income</t>
  </si>
  <si>
    <t>4040300</t>
  </si>
  <si>
    <t>Interest Income</t>
  </si>
  <si>
    <t>4050100</t>
  </si>
  <si>
    <t>Subtotal - Investment Income</t>
  </si>
  <si>
    <t>Subgroup : [7100.08]</t>
  </si>
  <si>
    <t>Unrealized Gain (Loss) on Investments</t>
  </si>
  <si>
    <t>4050200</t>
  </si>
  <si>
    <t>Unrealized Gain / Loss</t>
  </si>
  <si>
    <t>Realized Gain / Loss</t>
  </si>
  <si>
    <t>Subtotal - Unrealized Gain (Loss) on Investments</t>
  </si>
  <si>
    <t>Subgroup : [7100.09]</t>
  </si>
  <si>
    <t>Other Revenues</t>
  </si>
  <si>
    <t>4040100</t>
  </si>
  <si>
    <t>Public Hearing Fees</t>
  </si>
  <si>
    <t>4040200</t>
  </si>
  <si>
    <t>Gain / Loss Sale of Equipment</t>
  </si>
  <si>
    <t>4040900</t>
  </si>
  <si>
    <t>Misc</t>
  </si>
  <si>
    <t>4040950</t>
  </si>
  <si>
    <t>COVID-19 Revenue</t>
  </si>
  <si>
    <t>4041000</t>
  </si>
  <si>
    <t>Town Hall Other</t>
  </si>
  <si>
    <t>4080100</t>
  </si>
  <si>
    <t>Monthly Toward 300k</t>
  </si>
  <si>
    <t>4080200</t>
  </si>
  <si>
    <t>Annual in Perpetuity</t>
  </si>
  <si>
    <t>Subtotal - Other Revenues</t>
  </si>
  <si>
    <t>Grand Total - Revenue</t>
  </si>
  <si>
    <t>Group : [7200]</t>
  </si>
  <si>
    <t>Expenditures</t>
  </si>
  <si>
    <t>Subgroup : [7200.01]</t>
  </si>
  <si>
    <t>General and Administrative</t>
  </si>
  <si>
    <t>6010100</t>
  </si>
  <si>
    <t>Bank &amp; Credit Card Fees</t>
  </si>
  <si>
    <t>6010125</t>
  </si>
  <si>
    <t>Bank Fees - Transfer Tax</t>
  </si>
  <si>
    <t>6010140</t>
  </si>
  <si>
    <t>Investment Fee</t>
  </si>
  <si>
    <t>6010150</t>
  </si>
  <si>
    <t>Collection Agency Fees</t>
  </si>
  <si>
    <t>6010200</t>
  </si>
  <si>
    <t>Commissioner &amp; Committee Exp</t>
  </si>
  <si>
    <t>6010250</t>
  </si>
  <si>
    <t>Election Expenses</t>
  </si>
  <si>
    <t>6010300</t>
  </si>
  <si>
    <t>6010400</t>
  </si>
  <si>
    <t>Code Update</t>
  </si>
  <si>
    <t>6010500</t>
  </si>
  <si>
    <t>Legal Fees</t>
  </si>
  <si>
    <t>6010550</t>
  </si>
  <si>
    <t>Legal Fees - Lawsuit</t>
  </si>
  <si>
    <t>6010600</t>
  </si>
  <si>
    <t>Audit Fees</t>
  </si>
  <si>
    <t>6010700</t>
  </si>
  <si>
    <t>Comp Plan</t>
  </si>
  <si>
    <t>6010800</t>
  </si>
  <si>
    <t>Beach &amp; Marketing Events</t>
  </si>
  <si>
    <t>Donation / Sponsorship Purchases</t>
  </si>
  <si>
    <t>6010900</t>
  </si>
  <si>
    <t>IT - Software &amp; Support</t>
  </si>
  <si>
    <t>IT - Hardware &amp; Supplies</t>
  </si>
  <si>
    <t>6011000</t>
  </si>
  <si>
    <t>Equipment / Asset Purchase</t>
  </si>
  <si>
    <t>6011100</t>
  </si>
  <si>
    <t>Employee Bonuses</t>
  </si>
  <si>
    <t>6011150</t>
  </si>
  <si>
    <t>Payroll Expenses</t>
  </si>
  <si>
    <t>6011200</t>
  </si>
  <si>
    <t>Dues / Publications</t>
  </si>
  <si>
    <t>6011300</t>
  </si>
  <si>
    <t>Legal Ads</t>
  </si>
  <si>
    <t>6011400</t>
  </si>
  <si>
    <t>Extraordinary DBE Expense</t>
  </si>
  <si>
    <t>6011500</t>
  </si>
  <si>
    <t>Compensated Absence Exp.</t>
  </si>
  <si>
    <t>6012100</t>
  </si>
  <si>
    <t>Beautification</t>
  </si>
  <si>
    <t>6012150</t>
  </si>
  <si>
    <t>COVID-19 Expenses</t>
  </si>
  <si>
    <t>Total Town Wide Expenses</t>
  </si>
  <si>
    <t>6020100</t>
  </si>
  <si>
    <t>Year Round Employee - Salary &amp; Wages</t>
  </si>
  <si>
    <t>6020110</t>
  </si>
  <si>
    <t>Year Round Employee - Payroll Taxes</t>
  </si>
  <si>
    <t>6020130</t>
  </si>
  <si>
    <t>Year Round Employee - Employee Benefits</t>
  </si>
  <si>
    <t>6020140</t>
  </si>
  <si>
    <t>Year Round Employee - Pension Plan</t>
  </si>
  <si>
    <t>6020160</t>
  </si>
  <si>
    <t>Year Round Employee - Workers Comp</t>
  </si>
  <si>
    <t>6020300</t>
  </si>
  <si>
    <t>Seasonal Employee - Salary &amp; Wages</t>
  </si>
  <si>
    <t>6020310</t>
  </si>
  <si>
    <t>Seasonal Employee - Payroll Taxes</t>
  </si>
  <si>
    <t>6020360</t>
  </si>
  <si>
    <t>Seasonal Employee - Workers Comp</t>
  </si>
  <si>
    <t>6020500</t>
  </si>
  <si>
    <t>Utilities</t>
  </si>
  <si>
    <t>6020510</t>
  </si>
  <si>
    <t>Cleaning</t>
  </si>
  <si>
    <t>6020520</t>
  </si>
  <si>
    <t>Pest Control</t>
  </si>
  <si>
    <t>6020530</t>
  </si>
  <si>
    <t>Building Maintenance</t>
  </si>
  <si>
    <t>6020605</t>
  </si>
  <si>
    <t>Mileage Reimbursement</t>
  </si>
  <si>
    <t>6021000</t>
  </si>
  <si>
    <t>Postage</t>
  </si>
  <si>
    <t>6021100</t>
  </si>
  <si>
    <t>Professional Fees</t>
  </si>
  <si>
    <t>6021200</t>
  </si>
  <si>
    <t>Insurance</t>
  </si>
  <si>
    <t>6021300</t>
  </si>
  <si>
    <t>Dues Publications &amp; Subscriptions</t>
  </si>
  <si>
    <t>6021400</t>
  </si>
  <si>
    <t>Training</t>
  </si>
  <si>
    <t>6021500</t>
  </si>
  <si>
    <t>Supplies</t>
  </si>
  <si>
    <t>6021600</t>
  </si>
  <si>
    <t>Printing</t>
  </si>
  <si>
    <t>6021700</t>
  </si>
  <si>
    <t>Equipment / Asset - Depreciable</t>
  </si>
  <si>
    <t>6050100</t>
  </si>
  <si>
    <t>6050110</t>
  </si>
  <si>
    <t>6050130</t>
  </si>
  <si>
    <t>6050140</t>
  </si>
  <si>
    <t>6050150</t>
  </si>
  <si>
    <t>Year Round Employee - Uniforms</t>
  </si>
  <si>
    <t>6050160</t>
  </si>
  <si>
    <t>6050300</t>
  </si>
  <si>
    <t>6050310</t>
  </si>
  <si>
    <t>6050350</t>
  </si>
  <si>
    <t>Seasonal Employee - Uniforms</t>
  </si>
  <si>
    <t>6050360</t>
  </si>
  <si>
    <t>6050500</t>
  </si>
  <si>
    <t>6050510</t>
  </si>
  <si>
    <t>6050520</t>
  </si>
  <si>
    <t>6050530</t>
  </si>
  <si>
    <t>6050600</t>
  </si>
  <si>
    <t>Gas</t>
  </si>
  <si>
    <t>6050610</t>
  </si>
  <si>
    <t>Auto Maintenance &amp; Repair</t>
  </si>
  <si>
    <t>6051100</t>
  </si>
  <si>
    <t>6051300</t>
  </si>
  <si>
    <t>6051400</t>
  </si>
  <si>
    <t>6051500</t>
  </si>
  <si>
    <t>6051700</t>
  </si>
  <si>
    <t>6051900</t>
  </si>
  <si>
    <t>Equipment Maintenance</t>
  </si>
  <si>
    <t>Equip / Asset Purchase</t>
  </si>
  <si>
    <t>Total Parking Enforcement Expenses</t>
  </si>
  <si>
    <t>6060100</t>
  </si>
  <si>
    <t>6060110</t>
  </si>
  <si>
    <t>6060130</t>
  </si>
  <si>
    <t>6060140</t>
  </si>
  <si>
    <t>6060150</t>
  </si>
  <si>
    <t>6060160</t>
  </si>
  <si>
    <t>6060500</t>
  </si>
  <si>
    <t>Phone</t>
  </si>
  <si>
    <t>6060600</t>
  </si>
  <si>
    <t>6061300</t>
  </si>
  <si>
    <t>6061400</t>
  </si>
  <si>
    <t>6061500</t>
  </si>
  <si>
    <t>6061700</t>
  </si>
  <si>
    <t>Total Building / Code Enforcement Expenses</t>
  </si>
  <si>
    <t>6070100</t>
  </si>
  <si>
    <t>6070110</t>
  </si>
  <si>
    <t>6070150</t>
  </si>
  <si>
    <t>6070160</t>
  </si>
  <si>
    <t>6071500</t>
  </si>
  <si>
    <t>6071700</t>
  </si>
  <si>
    <t>Subtotal - General &amp; Administrative</t>
  </si>
  <si>
    <t>Subgroup : [7200.02]</t>
  </si>
  <si>
    <t>Public Safety</t>
  </si>
  <si>
    <t>6030100</t>
  </si>
  <si>
    <t>Year Round Officers - Salary &amp; Wages</t>
  </si>
  <si>
    <t>6030105</t>
  </si>
  <si>
    <t>Special Event Payroll</t>
  </si>
  <si>
    <t>6030110</t>
  </si>
  <si>
    <t>Year Round Officers - Payroll Taxes</t>
  </si>
  <si>
    <t>6030130</t>
  </si>
  <si>
    <t>Year Round Officers - Employee Benefits</t>
  </si>
  <si>
    <t>6030140</t>
  </si>
  <si>
    <t>Year Round Officers - Pension Plan</t>
  </si>
  <si>
    <t>6030150</t>
  </si>
  <si>
    <t>Year Round Officers - Uniforms</t>
  </si>
  <si>
    <t>6030160</t>
  </si>
  <si>
    <t>Year Round Officers - Workers Comp</t>
  </si>
  <si>
    <t>6030200</t>
  </si>
  <si>
    <t>Administrative Year Round - Salary &amp; Wages</t>
  </si>
  <si>
    <t>6030210</t>
  </si>
  <si>
    <t>Administrative Year Round - Payroll Taxes</t>
  </si>
  <si>
    <t>6030230</t>
  </si>
  <si>
    <t>Administrative Year Round - Employee Benefits</t>
  </si>
  <si>
    <t>6030240</t>
  </si>
  <si>
    <t>Administrative Year Round - Pension Plan</t>
  </si>
  <si>
    <t>Administrative Year Round - Uniforms</t>
  </si>
  <si>
    <t>6030260</t>
  </si>
  <si>
    <t>Administrative Year Round - Workers Comp</t>
  </si>
  <si>
    <t>6030300</t>
  </si>
  <si>
    <t>6030310</t>
  </si>
  <si>
    <t>6030350</t>
  </si>
  <si>
    <t>6030360</t>
  </si>
  <si>
    <t>6030500</t>
  </si>
  <si>
    <t>6030510</t>
  </si>
  <si>
    <t>6030520</t>
  </si>
  <si>
    <t>6030530</t>
  </si>
  <si>
    <t>6030600</t>
  </si>
  <si>
    <t>Electric Vehicle Charging</t>
  </si>
  <si>
    <t>6030610</t>
  </si>
  <si>
    <t>Auto Maintenance &amp; Repairs</t>
  </si>
  <si>
    <t>6031100</t>
  </si>
  <si>
    <t>New Hire Fees</t>
  </si>
  <si>
    <t>6031200</t>
  </si>
  <si>
    <t>6031300</t>
  </si>
  <si>
    <t>6031400</t>
  </si>
  <si>
    <t xml:space="preserve">Training  - Year Round Officers </t>
  </si>
  <si>
    <t>Training - Administrative Employees</t>
  </si>
  <si>
    <t>Training - Seasonal Officers</t>
  </si>
  <si>
    <t>Weapons / Ammunition</t>
  </si>
  <si>
    <t>6031500</t>
  </si>
  <si>
    <t>K9 Program</t>
  </si>
  <si>
    <t>6031700</t>
  </si>
  <si>
    <t>6031800</t>
  </si>
  <si>
    <t>6031900</t>
  </si>
  <si>
    <t>Drug Testing</t>
  </si>
  <si>
    <t>6032000</t>
  </si>
  <si>
    <t>Subtotal - Public Safety</t>
  </si>
  <si>
    <t>Subgroup : [7200.03]</t>
  </si>
  <si>
    <t>Streets</t>
  </si>
  <si>
    <t>6012000</t>
  </si>
  <si>
    <t>Bayard Avenue Operating</t>
  </si>
  <si>
    <t>6012200</t>
  </si>
  <si>
    <t>Trash</t>
  </si>
  <si>
    <t>6012300</t>
  </si>
  <si>
    <t>Street Signs / Lights</t>
  </si>
  <si>
    <t>6012400</t>
  </si>
  <si>
    <t>Parking Meter / Permit Expenses</t>
  </si>
  <si>
    <t>6012500</t>
  </si>
  <si>
    <t>Street Sweeping / Snow Removal</t>
  </si>
  <si>
    <t>6012700</t>
  </si>
  <si>
    <t>Town Hall Property Expenses</t>
  </si>
  <si>
    <t>Town Street Projects</t>
  </si>
  <si>
    <t>6012800</t>
  </si>
  <si>
    <t>Storm Water / Street Flooding</t>
  </si>
  <si>
    <t>Town Wide Expenses</t>
  </si>
  <si>
    <t>6040100</t>
  </si>
  <si>
    <t>6040110</t>
  </si>
  <si>
    <t>6040130</t>
  </si>
  <si>
    <t>6040140</t>
  </si>
  <si>
    <t>6040150</t>
  </si>
  <si>
    <t>6040160</t>
  </si>
  <si>
    <t>6040500</t>
  </si>
  <si>
    <t>6040530</t>
  </si>
  <si>
    <t>6040600</t>
  </si>
  <si>
    <t>6040610</t>
  </si>
  <si>
    <t>6041500</t>
  </si>
  <si>
    <t>6041700</t>
  </si>
  <si>
    <t>6041800</t>
  </si>
  <si>
    <t>Streets / Maintenance</t>
  </si>
  <si>
    <t>Subtotal - Streets</t>
  </si>
  <si>
    <t>Subgroup : [7200.04]</t>
  </si>
  <si>
    <t>Beach Safety</t>
  </si>
  <si>
    <t>6080100</t>
  </si>
  <si>
    <t>6080110</t>
  </si>
  <si>
    <t>6080130</t>
  </si>
  <si>
    <t>6080160</t>
  </si>
  <si>
    <t>Seasonal Employee - Local Taxes</t>
  </si>
  <si>
    <t>6080500</t>
  </si>
  <si>
    <t>6080510</t>
  </si>
  <si>
    <t>6080530</t>
  </si>
  <si>
    <t>6080550</t>
  </si>
  <si>
    <t>Landhold Lease - LSS</t>
  </si>
  <si>
    <t>6080600</t>
  </si>
  <si>
    <t>6080610</t>
  </si>
  <si>
    <t>6081200</t>
  </si>
  <si>
    <t>6081300</t>
  </si>
  <si>
    <t>6081400</t>
  </si>
  <si>
    <t>6081500</t>
  </si>
  <si>
    <t>6081600</t>
  </si>
  <si>
    <t>6081700</t>
  </si>
  <si>
    <t>6081800</t>
  </si>
  <si>
    <t>Donation Purchases</t>
  </si>
  <si>
    <t>6081900</t>
  </si>
  <si>
    <t>Subtotal - Beach Safety</t>
  </si>
  <si>
    <t>All Funds Presented</t>
  </si>
  <si>
    <t>Group Total [7200] Expenditures</t>
  </si>
  <si>
    <t>NET INCOME (LOSS)</t>
  </si>
  <si>
    <t>Unassigned Fund</t>
  </si>
  <si>
    <t>Required</t>
  </si>
  <si>
    <t>Current</t>
  </si>
  <si>
    <t>Difference</t>
  </si>
  <si>
    <t>Date</t>
  </si>
  <si>
    <t>Beginning Balance</t>
  </si>
  <si>
    <t>Additions</t>
  </si>
  <si>
    <t>Subtractions</t>
  </si>
  <si>
    <t>Ending Balance</t>
  </si>
  <si>
    <t>Rainy Day</t>
  </si>
  <si>
    <t>04.2024</t>
  </si>
  <si>
    <t>Unassigned</t>
  </si>
  <si>
    <t>05.2024</t>
  </si>
  <si>
    <t>06.2024</t>
  </si>
  <si>
    <t>07.2024</t>
  </si>
  <si>
    <t>Unassigned Fund balance will fluctuate throughout the year as this is just</t>
  </si>
  <si>
    <t>08.2024</t>
  </si>
  <si>
    <t>a total of those funds that are not allocated elsewhere.</t>
  </si>
  <si>
    <t>09.2024</t>
  </si>
  <si>
    <t>10.2024</t>
  </si>
  <si>
    <t>11.2024</t>
  </si>
  <si>
    <t>12.2024</t>
  </si>
  <si>
    <t>01.2025</t>
  </si>
  <si>
    <t>02.2025</t>
  </si>
  <si>
    <t>03.2025</t>
  </si>
  <si>
    <t>Streets &amp; Infrastructure</t>
  </si>
  <si>
    <t>Public Safety Fund</t>
  </si>
  <si>
    <t>Beach Safety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</si>
</sst>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\-yy;@"/>
  </numFmts>
  <fonts count="2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rgb="FF0000FF"/>
      <name val="Arial"/>
      <family val="2"/>
    </font>
    <font>
      <b/>
      <sz val="8"/>
      <color rgb="FF0000FF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ptos Narrow"/>
      <family val="2"/>
      <scheme val="minor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u/>
      <sz val="9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0" fontId="3" fillId="0" borderId="1">
      <alignment horizontal="right"/>
    </xf>
    <xf numFmtId="0" fontId="5" fillId="0" borderId="0">
      <alignment horizontal="left"/>
    </xf>
    <xf numFmtId="0" fontId="5" fillId="0" borderId="0">
      <alignment horizontal="left"/>
    </xf>
    <xf numFmtId="40" fontId="3" fillId="0" borderId="2">
      <alignment horizontal="right"/>
    </xf>
    <xf numFmtId="40" fontId="3" fillId="0" borderId="0">
      <alignment horizontal="left"/>
    </xf>
    <xf numFmtId="40" fontId="3" fillId="0" borderId="0">
      <alignment horizontal="left"/>
    </xf>
    <xf numFmtId="40" fontId="3" fillId="0" borderId="3">
      <alignment horizontal="right"/>
    </xf>
    <xf numFmtId="40" fontId="3" fillId="0" borderId="0">
      <alignment horizontal="left"/>
    </xf>
    <xf numFmtId="40" fontId="3" fillId="0" borderId="0">
      <alignment horizontal="left"/>
    </xf>
    <xf numFmtId="40" fontId="7" fillId="0" borderId="0">
      <alignment horizontal="right"/>
    </xf>
    <xf numFmtId="0" fontId="7" fillId="0" borderId="0">
      <alignment horizontal="left"/>
    </xf>
    <xf numFmtId="0" fontId="7" fillId="0" borderId="0">
      <alignment horizontal="left"/>
    </xf>
    <xf numFmtId="40" fontId="9" fillId="3" borderId="0">
      <alignment horizontal="left"/>
    </xf>
    <xf numFmtId="40" fontId="9" fillId="3" borderId="0">
      <alignment horizontal="left"/>
    </xf>
    <xf numFmtId="40" fontId="12" fillId="4" borderId="0"/>
    <xf numFmtId="40" fontId="12" fillId="4" borderId="0"/>
    <xf numFmtId="0" fontId="3" fillId="5" borderId="0">
      <alignment horizontal="left"/>
    </xf>
    <xf numFmtId="0" fontId="3" fillId="5" borderId="0">
      <alignment horizontal="left"/>
    </xf>
    <xf numFmtId="0" fontId="12" fillId="4" borderId="0">
      <alignment horizontal="center" vertical="center"/>
    </xf>
    <xf numFmtId="40" fontId="12" fillId="4" borderId="0">
      <alignment horizontal="center" vertical="center"/>
    </xf>
    <xf numFmtId="40" fontId="12" fillId="4" borderId="0">
      <alignment horizontal="center" vertical="center"/>
    </xf>
    <xf numFmtId="43" fontId="1" fillId="0" borderId="0" applyFont="0" applyFill="0" applyBorder="0" applyAlignment="0" applyProtection="0"/>
  </cellStyleXfs>
  <cellXfs count="127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40" fontId="2" fillId="0" borderId="0" xfId="0" applyNumberFormat="1" applyFont="1"/>
    <xf numFmtId="9" fontId="2" fillId="2" borderId="0" xfId="2" applyFont="1" applyFill="1"/>
    <xf numFmtId="0" fontId="6" fillId="0" borderId="0" xfId="4" quotePrefix="1" applyFont="1">
      <alignment horizontal="left"/>
    </xf>
    <xf numFmtId="0" fontId="6" fillId="0" borderId="0" xfId="5" applyFont="1">
      <alignment horizontal="left"/>
    </xf>
    <xf numFmtId="0" fontId="2" fillId="2" borderId="0" xfId="0" applyFont="1" applyFill="1"/>
    <xf numFmtId="40" fontId="4" fillId="0" borderId="0" xfId="7" quotePrefix="1" applyFont="1">
      <alignment horizontal="left"/>
    </xf>
    <xf numFmtId="40" fontId="4" fillId="0" borderId="0" xfId="8" quotePrefix="1" applyFont="1">
      <alignment horizontal="left"/>
    </xf>
    <xf numFmtId="40" fontId="4" fillId="0" borderId="3" xfId="9" applyFont="1">
      <alignment horizontal="right"/>
    </xf>
    <xf numFmtId="40" fontId="4" fillId="0" borderId="0" xfId="10" quotePrefix="1" applyFont="1">
      <alignment horizontal="left"/>
    </xf>
    <xf numFmtId="40" fontId="4" fillId="0" borderId="0" xfId="11" quotePrefix="1" applyFont="1">
      <alignment horizontal="left"/>
    </xf>
    <xf numFmtId="40" fontId="8" fillId="0" borderId="0" xfId="12" applyFont="1">
      <alignment horizontal="right"/>
    </xf>
    <xf numFmtId="0" fontId="8" fillId="0" borderId="0" xfId="13" applyFont="1">
      <alignment horizontal="left"/>
    </xf>
    <xf numFmtId="0" fontId="8" fillId="0" borderId="0" xfId="14" applyFont="1">
      <alignment horizontal="left"/>
    </xf>
    <xf numFmtId="0" fontId="8" fillId="0" borderId="0" xfId="13" quotePrefix="1" applyFont="1">
      <alignment horizontal="left"/>
    </xf>
    <xf numFmtId="0" fontId="8" fillId="0" borderId="0" xfId="14" quotePrefix="1" applyFont="1">
      <alignment horizontal="left"/>
    </xf>
    <xf numFmtId="40" fontId="10" fillId="3" borderId="0" xfId="15" quotePrefix="1" applyFont="1">
      <alignment horizontal="left"/>
    </xf>
    <xf numFmtId="40" fontId="10" fillId="3" borderId="0" xfId="16" quotePrefix="1" applyFont="1">
      <alignment horizontal="left"/>
    </xf>
    <xf numFmtId="0" fontId="4" fillId="0" borderId="0" xfId="13" quotePrefix="1" applyFont="1">
      <alignment horizontal="left"/>
    </xf>
    <xf numFmtId="0" fontId="4" fillId="0" borderId="0" xfId="14" quotePrefix="1" applyFont="1">
      <alignment horizontal="left"/>
    </xf>
    <xf numFmtId="0" fontId="11" fillId="0" borderId="0" xfId="0" applyFont="1"/>
    <xf numFmtId="40" fontId="11" fillId="0" borderId="0" xfId="0" applyNumberFormat="1" applyFont="1"/>
    <xf numFmtId="43" fontId="8" fillId="0" borderId="0" xfId="1" applyFont="1" applyAlignment="1">
      <alignment horizontal="right"/>
    </xf>
    <xf numFmtId="40" fontId="13" fillId="4" borderId="0" xfId="17" quotePrefix="1" applyFont="1"/>
    <xf numFmtId="40" fontId="13" fillId="4" borderId="0" xfId="18" quotePrefix="1" applyFont="1"/>
    <xf numFmtId="0" fontId="2" fillId="0" borderId="0" xfId="0" applyFont="1" applyAlignment="1">
      <alignment horizontal="center"/>
    </xf>
    <xf numFmtId="40" fontId="2" fillId="0" borderId="0" xfId="0" applyNumberFormat="1" applyFont="1" applyAlignment="1">
      <alignment horizontal="center"/>
    </xf>
    <xf numFmtId="0" fontId="4" fillId="0" borderId="0" xfId="19" quotePrefix="1" applyFont="1" applyFill="1" applyAlignment="1">
      <alignment horizontal="center"/>
    </xf>
    <xf numFmtId="0" fontId="4" fillId="0" borderId="0" xfId="20" quotePrefix="1" applyFont="1" applyFill="1" applyAlignment="1">
      <alignment horizontal="center"/>
    </xf>
    <xf numFmtId="40" fontId="13" fillId="4" borderId="0" xfId="22" quotePrefix="1" applyFont="1">
      <alignment horizontal="center" vertical="center"/>
    </xf>
    <xf numFmtId="40" fontId="8" fillId="0" borderId="0" xfId="13" quotePrefix="1" applyNumberFormat="1" applyFont="1" applyAlignment="1">
      <alignment horizontal="right"/>
    </xf>
    <xf numFmtId="43" fontId="8" fillId="0" borderId="0" xfId="1" quotePrefix="1" applyFont="1" applyAlignment="1">
      <alignment horizontal="right"/>
    </xf>
    <xf numFmtId="43" fontId="4" fillId="0" borderId="3" xfId="1" applyFont="1" applyBorder="1" applyAlignment="1">
      <alignment horizontal="right"/>
    </xf>
    <xf numFmtId="43" fontId="4" fillId="0" borderId="2" xfId="1" applyFont="1" applyBorder="1" applyAlignment="1">
      <alignment horizontal="right"/>
    </xf>
    <xf numFmtId="43" fontId="4" fillId="0" borderId="4" xfId="1" applyFont="1" applyBorder="1" applyAlignment="1">
      <alignment horizontal="right"/>
    </xf>
    <xf numFmtId="43" fontId="4" fillId="0" borderId="0" xfId="1" applyFont="1" applyAlignment="1">
      <alignment horizontal="right"/>
    </xf>
    <xf numFmtId="43" fontId="4" fillId="0" borderId="1" xfId="1" applyFont="1" applyBorder="1" applyAlignment="1">
      <alignment horizontal="right"/>
    </xf>
    <xf numFmtId="43" fontId="2" fillId="2" borderId="0" xfId="1" applyFont="1" applyFill="1" applyAlignment="1">
      <alignment horizontal="right"/>
    </xf>
    <xf numFmtId="43" fontId="4" fillId="0" borderId="0" xfId="1" quotePrefix="1" applyFont="1" applyAlignment="1">
      <alignment horizontal="right"/>
    </xf>
    <xf numFmtId="43" fontId="2" fillId="0" borderId="0" xfId="1" applyFont="1" applyAlignment="1">
      <alignment horizontal="right"/>
    </xf>
    <xf numFmtId="43" fontId="10" fillId="3" borderId="0" xfId="1" quotePrefix="1" applyFont="1" applyFill="1" applyAlignment="1">
      <alignment horizontal="right"/>
    </xf>
    <xf numFmtId="43" fontId="13" fillId="4" borderId="0" xfId="1" quotePrefix="1" applyFont="1" applyFill="1" applyAlignment="1">
      <alignment horizontal="right"/>
    </xf>
    <xf numFmtId="43" fontId="11" fillId="2" borderId="4" xfId="1" applyFont="1" applyFill="1" applyBorder="1" applyAlignment="1">
      <alignment horizontal="right"/>
    </xf>
    <xf numFmtId="43" fontId="11" fillId="2" borderId="0" xfId="1" applyFont="1" applyFill="1" applyAlignment="1">
      <alignment horizontal="right"/>
    </xf>
    <xf numFmtId="43" fontId="6" fillId="0" borderId="0" xfId="1" quotePrefix="1" applyFont="1" applyAlignment="1">
      <alignment horizontal="right"/>
    </xf>
    <xf numFmtId="43" fontId="2" fillId="0" borderId="0" xfId="1" applyFont="1" applyAlignment="1" applyProtection="1">
      <alignment horizontal="right"/>
      <protection locked="0"/>
    </xf>
    <xf numFmtId="43" fontId="4" fillId="0" borderId="0" xfId="1" quotePrefix="1" applyFont="1" applyFill="1" applyAlignment="1">
      <alignment horizontal="center"/>
    </xf>
    <xf numFmtId="43" fontId="13" fillId="4" borderId="0" xfId="1" quotePrefix="1" applyFont="1" applyFill="1"/>
    <xf numFmtId="43" fontId="8" fillId="0" borderId="0" xfId="1" quotePrefix="1" applyFont="1" applyAlignment="1">
      <alignment horizontal="left"/>
    </xf>
    <xf numFmtId="43" fontId="2" fillId="0" borderId="0" xfId="1" applyFont="1"/>
    <xf numFmtId="43" fontId="10" fillId="3" borderId="0" xfId="1" quotePrefix="1" applyFont="1" applyFill="1" applyAlignment="1">
      <alignment horizontal="left"/>
    </xf>
    <xf numFmtId="43" fontId="2" fillId="0" borderId="0" xfId="1" applyFont="1" applyProtection="1">
      <protection locked="0"/>
    </xf>
    <xf numFmtId="43" fontId="4" fillId="0" borderId="4" xfId="1" applyFont="1" applyFill="1" applyBorder="1" applyAlignment="1">
      <alignment horizontal="right"/>
    </xf>
    <xf numFmtId="43" fontId="4" fillId="0" borderId="3" xfId="1" applyFont="1" applyFill="1" applyBorder="1" applyAlignment="1">
      <alignment horizontal="right"/>
    </xf>
    <xf numFmtId="43" fontId="4" fillId="0" borderId="2" xfId="1" applyFont="1" applyFill="1" applyBorder="1" applyAlignment="1">
      <alignment horizontal="right"/>
    </xf>
    <xf numFmtId="43" fontId="2" fillId="0" borderId="0" xfId="1" applyFont="1" applyAlignment="1">
      <alignment horizontal="center"/>
    </xf>
    <xf numFmtId="43" fontId="16" fillId="0" borderId="0" xfId="1" applyFont="1" applyAlignment="1">
      <alignment horizontal="right"/>
    </xf>
    <xf numFmtId="43" fontId="17" fillId="0" borderId="0" xfId="1" applyFont="1" applyAlignment="1">
      <alignment horizontal="right"/>
    </xf>
    <xf numFmtId="43" fontId="18" fillId="0" borderId="0" xfId="1" applyFont="1" applyAlignment="1" applyProtection="1">
      <alignment horizontal="right"/>
      <protection locked="0"/>
    </xf>
    <xf numFmtId="43" fontId="16" fillId="0" borderId="0" xfId="1" applyFont="1" applyFill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21" fillId="0" borderId="0" xfId="0" applyFont="1"/>
    <xf numFmtId="0" fontId="22" fillId="0" borderId="0" xfId="0" applyFont="1"/>
    <xf numFmtId="164" fontId="21" fillId="0" borderId="0" xfId="1" applyNumberFormat="1" applyFont="1"/>
    <xf numFmtId="165" fontId="19" fillId="0" borderId="5" xfId="0" quotePrefix="1" applyNumberFormat="1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164" fontId="19" fillId="0" borderId="5" xfId="1" applyNumberFormat="1" applyFont="1" applyBorder="1" applyAlignment="1">
      <alignment horizontal="center"/>
    </xf>
    <xf numFmtId="0" fontId="19" fillId="0" borderId="5" xfId="0" applyFont="1" applyBorder="1" applyAlignment="1">
      <alignment horizontal="center" wrapText="1"/>
    </xf>
    <xf numFmtId="0" fontId="23" fillId="0" borderId="0" xfId="0" applyFont="1" applyAlignment="1">
      <alignment horizontal="center"/>
    </xf>
    <xf numFmtId="16" fontId="19" fillId="0" borderId="5" xfId="0" applyNumberFormat="1" applyFont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164" fontId="21" fillId="0" borderId="6" xfId="1" applyNumberFormat="1" applyFont="1" applyBorder="1"/>
    <xf numFmtId="9" fontId="21" fillId="0" borderId="0" xfId="2" applyFont="1" applyAlignment="1">
      <alignment horizontal="center"/>
    </xf>
    <xf numFmtId="164" fontId="19" fillId="6" borderId="6" xfId="1" applyNumberFormat="1" applyFont="1" applyFill="1" applyBorder="1"/>
    <xf numFmtId="0" fontId="19" fillId="6" borderId="0" xfId="0" applyFont="1" applyFill="1"/>
    <xf numFmtId="164" fontId="21" fillId="0" borderId="0" xfId="0" applyNumberFormat="1" applyFont="1"/>
    <xf numFmtId="0" fontId="21" fillId="0" borderId="0" xfId="0" applyFont="1" applyAlignment="1">
      <alignment horizontal="center"/>
    </xf>
    <xf numFmtId="0" fontId="24" fillId="0" borderId="0" xfId="0" applyFont="1"/>
    <xf numFmtId="165" fontId="23" fillId="0" borderId="0" xfId="0" quotePrefix="1" applyNumberFormat="1" applyFont="1" applyAlignment="1">
      <alignment horizontal="center"/>
    </xf>
    <xf numFmtId="0" fontId="23" fillId="0" borderId="0" xfId="0" applyFont="1"/>
    <xf numFmtId="164" fontId="19" fillId="0" borderId="5" xfId="1" applyNumberFormat="1" applyFont="1" applyBorder="1"/>
    <xf numFmtId="9" fontId="19" fillId="0" borderId="0" xfId="2" applyFont="1" applyAlignment="1">
      <alignment horizontal="center"/>
    </xf>
    <xf numFmtId="16" fontId="19" fillId="0" borderId="5" xfId="0" quotePrefix="1" applyNumberFormat="1" applyFont="1" applyBorder="1" applyAlignment="1">
      <alignment horizontal="center" wrapText="1"/>
    </xf>
    <xf numFmtId="164" fontId="19" fillId="7" borderId="6" xfId="1" applyNumberFormat="1" applyFont="1" applyFill="1" applyBorder="1"/>
    <xf numFmtId="9" fontId="21" fillId="0" borderId="0" xfId="2" applyFont="1" applyBorder="1" applyAlignment="1">
      <alignment horizontal="center"/>
    </xf>
    <xf numFmtId="164" fontId="19" fillId="0" borderId="6" xfId="1" applyNumberFormat="1" applyFont="1" applyFill="1" applyBorder="1"/>
    <xf numFmtId="0" fontId="25" fillId="0" borderId="0" xfId="0" applyFont="1"/>
    <xf numFmtId="164" fontId="25" fillId="0" borderId="0" xfId="1" applyNumberFormat="1" applyFont="1" applyFill="1"/>
    <xf numFmtId="0" fontId="25" fillId="0" borderId="0" xfId="0" applyFont="1" applyAlignment="1">
      <alignment wrapText="1"/>
    </xf>
    <xf numFmtId="164" fontId="25" fillId="0" borderId="0" xfId="1" applyNumberFormat="1" applyFont="1"/>
    <xf numFmtId="0" fontId="25" fillId="2" borderId="0" xfId="0" applyFont="1" applyFill="1"/>
    <xf numFmtId="0" fontId="25" fillId="2" borderId="0" xfId="0" applyFont="1" applyFill="1" applyAlignment="1">
      <alignment wrapText="1"/>
    </xf>
    <xf numFmtId="164" fontId="25" fillId="2" borderId="0" xfId="1" applyNumberFormat="1" applyFont="1" applyFill="1"/>
    <xf numFmtId="164" fontId="25" fillId="0" borderId="0" xfId="1" applyNumberFormat="1" applyFont="1" applyFill="1" applyAlignment="1">
      <alignment vertical="top"/>
    </xf>
    <xf numFmtId="49" fontId="25" fillId="0" borderId="0" xfId="1" applyNumberFormat="1" applyFont="1" applyAlignment="1">
      <alignment wrapText="1"/>
    </xf>
    <xf numFmtId="49" fontId="25" fillId="0" borderId="0" xfId="1" applyNumberFormat="1" applyFont="1" applyAlignment="1"/>
    <xf numFmtId="164" fontId="25" fillId="2" borderId="0" xfId="0" applyNumberFormat="1" applyFont="1" applyFill="1"/>
    <xf numFmtId="9" fontId="25" fillId="0" borderId="0" xfId="2" applyFont="1"/>
    <xf numFmtId="164" fontId="24" fillId="0" borderId="0" xfId="1" applyNumberFormat="1" applyFont="1" applyFill="1"/>
    <xf numFmtId="164" fontId="24" fillId="0" borderId="0" xfId="0" applyNumberFormat="1" applyFont="1"/>
    <xf numFmtId="43" fontId="21" fillId="0" borderId="0" xfId="0" applyNumberFormat="1" applyFont="1"/>
    <xf numFmtId="43" fontId="21" fillId="0" borderId="0" xfId="1" applyFont="1"/>
    <xf numFmtId="9" fontId="21" fillId="0" borderId="0" xfId="0" applyNumberFormat="1" applyFont="1"/>
    <xf numFmtId="3" fontId="19" fillId="0" borderId="0" xfId="0" applyNumberFormat="1" applyFont="1"/>
    <xf numFmtId="164" fontId="19" fillId="0" borderId="0" xfId="1" applyNumberFormat="1" applyFont="1" applyFill="1" applyBorder="1"/>
    <xf numFmtId="9" fontId="21" fillId="0" borderId="0" xfId="2" applyFont="1"/>
    <xf numFmtId="164" fontId="19" fillId="0" borderId="0" xfId="1" applyNumberFormat="1" applyFont="1"/>
    <xf numFmtId="43" fontId="0" fillId="0" borderId="0" xfId="24" applyFont="1" applyFill="1"/>
    <xf numFmtId="0" fontId="0" fillId="0" borderId="0" xfId="0" quotePrefix="1"/>
    <xf numFmtId="43" fontId="0" fillId="0" borderId="0" xfId="0" applyNumberFormat="1"/>
    <xf numFmtId="43" fontId="0" fillId="0" borderId="0" xfId="24" applyFont="1" applyFill="1" applyBorder="1"/>
    <xf numFmtId="0" fontId="0" fillId="0" borderId="0" xfId="0" applyAlignment="1">
      <alignment horizontal="right"/>
    </xf>
    <xf numFmtId="0" fontId="25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0" fontId="13" fillId="4" borderId="0" xfId="22" quotePrefix="1" applyFont="1" applyAlignment="1">
      <alignment horizontal="center" vertical="center" wrapText="1"/>
    </xf>
    <xf numFmtId="43" fontId="13" fillId="4" borderId="0" xfId="1" quotePrefix="1" applyFont="1" applyFill="1" applyAlignment="1">
      <alignment horizontal="center" vertical="center"/>
    </xf>
    <xf numFmtId="43" fontId="13" fillId="4" borderId="0" xfId="1" quotePrefix="1" applyFont="1" applyFill="1" applyAlignment="1">
      <alignment horizontal="center" vertical="center" wrapText="1"/>
    </xf>
    <xf numFmtId="0" fontId="13" fillId="4" borderId="0" xfId="21" quotePrefix="1" applyFont="1" applyAlignment="1">
      <alignment horizontal="center" vertical="center" wrapText="1"/>
    </xf>
    <xf numFmtId="0" fontId="0" fillId="0" borderId="0" xfId="0" applyAlignment="1">
      <alignment horizontal="center"/>
    </xf>
    <xf numFmtId="40" fontId="13" fillId="4" borderId="0" xfId="23" quotePrefix="1" applyFont="1" applyAlignment="1">
      <alignment horizontal="center" vertical="center"/>
    </xf>
    <xf numFmtId="40" fontId="13" fillId="4" borderId="0" xfId="22" quotePrefix="1" applyFont="1" applyAlignment="1">
      <alignment horizontal="center" vertical="center"/>
    </xf>
    <xf numFmtId="49" fontId="13" fillId="4" borderId="0" xfId="22" quotePrefix="1" applyNumberFormat="1" applyFont="1" applyAlignment="1">
      <alignment horizontal="center" vertical="center"/>
    </xf>
  </cellXfs>
  <cellStyles count="25">
    <cellStyle name="AccountDetailRowBalanceCol" xfId="12" xr:uid="{F0EFD950-0799-4AE3-9B3C-DE85F433A3B7}"/>
    <cellStyle name="AccountDetailRowDescCol" xfId="13" xr:uid="{59AA16A1-36AB-4BF7-AF67-B1C535D132A0}"/>
    <cellStyle name="AccountDetailRowNameCol" xfId="14" xr:uid="{AA0C0079-6793-4610-B793-90ABAC1D1B04}"/>
    <cellStyle name="ColumnHeaderRowBalanceCol" xfId="21" xr:uid="{CF9A385E-7CE5-48B4-BA1C-511AA8676FAA}"/>
    <cellStyle name="ColumnHeaderRowDescCol" xfId="22" xr:uid="{E59EF6DD-8AFE-4008-9120-401B5C595C1E}"/>
    <cellStyle name="ColumnHeaderRowNameCol" xfId="23" xr:uid="{88CDA0A5-C266-453F-A025-E98A311EBE90}"/>
    <cellStyle name="Comma" xfId="1" builtinId="3"/>
    <cellStyle name="Comma 2" xfId="24" xr:uid="{E06F1E64-EE3C-4DE7-B4D3-C064D2DD5B95}"/>
    <cellStyle name="FundSectionHeaderRowDescCol" xfId="19" xr:uid="{5E23C53C-7749-4C83-8E82-733D821FA9B8}"/>
    <cellStyle name="FundSectionHeaderRowNameCol" xfId="20" xr:uid="{14898610-A034-4CEF-9B8E-CEE79691A51F}"/>
    <cellStyle name="GroupSectionHeaderRowDescCol" xfId="17" xr:uid="{E3680AF3-E212-403E-A3A7-1F72145A548B}"/>
    <cellStyle name="GroupSectionHeaderRowNameCol" xfId="18" xr:uid="{6123A41A-3FDE-4339-BA27-C5FC45FF88E2}"/>
    <cellStyle name="NetIncomeLossRowBalanceCol" xfId="3" xr:uid="{C002DD23-CD9B-4299-A2E5-131E495D5027}"/>
    <cellStyle name="NetIncomeLossRowDescCol" xfId="4" xr:uid="{FC4B4E7F-E5BC-4613-9575-05D75AED1351}"/>
    <cellStyle name="NetIncomeLossRowNameCol" xfId="5" xr:uid="{084E2350-0404-4AA2-B0E8-FF52EC49E2D8}"/>
    <cellStyle name="Normal" xfId="0" builtinId="0"/>
    <cellStyle name="Percent" xfId="2" builtinId="5"/>
    <cellStyle name="SubgroupSectionHeaderRowDescCol" xfId="15" xr:uid="{5DF18AAB-28A0-41EE-91E3-71C4D558DA93}"/>
    <cellStyle name="SubgroupSectionHeaderRowNameCol" xfId="16" xr:uid="{AF48AD1D-FDD0-4BCF-BA84-D6BB99F0CB7B}"/>
    <cellStyle name="SubgroupSubtotalRowBalanceCol" xfId="9" xr:uid="{E7C6E6C0-768C-4162-94C2-3064F7A35FA6}"/>
    <cellStyle name="SubgroupSubtotalRowDescCol" xfId="10" xr:uid="{32E1578C-9172-44A2-BCE0-7C65215EDC8E}"/>
    <cellStyle name="SubgroupSubtotalRowNameCol" xfId="11" xr:uid="{3A1FFA09-2170-4BC6-AB1B-3FFB9E38D74C}"/>
    <cellStyle name="UnclassifiedTotalRowBalanceCol" xfId="6" xr:uid="{EA1D9782-0009-40C1-B956-14507EF7C3B9}"/>
    <cellStyle name="UnclassifiedTotalRowDescCol" xfId="7" xr:uid="{40475FA6-5092-4F1F-8814-6A4C9336A244}"/>
    <cellStyle name="UnclassifiedTotalRowNameCol" xfId="8" xr:uid="{381C3917-5574-4EDA-ADD2-20F8A3AAEA8E}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56AB2-44EE-468C-B78C-E9CBD7551D09}">
  <sheetPr>
    <pageSetUpPr fitToPage="1"/>
  </sheetPr>
  <dimension ref="A1:R86"/>
  <sheetViews>
    <sheetView tabSelected="1" topLeftCell="A43" zoomScale="130" zoomScaleNormal="130" workbookViewId="0">
      <selection activeCell="E19" sqref="E19"/>
    </sheetView>
  </sheetViews>
  <sheetFormatPr defaultColWidth="15.7109375" defaultRowHeight="12"/>
  <cols>
    <col min="1" max="1" width="4.5703125" style="65" bestFit="1" customWidth="1"/>
    <col min="2" max="2" width="13" style="65" customWidth="1"/>
    <col min="3" max="3" width="11" style="65" bestFit="1" customWidth="1"/>
    <col min="4" max="4" width="12.85546875" style="67" bestFit="1" customWidth="1"/>
    <col min="5" max="5" width="8.42578125" style="65" bestFit="1" customWidth="1"/>
    <col min="6" max="6" width="4.42578125" style="65" customWidth="1"/>
    <col min="7" max="7" width="38" style="65" bestFit="1" customWidth="1"/>
    <col min="8" max="8" width="1.7109375" style="65" customWidth="1"/>
    <col min="9" max="9" width="14.140625" style="65" customWidth="1"/>
    <col min="10" max="10" width="14.7109375" style="65" bestFit="1" customWidth="1"/>
    <col min="11" max="11" width="14.28515625" style="67" bestFit="1" customWidth="1"/>
    <col min="12" max="12" width="10.7109375" style="65" bestFit="1" customWidth="1"/>
    <col min="13" max="13" width="2.7109375" style="65" customWidth="1"/>
    <col min="14" max="14" width="14.7109375" style="65" bestFit="1" customWidth="1"/>
    <col min="15" max="15" width="14.28515625" style="67" bestFit="1" customWidth="1"/>
    <col min="16" max="16" width="13.5703125" style="65" bestFit="1" customWidth="1"/>
    <col min="17" max="16384" width="15.7109375" style="65"/>
  </cols>
  <sheetData>
    <row r="1" spans="1:18" s="62" customFormat="1">
      <c r="B1" s="118" t="s">
        <v>0</v>
      </c>
      <c r="C1" s="118"/>
      <c r="D1" s="118"/>
      <c r="E1" s="118"/>
      <c r="F1" s="118"/>
      <c r="G1" s="118"/>
      <c r="H1" s="64"/>
      <c r="I1" s="117" t="s">
        <v>1</v>
      </c>
      <c r="J1" s="117"/>
      <c r="K1" s="117"/>
      <c r="L1" s="117"/>
      <c r="M1" s="117"/>
      <c r="N1" s="117"/>
      <c r="O1" s="117"/>
      <c r="P1" s="117"/>
    </row>
    <row r="2" spans="1:18">
      <c r="B2" s="66"/>
    </row>
    <row r="3" spans="1:18">
      <c r="B3" s="118" t="s">
        <v>2</v>
      </c>
      <c r="C3" s="118"/>
      <c r="D3" s="118"/>
      <c r="E3" s="118"/>
      <c r="I3" s="118" t="s">
        <v>3</v>
      </c>
      <c r="J3" s="118"/>
      <c r="K3" s="118"/>
      <c r="L3" s="118"/>
      <c r="M3" s="118"/>
      <c r="N3" s="118"/>
      <c r="O3" s="118"/>
      <c r="P3" s="118"/>
    </row>
    <row r="4" spans="1:18" s="62" customFormat="1" ht="24">
      <c r="B4" s="68">
        <v>45657</v>
      </c>
      <c r="C4" s="69" t="s">
        <v>4</v>
      </c>
      <c r="D4" s="70" t="s">
        <v>5</v>
      </c>
      <c r="E4" s="71" t="s">
        <v>6</v>
      </c>
      <c r="F4" s="63"/>
      <c r="G4" s="72" t="s">
        <v>7</v>
      </c>
      <c r="H4" s="63"/>
      <c r="I4" s="73" t="s">
        <v>8</v>
      </c>
      <c r="J4" s="71" t="s">
        <v>9</v>
      </c>
      <c r="K4" s="70" t="s">
        <v>5</v>
      </c>
      <c r="L4" s="71" t="s">
        <v>10</v>
      </c>
      <c r="M4" s="74"/>
      <c r="N4" s="71" t="s">
        <v>11</v>
      </c>
      <c r="O4" s="70" t="s">
        <v>5</v>
      </c>
      <c r="P4" s="71" t="s">
        <v>12</v>
      </c>
    </row>
    <row r="6" spans="1:18">
      <c r="B6" s="75">
        <v>115065</v>
      </c>
      <c r="C6" s="75">
        <v>42000</v>
      </c>
      <c r="D6" s="75">
        <f t="shared" ref="D6:D13" si="0">B6-C6</f>
        <v>73065</v>
      </c>
      <c r="E6" s="76">
        <f>+B6/C6</f>
        <v>2.739642857142857</v>
      </c>
      <c r="G6" s="65" t="s">
        <v>13</v>
      </c>
      <c r="H6" s="65" t="s">
        <v>14</v>
      </c>
      <c r="I6" s="75">
        <v>739626</v>
      </c>
      <c r="J6" s="75">
        <v>476000</v>
      </c>
      <c r="K6" s="75">
        <f t="shared" ref="K6:K13" si="1">I6-J6</f>
        <v>263626</v>
      </c>
      <c r="L6" s="76">
        <f t="shared" ref="L6:L14" si="2">+I6/J6</f>
        <v>1.5538361344537814</v>
      </c>
      <c r="M6" s="76"/>
      <c r="N6" s="75">
        <v>700000</v>
      </c>
      <c r="O6" s="75">
        <f t="shared" ref="O6:O13" si="3">I6-N6</f>
        <v>39626</v>
      </c>
      <c r="P6" s="76">
        <f t="shared" ref="P6:P14" si="4">+I6/N6</f>
        <v>1.0566085714285713</v>
      </c>
    </row>
    <row r="7" spans="1:18">
      <c r="B7" s="75">
        <v>43276.18</v>
      </c>
      <c r="C7" s="75">
        <v>33000</v>
      </c>
      <c r="D7" s="75">
        <f t="shared" si="0"/>
        <v>10276.18</v>
      </c>
      <c r="E7" s="76">
        <f>+B7/C7</f>
        <v>1.311399393939394</v>
      </c>
      <c r="G7" s="65" t="s">
        <v>15</v>
      </c>
      <c r="I7" s="75">
        <v>832366.59</v>
      </c>
      <c r="J7" s="75">
        <v>775500</v>
      </c>
      <c r="K7" s="75">
        <f t="shared" si="1"/>
        <v>56866.589999999967</v>
      </c>
      <c r="L7" s="76">
        <f t="shared" si="2"/>
        <v>1.0733289361702127</v>
      </c>
      <c r="M7" s="76"/>
      <c r="N7" s="75">
        <v>825000</v>
      </c>
      <c r="O7" s="75">
        <f t="shared" si="3"/>
        <v>7366.5899999999674</v>
      </c>
      <c r="P7" s="76">
        <f t="shared" si="4"/>
        <v>1.0089291999999999</v>
      </c>
    </row>
    <row r="8" spans="1:18">
      <c r="B8" s="75">
        <v>16904.66</v>
      </c>
      <c r="C8" s="75">
        <v>9500</v>
      </c>
      <c r="D8" s="75">
        <f t="shared" si="0"/>
        <v>7404.66</v>
      </c>
      <c r="E8" s="76">
        <f>+B8/C8</f>
        <v>1.7794378947368421</v>
      </c>
      <c r="G8" s="65" t="s">
        <v>16</v>
      </c>
      <c r="I8" s="75">
        <v>449391.26</v>
      </c>
      <c r="J8" s="75">
        <v>460750</v>
      </c>
      <c r="K8" s="75">
        <f t="shared" si="1"/>
        <v>-11358.739999999991</v>
      </c>
      <c r="L8" s="76">
        <f t="shared" si="2"/>
        <v>0.97534728160607709</v>
      </c>
      <c r="M8" s="76"/>
      <c r="N8" s="75">
        <v>475000</v>
      </c>
      <c r="O8" s="75">
        <f t="shared" si="3"/>
        <v>-25608.739999999991</v>
      </c>
      <c r="P8" s="76">
        <f t="shared" si="4"/>
        <v>0.94608686315789481</v>
      </c>
    </row>
    <row r="9" spans="1:18">
      <c r="B9" s="75">
        <v>6815</v>
      </c>
      <c r="C9" s="75">
        <v>17050</v>
      </c>
      <c r="D9" s="75">
        <f t="shared" si="0"/>
        <v>-10235</v>
      </c>
      <c r="E9" s="76">
        <f>+B9/C9</f>
        <v>0.3997067448680352</v>
      </c>
      <c r="G9" s="65" t="s">
        <v>17</v>
      </c>
      <c r="I9" s="75">
        <v>437858</v>
      </c>
      <c r="J9" s="75">
        <v>393850</v>
      </c>
      <c r="K9" s="75">
        <f t="shared" si="1"/>
        <v>44008</v>
      </c>
      <c r="L9" s="76">
        <f t="shared" si="2"/>
        <v>1.111737971308874</v>
      </c>
      <c r="M9" s="76"/>
      <c r="N9" s="75">
        <v>445000</v>
      </c>
      <c r="O9" s="75">
        <f t="shared" si="3"/>
        <v>-7142</v>
      </c>
      <c r="P9" s="76">
        <f t="shared" si="4"/>
        <v>0.98395056179775275</v>
      </c>
    </row>
    <row r="10" spans="1:18">
      <c r="B10" s="75">
        <v>0</v>
      </c>
      <c r="C10" s="75">
        <v>0</v>
      </c>
      <c r="D10" s="75">
        <f t="shared" si="0"/>
        <v>0</v>
      </c>
      <c r="E10" s="76"/>
      <c r="G10" s="65" t="s">
        <v>18</v>
      </c>
      <c r="I10" s="75">
        <v>1876881.38</v>
      </c>
      <c r="J10" s="75">
        <v>1876000</v>
      </c>
      <c r="K10" s="75">
        <f t="shared" si="1"/>
        <v>881.37999999988824</v>
      </c>
      <c r="L10" s="76">
        <f t="shared" si="2"/>
        <v>1.0004698187633261</v>
      </c>
      <c r="M10" s="76"/>
      <c r="N10" s="75">
        <v>1876000</v>
      </c>
      <c r="O10" s="75">
        <f t="shared" si="3"/>
        <v>881.37999999988824</v>
      </c>
      <c r="P10" s="76">
        <f t="shared" si="4"/>
        <v>1.0004698187633261</v>
      </c>
    </row>
    <row r="11" spans="1:18">
      <c r="B11" s="75">
        <v>70548.740000000005</v>
      </c>
      <c r="C11" s="75">
        <v>99450</v>
      </c>
      <c r="D11" s="75">
        <f t="shared" si="0"/>
        <v>-28901.259999999995</v>
      </c>
      <c r="E11" s="76">
        <f>+B11/C11</f>
        <v>0.70938903971845158</v>
      </c>
      <c r="G11" s="65" t="s">
        <v>19</v>
      </c>
      <c r="I11" s="75">
        <v>601246.6</v>
      </c>
      <c r="J11" s="75">
        <v>459050</v>
      </c>
      <c r="K11" s="75">
        <f t="shared" si="1"/>
        <v>142196.59999999998</v>
      </c>
      <c r="L11" s="76">
        <f t="shared" si="2"/>
        <v>1.3097627709399846</v>
      </c>
      <c r="M11" s="76"/>
      <c r="N11" s="75">
        <v>600000</v>
      </c>
      <c r="O11" s="75">
        <f t="shared" si="3"/>
        <v>1246.5999999999767</v>
      </c>
      <c r="P11" s="76">
        <f t="shared" si="4"/>
        <v>1.0020776666666666</v>
      </c>
    </row>
    <row r="12" spans="1:18">
      <c r="B12" s="75">
        <v>10187.06</v>
      </c>
      <c r="C12" s="75">
        <v>13365</v>
      </c>
      <c r="D12" s="75">
        <f t="shared" si="0"/>
        <v>-3177.9400000000005</v>
      </c>
      <c r="E12" s="76">
        <f>+B12/C12</f>
        <v>0.76221922933034036</v>
      </c>
      <c r="G12" s="65" t="s">
        <v>20</v>
      </c>
      <c r="I12" s="75">
        <v>372323.88</v>
      </c>
      <c r="J12" s="75">
        <v>341105</v>
      </c>
      <c r="K12" s="75">
        <f t="shared" si="1"/>
        <v>31218.880000000005</v>
      </c>
      <c r="L12" s="76">
        <f t="shared" si="2"/>
        <v>1.0915227862388415</v>
      </c>
      <c r="M12" s="76"/>
      <c r="N12" s="75">
        <v>378500</v>
      </c>
      <c r="O12" s="75">
        <f t="shared" si="3"/>
        <v>-6176.1199999999953</v>
      </c>
      <c r="P12" s="76">
        <f t="shared" si="4"/>
        <v>0.98368264200792599</v>
      </c>
    </row>
    <row r="13" spans="1:18">
      <c r="B13" s="75">
        <f>303390.3-262797</f>
        <v>40593.299999999988</v>
      </c>
      <c r="C13" s="75">
        <f>249350-214365</f>
        <v>34985</v>
      </c>
      <c r="D13" s="75">
        <f t="shared" si="0"/>
        <v>5608.2999999999884</v>
      </c>
      <c r="E13" s="76">
        <f>+B13/C13</f>
        <v>1.1603058453622979</v>
      </c>
      <c r="G13" s="65" t="s">
        <v>21</v>
      </c>
      <c r="I13" s="75">
        <f>5973957.95-5309694</f>
        <v>664263.95000000019</v>
      </c>
      <c r="J13" s="75">
        <f>5397840-4782255</f>
        <v>615585</v>
      </c>
      <c r="K13" s="75">
        <f t="shared" si="1"/>
        <v>48678.950000000186</v>
      </c>
      <c r="L13" s="76">
        <f t="shared" si="2"/>
        <v>1.0790775441246947</v>
      </c>
      <c r="M13" s="76"/>
      <c r="N13" s="75">
        <f>5667000-5299500+455000</f>
        <v>822500</v>
      </c>
      <c r="O13" s="75">
        <f t="shared" si="3"/>
        <v>-158236.04999999981</v>
      </c>
      <c r="P13" s="76">
        <f t="shared" si="4"/>
        <v>0.80761574468085129</v>
      </c>
    </row>
    <row r="14" spans="1:18">
      <c r="B14" s="77">
        <f>SUM(B6:B13)</f>
        <v>303389.94</v>
      </c>
      <c r="C14" s="77">
        <f>SUM(C6:C13)</f>
        <v>249350</v>
      </c>
      <c r="D14" s="77">
        <f>SUM(D6:D13)</f>
        <v>54039.939999999988</v>
      </c>
      <c r="E14" s="76">
        <f>+B14/C14</f>
        <v>1.2167232404251054</v>
      </c>
      <c r="F14" s="62"/>
      <c r="G14" s="78" t="s">
        <v>22</v>
      </c>
      <c r="H14" s="62"/>
      <c r="I14" s="77">
        <f>SUM(I6:I13)</f>
        <v>5973957.6599999992</v>
      </c>
      <c r="J14" s="77">
        <f>SUM(J6:J13)</f>
        <v>5397840</v>
      </c>
      <c r="K14" s="77">
        <f>SUM(K6:K13)</f>
        <v>576117.66</v>
      </c>
      <c r="L14" s="76">
        <f t="shared" si="2"/>
        <v>1.1067311480147612</v>
      </c>
      <c r="M14" s="76"/>
      <c r="N14" s="77">
        <f>SUM(N6:N13)</f>
        <v>6122000</v>
      </c>
      <c r="O14" s="77">
        <f>SUM(O6:O13)</f>
        <v>-148042.33999999997</v>
      </c>
      <c r="P14" s="76">
        <f t="shared" si="4"/>
        <v>0.97581797778503743</v>
      </c>
      <c r="R14" s="79"/>
    </row>
    <row r="15" spans="1:18">
      <c r="E15" s="76"/>
      <c r="L15" s="80"/>
      <c r="M15" s="80"/>
      <c r="P15" s="80"/>
      <c r="R15" s="79"/>
    </row>
    <row r="16" spans="1:18" s="81" customFormat="1" ht="14.25">
      <c r="A16" s="65"/>
      <c r="B16" s="67">
        <f>+B81</f>
        <v>31767.278000000006</v>
      </c>
      <c r="C16" s="67">
        <f>+C81</f>
        <v>28000</v>
      </c>
      <c r="D16" s="67">
        <f>+B16-C16</f>
        <v>3767.2780000000057</v>
      </c>
      <c r="E16" s="76"/>
      <c r="F16" s="65"/>
      <c r="G16" s="78" t="s">
        <v>23</v>
      </c>
      <c r="H16" s="65"/>
      <c r="I16" s="67">
        <f>+I81</f>
        <v>445637.35499999998</v>
      </c>
      <c r="J16" s="67">
        <f>+J81</f>
        <v>401765</v>
      </c>
      <c r="K16" s="67">
        <f>+I16-J16</f>
        <v>43872.354999999981</v>
      </c>
      <c r="L16" s="80"/>
      <c r="N16" s="67">
        <f>+N81</f>
        <v>455000</v>
      </c>
    </row>
    <row r="17" spans="1:18" s="81" customFormat="1" ht="14.25">
      <c r="A17" s="65"/>
      <c r="B17" s="67"/>
      <c r="C17" s="67"/>
      <c r="D17" s="67"/>
      <c r="E17" s="76"/>
      <c r="F17" s="65"/>
      <c r="G17" s="62"/>
      <c r="H17" s="65"/>
      <c r="I17" s="67"/>
      <c r="J17" s="67"/>
      <c r="K17" s="67"/>
      <c r="L17" s="80"/>
      <c r="N17" s="67"/>
    </row>
    <row r="18" spans="1:18" s="81" customFormat="1" ht="14.25">
      <c r="A18" s="65"/>
      <c r="B18" s="77">
        <f>+B14-B16</f>
        <v>271622.66200000001</v>
      </c>
      <c r="C18" s="77">
        <f>+C14-C16</f>
        <v>221350</v>
      </c>
      <c r="D18" s="67"/>
      <c r="E18" s="76"/>
      <c r="F18" s="65"/>
      <c r="G18" s="78" t="s">
        <v>24</v>
      </c>
      <c r="H18" s="65"/>
      <c r="I18" s="77">
        <f>+I14-I16</f>
        <v>5528320.3049999997</v>
      </c>
      <c r="J18" s="77">
        <f>+J14-J16</f>
        <v>4996075</v>
      </c>
      <c r="K18" s="67"/>
      <c r="L18" s="80"/>
      <c r="N18" s="77">
        <f>+N14-N16</f>
        <v>5667000</v>
      </c>
      <c r="O18" s="67"/>
    </row>
    <row r="19" spans="1:18" s="81" customFormat="1" ht="14.25">
      <c r="A19" s="65"/>
      <c r="B19" s="67"/>
      <c r="C19" s="67"/>
      <c r="D19" s="67"/>
      <c r="E19" s="76"/>
      <c r="F19" s="65"/>
      <c r="G19" s="65"/>
      <c r="H19" s="65"/>
      <c r="I19" s="67"/>
      <c r="J19" s="67"/>
      <c r="K19" s="67"/>
      <c r="L19" s="80"/>
    </row>
    <row r="20" spans="1:18" s="62" customFormat="1" ht="24">
      <c r="B20" s="82">
        <f>+B4</f>
        <v>45657</v>
      </c>
      <c r="C20" s="83" t="s">
        <v>4</v>
      </c>
      <c r="D20" s="84" t="s">
        <v>5</v>
      </c>
      <c r="E20" s="85"/>
      <c r="G20" s="72" t="s">
        <v>25</v>
      </c>
      <c r="I20" s="86" t="str">
        <f>I4</f>
        <v>Actual April - December 2024</v>
      </c>
      <c r="J20" s="71" t="str">
        <f>J4</f>
        <v>Budgeted April - December 2024</v>
      </c>
      <c r="K20" s="70" t="s">
        <v>5</v>
      </c>
      <c r="L20" s="71" t="s">
        <v>6</v>
      </c>
      <c r="M20" s="74"/>
      <c r="N20" s="71" t="s">
        <v>26</v>
      </c>
      <c r="O20" s="70" t="s">
        <v>5</v>
      </c>
      <c r="P20" s="71" t="s">
        <v>12</v>
      </c>
      <c r="R20" s="79"/>
    </row>
    <row r="21" spans="1:18">
      <c r="E21" s="76"/>
      <c r="L21" s="80"/>
      <c r="M21" s="80"/>
      <c r="P21" s="80"/>
      <c r="R21" s="79"/>
    </row>
    <row r="22" spans="1:18">
      <c r="B22" s="75">
        <v>30723.91</v>
      </c>
      <c r="C22" s="75">
        <v>39930</v>
      </c>
      <c r="D22" s="75">
        <f>B22-C22</f>
        <v>-9206.09</v>
      </c>
      <c r="E22" s="76">
        <f>+B22/C22</f>
        <v>0.76944427748559985</v>
      </c>
      <c r="G22" s="65" t="s">
        <v>27</v>
      </c>
      <c r="I22" s="75">
        <v>345716.65</v>
      </c>
      <c r="J22" s="75">
        <v>333500</v>
      </c>
      <c r="K22" s="75">
        <f>I22-J22</f>
        <v>12216.650000000023</v>
      </c>
      <c r="L22" s="76">
        <f>+I22/J22</f>
        <v>1.0366316341829087</v>
      </c>
      <c r="M22" s="76"/>
      <c r="N22" s="75">
        <v>417500</v>
      </c>
      <c r="O22" s="75">
        <f>I22-N22</f>
        <v>-71783.349999999977</v>
      </c>
      <c r="P22" s="76">
        <f>+I22/N22</f>
        <v>0.82806383233532943</v>
      </c>
      <c r="R22" s="79"/>
    </row>
    <row r="23" spans="1:18">
      <c r="B23" s="75">
        <v>5133.53</v>
      </c>
      <c r="C23" s="75">
        <v>11875</v>
      </c>
      <c r="D23" s="75">
        <f>B23-C23</f>
        <v>-6741.47</v>
      </c>
      <c r="E23" s="76">
        <f>+B23/C23</f>
        <v>0.43229726315789474</v>
      </c>
      <c r="G23" s="65" t="s">
        <v>28</v>
      </c>
      <c r="I23" s="75">
        <v>97795.14</v>
      </c>
      <c r="J23" s="75">
        <v>106875</v>
      </c>
      <c r="K23" s="75">
        <f>I23-J23</f>
        <v>-9079.86</v>
      </c>
      <c r="L23" s="76">
        <f>+I23/J23</f>
        <v>0.91504224561403513</v>
      </c>
      <c r="M23" s="76"/>
      <c r="N23" s="75">
        <v>144000</v>
      </c>
      <c r="O23" s="75">
        <f>I23-N23</f>
        <v>-46204.86</v>
      </c>
      <c r="P23" s="76">
        <f>+I23/N23</f>
        <v>0.67913291666666664</v>
      </c>
      <c r="R23" s="79"/>
    </row>
    <row r="24" spans="1:18" s="62" customFormat="1">
      <c r="B24" s="87">
        <f>SUM(B22:B23)</f>
        <v>35857.440000000002</v>
      </c>
      <c r="C24" s="87">
        <f>SUM(C22:C23)</f>
        <v>51805</v>
      </c>
      <c r="D24" s="87">
        <f>+B24-C24</f>
        <v>-15947.559999999998</v>
      </c>
      <c r="E24" s="76">
        <f>+B24/C24</f>
        <v>0.69216176044783329</v>
      </c>
      <c r="G24" s="62" t="s">
        <v>29</v>
      </c>
      <c r="I24" s="87">
        <f>SUM(I22:I23)</f>
        <v>443511.79000000004</v>
      </c>
      <c r="J24" s="87">
        <f>SUM(J22:J23)</f>
        <v>440375</v>
      </c>
      <c r="K24" s="87">
        <f>SUM(K22:K23)</f>
        <v>3136.7900000000227</v>
      </c>
      <c r="L24" s="76">
        <f>+I24/J24</f>
        <v>1.007122997445359</v>
      </c>
      <c r="M24" s="76"/>
      <c r="N24" s="87">
        <f>SUM(N22:N23)</f>
        <v>561500</v>
      </c>
      <c r="O24" s="87">
        <f>SUM(O22:O23)</f>
        <v>-117988.20999999998</v>
      </c>
      <c r="P24" s="76">
        <f>+I24/N24</f>
        <v>0.78986961709706149</v>
      </c>
      <c r="R24" s="79"/>
    </row>
    <row r="25" spans="1:18">
      <c r="B25" s="67"/>
      <c r="C25" s="67"/>
      <c r="E25" s="76"/>
      <c r="I25" s="67"/>
      <c r="J25" s="67"/>
      <c r="L25" s="80"/>
      <c r="M25" s="80"/>
      <c r="N25" s="67"/>
      <c r="P25" s="80"/>
      <c r="R25" s="79"/>
    </row>
    <row r="26" spans="1:18">
      <c r="B26" s="75">
        <v>37421.82</v>
      </c>
      <c r="C26" s="75">
        <v>38124</v>
      </c>
      <c r="D26" s="75">
        <f>B26-C26</f>
        <v>-702.18000000000029</v>
      </c>
      <c r="E26" s="76">
        <f>+B26/C26</f>
        <v>0.98158168083097264</v>
      </c>
      <c r="G26" s="65" t="s">
        <v>30</v>
      </c>
      <c r="I26" s="75">
        <v>327909.36</v>
      </c>
      <c r="J26" s="75">
        <v>359140</v>
      </c>
      <c r="K26" s="75">
        <f>I26-J26</f>
        <v>-31230.640000000014</v>
      </c>
      <c r="L26" s="76">
        <f>+I26/J26</f>
        <v>0.91304048560449957</v>
      </c>
      <c r="M26" s="76"/>
      <c r="N26" s="75">
        <v>489536</v>
      </c>
      <c r="O26" s="75">
        <f>I26-N26</f>
        <v>-161626.64000000001</v>
      </c>
      <c r="P26" s="76">
        <f>+I26/N26</f>
        <v>0.66983707020525551</v>
      </c>
      <c r="R26" s="79"/>
    </row>
    <row r="27" spans="1:18">
      <c r="B27" s="75">
        <v>1.22</v>
      </c>
      <c r="C27" s="75">
        <v>1</v>
      </c>
      <c r="D27" s="75">
        <f>B27-C27</f>
        <v>0.21999999999999997</v>
      </c>
      <c r="E27" s="76">
        <f>+B27/C27</f>
        <v>1.22</v>
      </c>
      <c r="G27" s="65" t="s">
        <v>31</v>
      </c>
      <c r="I27" s="75">
        <v>3432.15</v>
      </c>
      <c r="J27" s="75">
        <v>5461</v>
      </c>
      <c r="K27" s="75">
        <f>I27-J27</f>
        <v>-2028.85</v>
      </c>
      <c r="L27" s="76">
        <f>+I27/J27</f>
        <v>0.62848379417689071</v>
      </c>
      <c r="M27" s="76"/>
      <c r="N27" s="75">
        <v>5465</v>
      </c>
      <c r="O27" s="75">
        <f>I27-N27</f>
        <v>-2032.85</v>
      </c>
      <c r="P27" s="76">
        <f>+I27/N27</f>
        <v>0.62802378774016465</v>
      </c>
      <c r="R27" s="79"/>
    </row>
    <row r="28" spans="1:18">
      <c r="B28" s="75">
        <f>58477.98-37423</f>
        <v>21054.980000000003</v>
      </c>
      <c r="C28" s="75">
        <f>63495-38125</f>
        <v>25370</v>
      </c>
      <c r="D28" s="75">
        <f>B28-C28</f>
        <v>-4315.0199999999968</v>
      </c>
      <c r="E28" s="76">
        <f>+B28/C28</f>
        <v>0.82991643673630289</v>
      </c>
      <c r="G28" s="65" t="s">
        <v>32</v>
      </c>
      <c r="I28" s="75">
        <f>492509.58-331342</f>
        <v>161167.58000000002</v>
      </c>
      <c r="J28" s="75">
        <f>593491-364601-75000</f>
        <v>153890</v>
      </c>
      <c r="K28" s="75">
        <f>I28-J28</f>
        <v>7277.5800000000163</v>
      </c>
      <c r="L28" s="76">
        <f>+I28/J28</f>
        <v>1.0472907921242447</v>
      </c>
      <c r="M28" s="76"/>
      <c r="N28" s="75">
        <f>800001-495001-75000</f>
        <v>230000</v>
      </c>
      <c r="O28" s="75">
        <f>I28-N28</f>
        <v>-68832.419999999984</v>
      </c>
      <c r="P28" s="76">
        <f>+I28/N28</f>
        <v>0.70072860869565223</v>
      </c>
      <c r="R28" s="79"/>
    </row>
    <row r="29" spans="1:18" s="62" customFormat="1">
      <c r="B29" s="87">
        <f>SUM(B26:B28)</f>
        <v>58478.020000000004</v>
      </c>
      <c r="C29" s="87">
        <f>SUM(C26:C28)</f>
        <v>63495</v>
      </c>
      <c r="D29" s="87">
        <f>+B29-C29</f>
        <v>-5016.9799999999959</v>
      </c>
      <c r="E29" s="76">
        <f>+B29/C29</f>
        <v>0.92098621938735337</v>
      </c>
      <c r="G29" s="62" t="s">
        <v>33</v>
      </c>
      <c r="I29" s="87">
        <f>SUM(I26:I28)</f>
        <v>492509.09</v>
      </c>
      <c r="J29" s="87">
        <f>SUM(J26:J28)</f>
        <v>518491</v>
      </c>
      <c r="K29" s="87">
        <f>SUM(K26:K28)</f>
        <v>-25981.909999999996</v>
      </c>
      <c r="L29" s="76">
        <f>+I29/J29</f>
        <v>0.94988937127163253</v>
      </c>
      <c r="M29" s="76"/>
      <c r="N29" s="87">
        <f>SUM(N26:N28)</f>
        <v>725001</v>
      </c>
      <c r="O29" s="87">
        <f>SUM(O26:O28)</f>
        <v>-232491.91</v>
      </c>
      <c r="P29" s="76">
        <f>+I29/N29</f>
        <v>0.67932194576283345</v>
      </c>
      <c r="R29" s="79"/>
    </row>
    <row r="30" spans="1:18">
      <c r="B30" s="67"/>
      <c r="C30" s="67"/>
      <c r="E30" s="76"/>
      <c r="I30" s="67"/>
      <c r="J30" s="67"/>
      <c r="L30" s="80"/>
      <c r="M30" s="80"/>
      <c r="N30" s="67"/>
      <c r="P30" s="80"/>
      <c r="R30" s="79"/>
    </row>
    <row r="31" spans="1:18">
      <c r="A31" s="65" t="s">
        <v>14</v>
      </c>
      <c r="B31" s="75">
        <v>153411.07</v>
      </c>
      <c r="C31" s="75">
        <v>151414</v>
      </c>
      <c r="D31" s="75">
        <f>B31-C31</f>
        <v>1997.070000000007</v>
      </c>
      <c r="E31" s="76">
        <f>+B31/C31</f>
        <v>1.0131894672883617</v>
      </c>
      <c r="G31" s="65" t="s">
        <v>34</v>
      </c>
      <c r="I31" s="75">
        <v>1432557.09</v>
      </c>
      <c r="J31" s="75">
        <v>1468028</v>
      </c>
      <c r="K31" s="75">
        <f>I31-J31</f>
        <v>-35470.909999999916</v>
      </c>
      <c r="L31" s="76">
        <f>+I31/J31</f>
        <v>0.97583771562940225</v>
      </c>
      <c r="M31" s="76"/>
      <c r="N31" s="75">
        <v>1994565</v>
      </c>
      <c r="O31" s="75">
        <f>I31-N31</f>
        <v>-562007.90999999992</v>
      </c>
      <c r="P31" s="76">
        <f>+I31/N31</f>
        <v>0.7182303359379113</v>
      </c>
      <c r="R31" s="79"/>
    </row>
    <row r="32" spans="1:18">
      <c r="B32" s="75">
        <v>38049.46</v>
      </c>
      <c r="C32" s="75">
        <v>38682</v>
      </c>
      <c r="D32" s="75">
        <f>B32-C32</f>
        <v>-632.54000000000087</v>
      </c>
      <c r="E32" s="76">
        <f>+B32/C32</f>
        <v>0.98364769143270769</v>
      </c>
      <c r="G32" s="65" t="s">
        <v>35</v>
      </c>
      <c r="I32" s="75">
        <v>355229.77</v>
      </c>
      <c r="J32" s="75">
        <v>364440</v>
      </c>
      <c r="K32" s="75">
        <f>I32-J32</f>
        <v>-9210.2299999999814</v>
      </c>
      <c r="L32" s="76">
        <f>+I32/J32</f>
        <v>0.97472771924047863</v>
      </c>
      <c r="M32" s="76"/>
      <c r="N32" s="75">
        <v>494079</v>
      </c>
      <c r="O32" s="75">
        <f>I32-N32</f>
        <v>-138849.22999999998</v>
      </c>
      <c r="P32" s="76">
        <f>+I32/N32</f>
        <v>0.71897362567524625</v>
      </c>
      <c r="R32" s="79"/>
    </row>
    <row r="33" spans="2:18">
      <c r="B33" s="75">
        <v>2778.57</v>
      </c>
      <c r="C33" s="75">
        <v>2040</v>
      </c>
      <c r="D33" s="75">
        <f>B33-C33</f>
        <v>738.57000000000016</v>
      </c>
      <c r="E33" s="76">
        <f>+B33/C33</f>
        <v>1.3620441176470588</v>
      </c>
      <c r="G33" s="65" t="s">
        <v>36</v>
      </c>
      <c r="I33" s="75">
        <v>215772.35</v>
      </c>
      <c r="J33" s="75">
        <v>224930</v>
      </c>
      <c r="K33" s="75">
        <f>I33-J33</f>
        <v>-9157.6499999999942</v>
      </c>
      <c r="L33" s="76">
        <f>+I33/J33</f>
        <v>0.9592866669630552</v>
      </c>
      <c r="M33" s="76"/>
      <c r="N33" s="75">
        <v>231060</v>
      </c>
      <c r="O33" s="75">
        <f>I33-N33</f>
        <v>-15287.649999999994</v>
      </c>
      <c r="P33" s="76">
        <f>+I33/N33</f>
        <v>0.93383688219510086</v>
      </c>
      <c r="R33" s="79"/>
    </row>
    <row r="34" spans="2:18">
      <c r="B34" s="75">
        <f>234371.49-194239</f>
        <v>40132.489999999991</v>
      </c>
      <c r="C34" s="75">
        <f>229261-192136</f>
        <v>37125</v>
      </c>
      <c r="D34" s="75">
        <f>B34-C34</f>
        <v>3007.4899999999907</v>
      </c>
      <c r="E34" s="76">
        <f>+B34/C34</f>
        <v>1.0810098316498313</v>
      </c>
      <c r="G34" s="65" t="s">
        <v>37</v>
      </c>
      <c r="I34" s="75">
        <f>2381654.59-2003559</f>
        <v>378095.58999999985</v>
      </c>
      <c r="J34" s="75">
        <f>2391473-2057398</f>
        <v>334075</v>
      </c>
      <c r="K34" s="75">
        <f>I34-J34</f>
        <v>44020.589999999851</v>
      </c>
      <c r="L34" s="76">
        <f>+I34/J34</f>
        <v>1.1317685848986001</v>
      </c>
      <c r="M34" s="76"/>
      <c r="N34" s="75">
        <f>3165204-2719704</f>
        <v>445500</v>
      </c>
      <c r="O34" s="75">
        <f>I34-N34</f>
        <v>-67404.410000000149</v>
      </c>
      <c r="P34" s="76">
        <f>+I34/N34</f>
        <v>0.84869941638608271</v>
      </c>
      <c r="R34" s="79"/>
    </row>
    <row r="35" spans="2:18" s="62" customFormat="1">
      <c r="B35" s="87">
        <f>SUM(B31:B34)</f>
        <v>234371.59</v>
      </c>
      <c r="C35" s="87">
        <f>SUM(C31:C34)</f>
        <v>229261</v>
      </c>
      <c r="D35" s="87">
        <f>+B35-C35</f>
        <v>5110.5899999999965</v>
      </c>
      <c r="E35" s="76">
        <f>+B35/C35</f>
        <v>1.0222915803385662</v>
      </c>
      <c r="G35" s="62" t="s">
        <v>38</v>
      </c>
      <c r="I35" s="87">
        <f>SUM(I31:I34)</f>
        <v>2381654.7999999998</v>
      </c>
      <c r="J35" s="87">
        <f>SUM(J31:J34)</f>
        <v>2391473</v>
      </c>
      <c r="K35" s="87">
        <f>SUM(K31:K34)</f>
        <v>-9818.2000000000407</v>
      </c>
      <c r="L35" s="76">
        <f>+I35/J35</f>
        <v>0.99589449682266951</v>
      </c>
      <c r="M35" s="76"/>
      <c r="N35" s="87">
        <f>SUM(N31:N34)</f>
        <v>3165204</v>
      </c>
      <c r="O35" s="87">
        <f>SUM(O31:O34)</f>
        <v>-783549.20000000007</v>
      </c>
      <c r="P35" s="76">
        <f>+I35/N35</f>
        <v>0.75244906805374945</v>
      </c>
      <c r="R35" s="79"/>
    </row>
    <row r="36" spans="2:18">
      <c r="B36" s="67"/>
      <c r="C36" s="67"/>
      <c r="E36" s="76"/>
      <c r="I36" s="67"/>
      <c r="J36" s="67"/>
      <c r="L36" s="80"/>
      <c r="M36" s="80"/>
      <c r="N36" s="67"/>
      <c r="P36" s="80"/>
      <c r="R36" s="79"/>
    </row>
    <row r="37" spans="2:18">
      <c r="B37" s="75">
        <v>15546.75</v>
      </c>
      <c r="C37" s="75">
        <v>13425</v>
      </c>
      <c r="D37" s="75">
        <f>B37-C37</f>
        <v>2121.75</v>
      </c>
      <c r="E37" s="76">
        <f>+B37/C37</f>
        <v>1.1580446927374302</v>
      </c>
      <c r="G37" s="65" t="s">
        <v>39</v>
      </c>
      <c r="I37" s="75">
        <v>135357.62</v>
      </c>
      <c r="J37" s="75">
        <v>125228</v>
      </c>
      <c r="K37" s="75">
        <f>I37-J37</f>
        <v>10129.619999999995</v>
      </c>
      <c r="L37" s="76">
        <f>+I37/J37</f>
        <v>1.0808894177021113</v>
      </c>
      <c r="M37" s="76"/>
      <c r="N37" s="75">
        <v>169926</v>
      </c>
      <c r="O37" s="75">
        <f>I37-N37</f>
        <v>-34568.380000000005</v>
      </c>
      <c r="P37" s="76">
        <f>+I37/N37</f>
        <v>0.79656803549780486</v>
      </c>
      <c r="R37" s="79"/>
    </row>
    <row r="38" spans="2:18">
      <c r="B38" s="75">
        <v>146.22999999999999</v>
      </c>
      <c r="C38" s="75">
        <v>0</v>
      </c>
      <c r="D38" s="75">
        <f>B38-C38</f>
        <v>146.22999999999999</v>
      </c>
      <c r="E38" s="76"/>
      <c r="G38" s="65" t="s">
        <v>40</v>
      </c>
      <c r="I38" s="75">
        <v>13289.47</v>
      </c>
      <c r="J38" s="75">
        <v>10900</v>
      </c>
      <c r="K38" s="75">
        <f>I38-J38</f>
        <v>2389.4699999999993</v>
      </c>
      <c r="L38" s="76">
        <f>+I38/J38</f>
        <v>1.2192174311926605</v>
      </c>
      <c r="M38" s="76"/>
      <c r="N38" s="75">
        <v>10900</v>
      </c>
      <c r="O38" s="75">
        <f>I38-N38</f>
        <v>2389.4699999999993</v>
      </c>
      <c r="P38" s="76">
        <f>+I38/N38</f>
        <v>1.2192174311926605</v>
      </c>
      <c r="R38" s="79"/>
    </row>
    <row r="39" spans="2:18">
      <c r="B39" s="75">
        <f>16508.2-15547</f>
        <v>961.20000000000073</v>
      </c>
      <c r="C39" s="75">
        <f>15252-13425</f>
        <v>1827</v>
      </c>
      <c r="D39" s="75">
        <f>B39-C39</f>
        <v>-865.79999999999927</v>
      </c>
      <c r="E39" s="76">
        <f>+B39/C39</f>
        <v>0.52610837438423685</v>
      </c>
      <c r="G39" s="65" t="s">
        <v>41</v>
      </c>
      <c r="I39" s="75">
        <f>163319.76-135358</f>
        <v>27961.760000000009</v>
      </c>
      <c r="J39" s="75">
        <f>152295-125228</f>
        <v>27067</v>
      </c>
      <c r="K39" s="75">
        <f>I39-J39</f>
        <v>894.76000000000931</v>
      </c>
      <c r="L39" s="76">
        <f>+I39/J39</f>
        <v>1.033057228359257</v>
      </c>
      <c r="M39" s="76"/>
      <c r="N39" s="75">
        <f>202476-180826</f>
        <v>21650</v>
      </c>
      <c r="O39" s="75">
        <f>I39-N39</f>
        <v>6311.7600000000093</v>
      </c>
      <c r="P39" s="76">
        <f>+I39/N39</f>
        <v>1.2915362586605086</v>
      </c>
      <c r="R39" s="79"/>
    </row>
    <row r="40" spans="2:18" s="62" customFormat="1">
      <c r="B40" s="87">
        <f>B39+B37</f>
        <v>16507.95</v>
      </c>
      <c r="C40" s="87">
        <f>C39+C37</f>
        <v>15252</v>
      </c>
      <c r="D40" s="87">
        <f>+B40-C40</f>
        <v>1255.9500000000007</v>
      </c>
      <c r="E40" s="76">
        <f>+B40/C40</f>
        <v>1.0823465774980332</v>
      </c>
      <c r="G40" s="62" t="s">
        <v>42</v>
      </c>
      <c r="I40" s="87">
        <f>I39+I37</f>
        <v>163319.38</v>
      </c>
      <c r="J40" s="87">
        <f>J39+J37</f>
        <v>152295</v>
      </c>
      <c r="K40" s="87">
        <f>K39+K37</f>
        <v>11024.380000000005</v>
      </c>
      <c r="L40" s="76">
        <f>+I40/J40</f>
        <v>1.0723883252897337</v>
      </c>
      <c r="M40" s="76"/>
      <c r="N40" s="87">
        <f>SUM(N37:N39)</f>
        <v>202476</v>
      </c>
      <c r="O40" s="87">
        <f>SUM(O37:O39)</f>
        <v>-25867.149999999994</v>
      </c>
      <c r="P40" s="76">
        <f>+I40/N40</f>
        <v>0.80661105513739906</v>
      </c>
      <c r="R40" s="79"/>
    </row>
    <row r="41" spans="2:18">
      <c r="B41" s="67"/>
      <c r="C41" s="67"/>
      <c r="E41" s="76"/>
      <c r="I41" s="67"/>
      <c r="J41" s="67"/>
      <c r="L41" s="80"/>
      <c r="M41" s="80"/>
      <c r="N41" s="67"/>
      <c r="P41" s="80"/>
      <c r="R41" s="79"/>
    </row>
    <row r="42" spans="2:18">
      <c r="B42" s="75">
        <v>7834.57</v>
      </c>
      <c r="C42" s="75">
        <v>9275</v>
      </c>
      <c r="D42" s="75">
        <f>B42-C42</f>
        <v>-1440.4300000000003</v>
      </c>
      <c r="E42" s="76">
        <f>+B42/C42</f>
        <v>0.84469757412398916</v>
      </c>
      <c r="G42" s="65" t="s">
        <v>43</v>
      </c>
      <c r="I42" s="75">
        <v>91728.82</v>
      </c>
      <c r="J42" s="75">
        <v>86523</v>
      </c>
      <c r="K42" s="75">
        <f>I42-J42</f>
        <v>5205.820000000007</v>
      </c>
      <c r="L42" s="76">
        <f>+I42/J42</f>
        <v>1.0601668920402669</v>
      </c>
      <c r="M42" s="76"/>
      <c r="N42" s="75">
        <v>117412</v>
      </c>
      <c r="O42" s="75">
        <f>I42-N42</f>
        <v>-25683.179999999993</v>
      </c>
      <c r="P42" s="76">
        <f>+I42/N42</f>
        <v>0.78125591932681504</v>
      </c>
      <c r="R42" s="79"/>
    </row>
    <row r="43" spans="2:18">
      <c r="B43" s="75">
        <v>29.86</v>
      </c>
      <c r="C43" s="75">
        <v>31</v>
      </c>
      <c r="D43" s="75">
        <f>B43-C43</f>
        <v>-1.1400000000000006</v>
      </c>
      <c r="E43" s="76">
        <f>+B43/C43</f>
        <v>0.96322580645161293</v>
      </c>
      <c r="G43" s="65" t="s">
        <v>44</v>
      </c>
      <c r="I43" s="75">
        <v>98522.05</v>
      </c>
      <c r="J43" s="75">
        <v>94850</v>
      </c>
      <c r="K43" s="75">
        <f>I43-J43</f>
        <v>3672.0500000000029</v>
      </c>
      <c r="L43" s="76">
        <f>+I43/J43</f>
        <v>1.0387142857142857</v>
      </c>
      <c r="M43" s="76"/>
      <c r="N43" s="75">
        <v>94941.3</v>
      </c>
      <c r="O43" s="75">
        <f>I43-N43</f>
        <v>3580.75</v>
      </c>
      <c r="P43" s="76">
        <f>+I43/N43</f>
        <v>1.037715409416134</v>
      </c>
      <c r="R43" s="79"/>
    </row>
    <row r="44" spans="2:18">
      <c r="B44" s="75">
        <f>10219.93-7864</f>
        <v>2355.9300000000003</v>
      </c>
      <c r="C44" s="75">
        <f>11659-9306</f>
        <v>2353</v>
      </c>
      <c r="D44" s="75">
        <f>B44-C44</f>
        <v>2.930000000000291</v>
      </c>
      <c r="E44" s="76">
        <f>+B44/C44</f>
        <v>1.0012452188695284</v>
      </c>
      <c r="G44" s="65" t="s">
        <v>45</v>
      </c>
      <c r="I44" s="75">
        <f>206504.95-190251</f>
        <v>16253.950000000012</v>
      </c>
      <c r="J44" s="75">
        <f>202520-181373</f>
        <v>21147</v>
      </c>
      <c r="K44" s="75">
        <f>I44-J44</f>
        <v>-4893.0499999999884</v>
      </c>
      <c r="L44" s="76">
        <f>+I44/J44</f>
        <v>0.76861729796188638</v>
      </c>
      <c r="M44" s="76"/>
      <c r="N44" s="75">
        <f>240563.3-212353</f>
        <v>28210.299999999988</v>
      </c>
      <c r="O44" s="75">
        <f>I44-N44</f>
        <v>-11956.349999999977</v>
      </c>
      <c r="P44" s="76">
        <f>+I44/N44</f>
        <v>0.57617076032513015</v>
      </c>
      <c r="R44" s="79"/>
    </row>
    <row r="45" spans="2:18" s="62" customFormat="1">
      <c r="B45" s="87">
        <f>SUM(B42:B44)</f>
        <v>10220.36</v>
      </c>
      <c r="C45" s="87">
        <f>SUM(C42:C44)</f>
        <v>11659</v>
      </c>
      <c r="D45" s="87">
        <f>+B45-C45</f>
        <v>-1438.6399999999994</v>
      </c>
      <c r="E45" s="76">
        <f>+B45/C45</f>
        <v>0.87660691311433236</v>
      </c>
      <c r="G45" s="62" t="s">
        <v>46</v>
      </c>
      <c r="I45" s="87">
        <f>SUM(I42:I44)</f>
        <v>206504.82</v>
      </c>
      <c r="J45" s="87">
        <f>SUM(J42:J44)</f>
        <v>202520</v>
      </c>
      <c r="K45" s="87">
        <f>SUM(K42:K44)</f>
        <v>3984.8200000000215</v>
      </c>
      <c r="L45" s="76">
        <f>+I45/J45</f>
        <v>1.0196761801303575</v>
      </c>
      <c r="M45" s="76"/>
      <c r="N45" s="87">
        <f>SUM(N42:N44)</f>
        <v>240563.59999999998</v>
      </c>
      <c r="O45" s="87">
        <f>SUM(O42:O44)</f>
        <v>-34058.77999999997</v>
      </c>
      <c r="P45" s="76">
        <f>+I45/N45</f>
        <v>0.85842089160621149</v>
      </c>
      <c r="R45" s="79"/>
    </row>
    <row r="46" spans="2:18">
      <c r="B46" s="67"/>
      <c r="C46" s="67"/>
      <c r="E46" s="76"/>
      <c r="I46" s="67"/>
      <c r="J46" s="67"/>
      <c r="L46" s="80"/>
      <c r="M46" s="80"/>
      <c r="N46" s="67"/>
      <c r="P46" s="80"/>
      <c r="R46" s="79"/>
    </row>
    <row r="47" spans="2:18" s="62" customFormat="1">
      <c r="B47" s="87">
        <v>9496.81</v>
      </c>
      <c r="C47" s="87">
        <v>11368</v>
      </c>
      <c r="D47" s="87">
        <f>+B47-C47</f>
        <v>-1871.1900000000005</v>
      </c>
      <c r="E47" s="76">
        <f>+B47/C47</f>
        <v>0.83539848698099928</v>
      </c>
      <c r="G47" s="62" t="s">
        <v>47</v>
      </c>
      <c r="I47" s="87">
        <v>100062.54</v>
      </c>
      <c r="J47" s="87">
        <v>106926</v>
      </c>
      <c r="K47" s="87">
        <f>I47-J47</f>
        <v>-6863.4600000000064</v>
      </c>
      <c r="L47" s="76">
        <f>+I47/J47</f>
        <v>0.93581112171034164</v>
      </c>
      <c r="M47" s="76"/>
      <c r="N47" s="87">
        <v>145714</v>
      </c>
      <c r="O47" s="87">
        <f>I47-N47</f>
        <v>-45651.460000000006</v>
      </c>
      <c r="P47" s="76">
        <f>+I47/N47</f>
        <v>0.68670505236284773</v>
      </c>
      <c r="R47" s="79"/>
    </row>
    <row r="48" spans="2:18">
      <c r="B48" s="67"/>
      <c r="C48" s="67"/>
      <c r="E48" s="76"/>
      <c r="I48" s="67"/>
      <c r="J48" s="67"/>
      <c r="L48" s="80"/>
      <c r="M48" s="80"/>
      <c r="N48" s="67"/>
      <c r="P48" s="80"/>
      <c r="R48" s="79"/>
    </row>
    <row r="49" spans="1:18" s="62" customFormat="1">
      <c r="B49" s="87">
        <v>2827.32</v>
      </c>
      <c r="C49" s="87">
        <v>3555</v>
      </c>
      <c r="D49" s="87">
        <f>+B49-C49</f>
        <v>-727.67999999999984</v>
      </c>
      <c r="E49" s="76">
        <f>+B49/C49</f>
        <v>0.79530801687763719</v>
      </c>
      <c r="G49" s="62" t="s">
        <v>48</v>
      </c>
      <c r="I49" s="87">
        <v>32127.93</v>
      </c>
      <c r="J49" s="87">
        <v>33277</v>
      </c>
      <c r="K49" s="87">
        <f>I49-J49</f>
        <v>-1149.0699999999997</v>
      </c>
      <c r="L49" s="76">
        <f>+I49/J49</f>
        <v>0.96546954352856329</v>
      </c>
      <c r="M49" s="76"/>
      <c r="N49" s="87">
        <v>45232</v>
      </c>
      <c r="O49" s="87">
        <f>I49-N49</f>
        <v>-13104.07</v>
      </c>
      <c r="P49" s="76">
        <f>+I49/N49</f>
        <v>0.71029204987619388</v>
      </c>
      <c r="R49" s="79"/>
    </row>
    <row r="50" spans="1:18">
      <c r="B50" s="67"/>
      <c r="C50" s="67"/>
      <c r="E50" s="76"/>
      <c r="I50" s="67"/>
      <c r="J50" s="67"/>
      <c r="L50" s="80"/>
      <c r="M50" s="80"/>
      <c r="N50" s="67"/>
      <c r="P50" s="80"/>
      <c r="R50" s="79"/>
    </row>
    <row r="51" spans="1:18">
      <c r="B51" s="75">
        <v>2210.79</v>
      </c>
      <c r="C51" s="75">
        <v>2200</v>
      </c>
      <c r="D51" s="75">
        <f>B51-C51</f>
        <v>10.789999999999964</v>
      </c>
      <c r="E51" s="76">
        <f>+B51/C51</f>
        <v>1.0049045454545453</v>
      </c>
      <c r="G51" s="65" t="s">
        <v>49</v>
      </c>
      <c r="I51" s="75">
        <v>20744.669999999998</v>
      </c>
      <c r="J51" s="75">
        <v>20839</v>
      </c>
      <c r="K51" s="75">
        <f>I51-J51</f>
        <v>-94.330000000001746</v>
      </c>
      <c r="L51" s="76">
        <f>+I51/J51</f>
        <v>0.99547339123758327</v>
      </c>
      <c r="M51" s="76"/>
      <c r="N51" s="75">
        <v>28474</v>
      </c>
      <c r="O51" s="75">
        <f>I51-N51</f>
        <v>-7729.3300000000017</v>
      </c>
      <c r="P51" s="76">
        <f>+I51/N51</f>
        <v>0.72854779799114977</v>
      </c>
      <c r="R51" s="79"/>
    </row>
    <row r="52" spans="1:18">
      <c r="B52" s="75">
        <v>1009.36</v>
      </c>
      <c r="C52" s="75">
        <v>1032</v>
      </c>
      <c r="D52" s="75">
        <f>B52-C52</f>
        <v>-22.639999999999986</v>
      </c>
      <c r="E52" s="76">
        <f>+B52/C52</f>
        <v>0.97806201550387595</v>
      </c>
      <c r="G52" s="65" t="s">
        <v>50</v>
      </c>
      <c r="I52" s="75">
        <v>440955.93</v>
      </c>
      <c r="J52" s="75">
        <v>457477</v>
      </c>
      <c r="K52" s="75">
        <f>I52-J52</f>
        <v>-16521.070000000007</v>
      </c>
      <c r="L52" s="76">
        <f>+I52/J52</f>
        <v>0.96388655604544049</v>
      </c>
      <c r="M52" s="76"/>
      <c r="N52" s="75">
        <v>465573.12</v>
      </c>
      <c r="O52" s="75">
        <f>I52-N52</f>
        <v>-24617.190000000002</v>
      </c>
      <c r="P52" s="76">
        <f>+I52/N52</f>
        <v>0.94712497577179711</v>
      </c>
      <c r="R52" s="79"/>
    </row>
    <row r="53" spans="1:18">
      <c r="B53" s="75">
        <f>6738.74-3220</f>
        <v>3518.74</v>
      </c>
      <c r="C53" s="75">
        <f>4323-3232</f>
        <v>1091</v>
      </c>
      <c r="D53" s="75">
        <f>B53-C53</f>
        <v>2427.7399999999998</v>
      </c>
      <c r="E53" s="76">
        <f>+B53/C53</f>
        <v>3.2252428964252977</v>
      </c>
      <c r="G53" s="65" t="s">
        <v>51</v>
      </c>
      <c r="I53" s="75">
        <f>490884.84-461701</f>
        <v>29183.840000000026</v>
      </c>
      <c r="J53" s="75">
        <f>507132-478316</f>
        <v>28816</v>
      </c>
      <c r="K53" s="75">
        <f>I53-J53</f>
        <v>367.84000000002561</v>
      </c>
      <c r="L53" s="76">
        <f>+I53/J53</f>
        <v>1.0127651304830658</v>
      </c>
      <c r="M53" s="76"/>
      <c r="N53" s="75">
        <f>528137.12-494047</f>
        <v>34090.119999999995</v>
      </c>
      <c r="O53" s="75">
        <f>I53-N53</f>
        <v>-4906.2799999999697</v>
      </c>
      <c r="P53" s="76">
        <f>+I53/N53</f>
        <v>0.85607912204474579</v>
      </c>
      <c r="R53" s="79"/>
    </row>
    <row r="54" spans="1:18" s="62" customFormat="1">
      <c r="B54" s="87">
        <f>B53+B52+B51</f>
        <v>6738.8899999999994</v>
      </c>
      <c r="C54" s="87">
        <f>C53+C52+C51</f>
        <v>4323</v>
      </c>
      <c r="D54" s="87">
        <f>+B54-C54</f>
        <v>2415.8899999999994</v>
      </c>
      <c r="E54" s="76">
        <f>+B54/C54</f>
        <v>1.5588457089983807</v>
      </c>
      <c r="G54" s="62" t="s">
        <v>52</v>
      </c>
      <c r="I54" s="87">
        <f>I53+I52+I51</f>
        <v>490884.44</v>
      </c>
      <c r="J54" s="87">
        <f>J53+J52+J51</f>
        <v>507132</v>
      </c>
      <c r="K54" s="87">
        <f>K53+K52+K51</f>
        <v>-16247.559999999983</v>
      </c>
      <c r="L54" s="76">
        <f>+I54/J54</f>
        <v>0.96796187185979188</v>
      </c>
      <c r="M54" s="76"/>
      <c r="N54" s="87">
        <f>N53+N52+N51</f>
        <v>528137.24</v>
      </c>
      <c r="O54" s="87">
        <f>O53+O52+O51</f>
        <v>-37252.799999999974</v>
      </c>
      <c r="P54" s="76">
        <f>+I54/N54</f>
        <v>0.92946378861676182</v>
      </c>
      <c r="R54" s="79"/>
    </row>
    <row r="55" spans="1:18" s="81" customFormat="1" ht="14.25">
      <c r="A55" s="65"/>
      <c r="B55" s="67"/>
      <c r="C55" s="67"/>
      <c r="D55" s="67"/>
      <c r="E55" s="76"/>
      <c r="F55" s="65"/>
      <c r="G55" s="65"/>
      <c r="H55" s="65"/>
      <c r="I55" s="67"/>
      <c r="J55" s="67"/>
      <c r="K55" s="67"/>
      <c r="L55" s="80"/>
      <c r="R55" s="79"/>
    </row>
    <row r="56" spans="1:18">
      <c r="B56" s="77">
        <f>+B54+B49+B47+B45+B40+B35+B29+B24</f>
        <v>374498.38</v>
      </c>
      <c r="C56" s="77">
        <f>+C54+C49+C47+C45+C40+C35+C29+C24</f>
        <v>390718</v>
      </c>
      <c r="D56" s="77">
        <f>B56-C56</f>
        <v>-16219.619999999995</v>
      </c>
      <c r="E56" s="76">
        <f>+B56/C56</f>
        <v>0.95848765605884556</v>
      </c>
      <c r="F56" s="62"/>
      <c r="G56" s="78" t="s">
        <v>53</v>
      </c>
      <c r="H56" s="62"/>
      <c r="I56" s="77">
        <f>+I54+I49+I47+I45+I40+I35+I29+I24</f>
        <v>4310574.7899999991</v>
      </c>
      <c r="J56" s="77">
        <f>+J54+J49+J47+J45+J40+J35+J29+J24</f>
        <v>4352489</v>
      </c>
      <c r="K56" s="77">
        <f>I56-J56</f>
        <v>-41914.210000000894</v>
      </c>
      <c r="L56" s="76">
        <f>+I56/J56</f>
        <v>0.99037005952226398</v>
      </c>
      <c r="M56" s="88"/>
      <c r="N56" s="77">
        <f>+N54+N49+N47+N45+N40+N35+N29+N24</f>
        <v>5613827.8399999999</v>
      </c>
      <c r="O56" s="77">
        <f>I56-N56</f>
        <v>-1303253.0500000007</v>
      </c>
      <c r="P56" s="76">
        <f>+I56/N56</f>
        <v>0.76784948040016832</v>
      </c>
      <c r="R56" s="79"/>
    </row>
    <row r="57" spans="1:18" s="81" customFormat="1" ht="14.25">
      <c r="A57" s="65"/>
      <c r="B57" s="67"/>
      <c r="C57" s="67"/>
      <c r="D57" s="67"/>
      <c r="E57" s="76"/>
      <c r="F57" s="65"/>
      <c r="G57" s="65"/>
      <c r="H57" s="65"/>
      <c r="I57" s="67"/>
      <c r="J57" s="67"/>
      <c r="K57" s="67"/>
      <c r="L57" s="80"/>
      <c r="R57" s="79"/>
    </row>
    <row r="58" spans="1:18">
      <c r="B58" s="77">
        <f>+B18-B56</f>
        <v>-102875.71799999999</v>
      </c>
      <c r="C58" s="77">
        <f>+C18-C56</f>
        <v>-169368</v>
      </c>
      <c r="D58" s="110"/>
      <c r="E58" s="109"/>
      <c r="F58" s="62"/>
      <c r="G58" s="78" t="s">
        <v>54</v>
      </c>
      <c r="H58" s="62"/>
      <c r="I58" s="77">
        <f>+I18-I56</f>
        <v>1217745.5150000006</v>
      </c>
      <c r="J58" s="77">
        <f>+J18-J56</f>
        <v>643586</v>
      </c>
      <c r="K58" s="108"/>
      <c r="L58" s="107"/>
      <c r="M58" s="107"/>
      <c r="N58" s="77">
        <f>+N18-N56</f>
        <v>53172.160000000149</v>
      </c>
      <c r="O58" s="108"/>
      <c r="P58" s="107"/>
    </row>
    <row r="60" spans="1:18" s="90" customFormat="1" ht="14.25" hidden="1">
      <c r="A60" s="81"/>
      <c r="D60" s="91" t="s">
        <v>55</v>
      </c>
      <c r="F60" s="116" t="s">
        <v>56</v>
      </c>
      <c r="G60" s="116"/>
      <c r="H60" s="116"/>
      <c r="I60" s="116"/>
      <c r="J60" s="116"/>
      <c r="K60" s="116"/>
      <c r="L60" s="116"/>
      <c r="M60" s="116"/>
      <c r="N60" s="116"/>
    </row>
    <row r="61" spans="1:18" s="90" customFormat="1" ht="11.25" hidden="1">
      <c r="C61" s="91"/>
      <c r="G61" s="92" t="s">
        <v>57</v>
      </c>
      <c r="I61" s="93">
        <f>-I6*0.03</f>
        <v>-22188.78</v>
      </c>
      <c r="J61" s="93">
        <f>-J6*0.03</f>
        <v>-14280</v>
      </c>
      <c r="L61" s="90" t="s">
        <v>57</v>
      </c>
      <c r="N61" s="93">
        <v>-23100</v>
      </c>
    </row>
    <row r="62" spans="1:18" s="90" customFormat="1" ht="11.25" hidden="1">
      <c r="B62" s="91"/>
      <c r="C62" s="91"/>
      <c r="D62" s="91"/>
      <c r="G62" s="92" t="s">
        <v>58</v>
      </c>
      <c r="I62" s="93">
        <f>-0.2*I11</f>
        <v>-120249.32</v>
      </c>
      <c r="J62" s="93">
        <f>-0.2*J11</f>
        <v>-91810</v>
      </c>
      <c r="L62" s="90" t="s">
        <v>58</v>
      </c>
      <c r="N62" s="93">
        <v>-38500</v>
      </c>
    </row>
    <row r="63" spans="1:18" s="90" customFormat="1" ht="11.25" hidden="1">
      <c r="B63" s="91"/>
      <c r="C63" s="91"/>
      <c r="D63" s="91"/>
      <c r="G63" s="92" t="s">
        <v>59</v>
      </c>
      <c r="I63" s="93">
        <f>995729*-0.05</f>
        <v>-49786.450000000004</v>
      </c>
      <c r="J63" s="93">
        <f>-0.05*(755000)</f>
        <v>-37750</v>
      </c>
      <c r="L63" s="90" t="s">
        <v>59</v>
      </c>
      <c r="N63" s="93">
        <v>-37750</v>
      </c>
    </row>
    <row r="64" spans="1:18" s="90" customFormat="1" ht="11.25" hidden="1">
      <c r="B64" s="91"/>
      <c r="C64" s="91"/>
      <c r="D64" s="91"/>
      <c r="F64" s="94" t="s">
        <v>60</v>
      </c>
      <c r="G64" s="95"/>
      <c r="H64" s="94"/>
      <c r="I64" s="96">
        <f>-SUM(I61:I63)</f>
        <v>192224.55000000002</v>
      </c>
      <c r="J64" s="96">
        <f>-SUM(J61:J63)</f>
        <v>143840</v>
      </c>
      <c r="K64" s="94"/>
      <c r="L64" s="94"/>
      <c r="M64" s="94"/>
      <c r="N64" s="96">
        <v>99350</v>
      </c>
    </row>
    <row r="65" spans="1:15" s="90" customFormat="1" ht="11.25" hidden="1">
      <c r="B65" s="91"/>
      <c r="C65" s="91"/>
      <c r="D65" s="91"/>
      <c r="G65" s="92"/>
      <c r="I65" s="93"/>
      <c r="J65" s="93"/>
    </row>
    <row r="66" spans="1:15" s="81" customFormat="1" ht="14.25" hidden="1">
      <c r="A66" s="90"/>
      <c r="B66" s="90"/>
      <c r="C66" s="90"/>
      <c r="D66" s="91"/>
      <c r="E66" s="90"/>
      <c r="F66" s="116" t="s">
        <v>61</v>
      </c>
      <c r="G66" s="116"/>
      <c r="H66" s="116"/>
      <c r="I66" s="116"/>
      <c r="J66" s="116"/>
      <c r="K66" s="116"/>
      <c r="L66" s="116"/>
      <c r="M66" s="116"/>
      <c r="N66" s="116"/>
    </row>
    <row r="67" spans="1:15" s="81" customFormat="1" ht="14.25" hidden="1">
      <c r="A67" s="90"/>
      <c r="B67" s="90"/>
      <c r="C67" s="90"/>
      <c r="D67" s="97"/>
      <c r="E67" s="90"/>
      <c r="F67" s="90"/>
      <c r="G67" s="98" t="s">
        <v>62</v>
      </c>
      <c r="H67" s="90"/>
      <c r="I67" s="93">
        <f>-I8*0.5</f>
        <v>-224695.63</v>
      </c>
      <c r="J67" s="93">
        <f>-J8*0.5</f>
        <v>-230375</v>
      </c>
      <c r="K67" s="90"/>
      <c r="L67" s="99" t="s">
        <v>62</v>
      </c>
      <c r="N67" s="93">
        <v>-50000</v>
      </c>
    </row>
    <row r="68" spans="1:15" s="90" customFormat="1" ht="11.25" hidden="1">
      <c r="F68" s="94" t="s">
        <v>63</v>
      </c>
      <c r="G68" s="94"/>
      <c r="H68" s="94"/>
      <c r="I68" s="100">
        <f>-I67</f>
        <v>224695.63</v>
      </c>
      <c r="J68" s="100">
        <f>-J67</f>
        <v>230375</v>
      </c>
      <c r="K68" s="94"/>
      <c r="L68" s="94"/>
      <c r="M68" s="94"/>
      <c r="N68" s="100">
        <v>50000</v>
      </c>
    </row>
    <row r="69" spans="1:15" s="90" customFormat="1" ht="11.25" hidden="1">
      <c r="D69" s="91"/>
      <c r="G69" s="92"/>
      <c r="L69" s="101"/>
    </row>
    <row r="70" spans="1:15" s="90" customFormat="1" ht="14.25" hidden="1">
      <c r="D70" s="91"/>
      <c r="G70" s="81"/>
      <c r="K70" s="93"/>
      <c r="N70" s="81"/>
    </row>
    <row r="71" spans="1:15" s="90" customFormat="1" hidden="1">
      <c r="D71" s="91"/>
      <c r="G71" s="78" t="s">
        <v>64</v>
      </c>
      <c r="I71" s="77">
        <f>+I58-I64-I68</f>
        <v>800825.33500000054</v>
      </c>
      <c r="J71" s="77">
        <f>+J58-J64-J68</f>
        <v>269371</v>
      </c>
      <c r="K71" s="93"/>
      <c r="N71" s="77">
        <v>-114634</v>
      </c>
    </row>
    <row r="72" spans="1:15" s="90" customFormat="1" ht="14.25" hidden="1">
      <c r="A72" s="81"/>
      <c r="B72" s="81"/>
      <c r="C72" s="81"/>
      <c r="D72" s="102"/>
      <c r="E72" s="81"/>
      <c r="F72" s="81"/>
      <c r="G72" s="81"/>
      <c r="H72" s="81"/>
      <c r="I72" s="81"/>
      <c r="J72" s="81"/>
      <c r="K72" s="93"/>
    </row>
    <row r="73" spans="1:15" ht="14.25">
      <c r="A73" s="81"/>
      <c r="B73" s="81"/>
      <c r="C73" s="81"/>
      <c r="D73" s="102"/>
      <c r="E73" s="81"/>
      <c r="F73" s="81"/>
      <c r="H73" s="81"/>
      <c r="I73" s="103"/>
      <c r="J73" s="81"/>
      <c r="N73" s="104"/>
    </row>
    <row r="75" spans="1:15">
      <c r="B75" s="105">
        <f>+F75*B6</f>
        <v>3451.95</v>
      </c>
      <c r="C75" s="105">
        <f>+F75*C6</f>
        <v>1260</v>
      </c>
      <c r="D75" s="65"/>
      <c r="F75" s="106">
        <v>0.03</v>
      </c>
      <c r="G75" s="65" t="s">
        <v>65</v>
      </c>
      <c r="H75" s="106"/>
      <c r="I75" s="105">
        <f>+F75*I6</f>
        <v>22188.78</v>
      </c>
      <c r="J75" s="105">
        <f>+F75*J6</f>
        <v>14280</v>
      </c>
      <c r="K75" s="65"/>
      <c r="N75" s="105">
        <f>+F75*N6</f>
        <v>21000</v>
      </c>
      <c r="O75" s="105"/>
    </row>
    <row r="76" spans="1:15">
      <c r="B76" s="105">
        <f>+B6*F76</f>
        <v>5753.25</v>
      </c>
      <c r="C76" s="105">
        <f>+F76*C6</f>
        <v>2100</v>
      </c>
      <c r="D76" s="65"/>
      <c r="F76" s="106">
        <v>0.05</v>
      </c>
      <c r="G76" s="65" t="s">
        <v>66</v>
      </c>
      <c r="H76" s="106"/>
      <c r="I76" s="105">
        <f>+F76*I6</f>
        <v>36981.300000000003</v>
      </c>
      <c r="J76" s="105">
        <f>+F76*J6</f>
        <v>23800</v>
      </c>
      <c r="K76" s="65"/>
      <c r="N76" s="105">
        <f>+F76*N6</f>
        <v>35000</v>
      </c>
      <c r="O76" s="105"/>
    </row>
    <row r="77" spans="1:15">
      <c r="B77" s="105"/>
      <c r="C77" s="105"/>
      <c r="D77" s="65"/>
      <c r="F77" s="106">
        <v>0.05</v>
      </c>
      <c r="G77" s="65" t="s">
        <v>67</v>
      </c>
      <c r="H77" s="106"/>
      <c r="I77" s="105">
        <f>(830446.5)*F77</f>
        <v>41522.325000000004</v>
      </c>
      <c r="J77" s="105">
        <f>(830000)*F77</f>
        <v>41500</v>
      </c>
      <c r="K77" s="65"/>
      <c r="N77" s="105">
        <f>830000*F77</f>
        <v>41500</v>
      </c>
      <c r="O77" s="105"/>
    </row>
    <row r="78" spans="1:15">
      <c r="B78" s="105">
        <f>+F78*B11</f>
        <v>14109.748000000001</v>
      </c>
      <c r="C78" s="105">
        <f>+F78*C11</f>
        <v>19890</v>
      </c>
      <c r="D78" s="65"/>
      <c r="F78" s="106">
        <v>0.2</v>
      </c>
      <c r="G78" s="65" t="s">
        <v>68</v>
      </c>
      <c r="H78" s="106"/>
      <c r="I78" s="105">
        <f>+F78*I11</f>
        <v>120249.32</v>
      </c>
      <c r="J78" s="105">
        <f>+F78*J11</f>
        <v>91810</v>
      </c>
      <c r="K78" s="65"/>
      <c r="N78" s="105">
        <f>+F78*N11</f>
        <v>120000</v>
      </c>
      <c r="O78" s="105"/>
    </row>
    <row r="79" spans="1:15">
      <c r="B79" s="105">
        <f>+F79*B8</f>
        <v>8452.33</v>
      </c>
      <c r="C79" s="105">
        <f>+F79*C8</f>
        <v>4750</v>
      </c>
      <c r="D79" s="65"/>
      <c r="F79" s="106">
        <v>0.5</v>
      </c>
      <c r="G79" s="65" t="s">
        <v>69</v>
      </c>
      <c r="H79" s="106"/>
      <c r="I79" s="105">
        <f>+F79*I8</f>
        <v>224695.63</v>
      </c>
      <c r="J79" s="105">
        <f>+F79*J8</f>
        <v>230375</v>
      </c>
      <c r="K79" s="65"/>
      <c r="N79" s="105">
        <f>+F79*N8</f>
        <v>237500</v>
      </c>
      <c r="O79" s="105"/>
    </row>
    <row r="80" spans="1:15">
      <c r="B80" s="105"/>
      <c r="C80" s="105"/>
      <c r="D80" s="65"/>
      <c r="I80" s="105"/>
      <c r="J80" s="105"/>
      <c r="K80" s="65"/>
      <c r="N80" s="105"/>
      <c r="O80" s="105"/>
    </row>
    <row r="81" spans="2:15">
      <c r="B81" s="105">
        <f>SUM(B75:B80)</f>
        <v>31767.278000000006</v>
      </c>
      <c r="C81" s="105">
        <f>SUM(C75:C80)</f>
        <v>28000</v>
      </c>
      <c r="D81" s="65"/>
      <c r="I81" s="105">
        <f>SUM(I75:I80)</f>
        <v>445637.35499999998</v>
      </c>
      <c r="J81" s="105">
        <f>SUM(J75:J80)</f>
        <v>401765</v>
      </c>
      <c r="K81" s="65"/>
      <c r="N81" s="105">
        <f>SUM(N75:N80)</f>
        <v>455000</v>
      </c>
      <c r="O81" s="105"/>
    </row>
    <row r="86" spans="2:15">
      <c r="B86" s="79"/>
      <c r="C86" s="79"/>
      <c r="I86" s="79"/>
      <c r="J86" s="79"/>
      <c r="N86" s="79"/>
    </row>
  </sheetData>
  <mergeCells count="6">
    <mergeCell ref="F60:N60"/>
    <mergeCell ref="F66:N66"/>
    <mergeCell ref="I1:P1"/>
    <mergeCell ref="B1:G1"/>
    <mergeCell ref="B3:E3"/>
    <mergeCell ref="I3:P3"/>
  </mergeCells>
  <printOptions horizontalCentered="1"/>
  <pageMargins left="0" right="0" top="0" bottom="0" header="0.05" footer="0.05"/>
  <pageSetup paperSize="17" scale="88" orientation="landscape" r:id="rId1"/>
  <headerFooter>
    <oddHeader>&amp;L&amp;8&amp;D
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BC7F8-123B-4A9F-82D5-31990E5D8825}">
  <sheetPr>
    <pageSetUpPr fitToPage="1"/>
  </sheetPr>
  <dimension ref="A1:R81"/>
  <sheetViews>
    <sheetView zoomScale="130" zoomScaleNormal="130" workbookViewId="0">
      <selection activeCell="I39" sqref="I39"/>
    </sheetView>
  </sheetViews>
  <sheetFormatPr defaultColWidth="15.7109375" defaultRowHeight="12"/>
  <cols>
    <col min="1" max="1" width="4.5703125" style="65" bestFit="1" customWidth="1"/>
    <col min="2" max="2" width="13" style="65" customWidth="1"/>
    <col min="3" max="3" width="11" style="65" bestFit="1" customWidth="1"/>
    <col min="4" max="4" width="12.85546875" style="67" bestFit="1" customWidth="1"/>
    <col min="5" max="5" width="8.42578125" style="65" bestFit="1" customWidth="1"/>
    <col min="6" max="6" width="4.42578125" style="65" customWidth="1"/>
    <col min="7" max="7" width="38" style="65" bestFit="1" customWidth="1"/>
    <col min="8" max="8" width="1.7109375" style="65" customWidth="1"/>
    <col min="9" max="9" width="14.140625" style="65" customWidth="1"/>
    <col min="10" max="10" width="14.7109375" style="65" bestFit="1" customWidth="1"/>
    <col min="11" max="11" width="14.28515625" style="67" bestFit="1" customWidth="1"/>
    <col min="12" max="12" width="10.7109375" style="65" bestFit="1" customWidth="1"/>
    <col min="13" max="13" width="2.7109375" style="65" customWidth="1"/>
    <col min="14" max="14" width="14.7109375" style="65" bestFit="1" customWidth="1"/>
    <col min="15" max="15" width="14.28515625" style="67" bestFit="1" customWidth="1"/>
    <col min="16" max="16" width="13.5703125" style="65" bestFit="1" customWidth="1"/>
    <col min="17" max="16384" width="15.7109375" style="65"/>
  </cols>
  <sheetData>
    <row r="1" spans="1:18" s="62" customFormat="1">
      <c r="B1" s="118" t="s">
        <v>70</v>
      </c>
      <c r="C1" s="118"/>
      <c r="D1" s="118"/>
      <c r="E1" s="118"/>
      <c r="F1" s="118"/>
      <c r="G1" s="118"/>
      <c r="H1" s="64"/>
      <c r="I1" s="117" t="s">
        <v>1</v>
      </c>
      <c r="J1" s="117"/>
      <c r="K1" s="117"/>
      <c r="L1" s="117"/>
      <c r="M1" s="117"/>
      <c r="N1" s="117"/>
      <c r="O1" s="117"/>
      <c r="P1" s="117"/>
    </row>
    <row r="2" spans="1:18">
      <c r="B2" s="66"/>
    </row>
    <row r="3" spans="1:18">
      <c r="B3" s="118" t="s">
        <v>2</v>
      </c>
      <c r="C3" s="118"/>
      <c r="D3" s="118"/>
      <c r="E3" s="118"/>
      <c r="I3" s="118" t="s">
        <v>3</v>
      </c>
      <c r="J3" s="118"/>
      <c r="K3" s="118"/>
      <c r="L3" s="118"/>
      <c r="M3" s="118"/>
      <c r="N3" s="118"/>
      <c r="O3" s="118"/>
      <c r="P3" s="118"/>
    </row>
    <row r="4" spans="1:18" s="62" customFormat="1" ht="24">
      <c r="B4" s="68">
        <v>45657</v>
      </c>
      <c r="C4" s="69" t="s">
        <v>4</v>
      </c>
      <c r="D4" s="70" t="s">
        <v>5</v>
      </c>
      <c r="E4" s="71" t="s">
        <v>6</v>
      </c>
      <c r="F4" s="63"/>
      <c r="G4" s="72" t="s">
        <v>7</v>
      </c>
      <c r="H4" s="63"/>
      <c r="I4" s="73" t="s">
        <v>8</v>
      </c>
      <c r="J4" s="71" t="s">
        <v>9</v>
      </c>
      <c r="K4" s="70" t="s">
        <v>5</v>
      </c>
      <c r="L4" s="71" t="s">
        <v>10</v>
      </c>
      <c r="M4" s="74"/>
      <c r="N4" s="71" t="s">
        <v>11</v>
      </c>
      <c r="O4" s="70" t="s">
        <v>5</v>
      </c>
      <c r="P4" s="71" t="s">
        <v>12</v>
      </c>
    </row>
    <row r="6" spans="1:18">
      <c r="B6" s="75">
        <v>115065</v>
      </c>
      <c r="C6" s="75">
        <v>42000</v>
      </c>
      <c r="D6" s="75">
        <f>B6-C6</f>
        <v>73065</v>
      </c>
      <c r="E6" s="76">
        <f t="shared" ref="E6:E14" si="0">+B6/C6</f>
        <v>2.739642857142857</v>
      </c>
      <c r="G6" s="65" t="s">
        <v>13</v>
      </c>
      <c r="H6" s="65" t="s">
        <v>14</v>
      </c>
      <c r="I6" s="75">
        <v>739626</v>
      </c>
      <c r="J6" s="75">
        <v>476000</v>
      </c>
      <c r="K6" s="75">
        <f t="shared" ref="K6:K13" si="1">I6-J6</f>
        <v>263626</v>
      </c>
      <c r="L6" s="76">
        <f t="shared" ref="L6:L14" si="2">+I6/J6</f>
        <v>1.5538361344537814</v>
      </c>
      <c r="M6" s="76"/>
      <c r="N6" s="75">
        <v>700000</v>
      </c>
      <c r="O6" s="75">
        <f>I6-N6</f>
        <v>39626</v>
      </c>
      <c r="P6" s="76">
        <f t="shared" ref="P6:P14" si="3">+I6/N6</f>
        <v>1.0566085714285713</v>
      </c>
    </row>
    <row r="7" spans="1:18">
      <c r="B7" s="75">
        <v>43276.18</v>
      </c>
      <c r="C7" s="75">
        <v>33000</v>
      </c>
      <c r="D7" s="75">
        <f t="shared" ref="D7:D13" si="4">B7-C7</f>
        <v>10276.18</v>
      </c>
      <c r="E7" s="76">
        <f t="shared" si="0"/>
        <v>1.311399393939394</v>
      </c>
      <c r="G7" s="65" t="s">
        <v>15</v>
      </c>
      <c r="I7" s="75">
        <v>832366.59</v>
      </c>
      <c r="J7" s="75">
        <v>775500</v>
      </c>
      <c r="K7" s="75">
        <f t="shared" si="1"/>
        <v>56866.589999999967</v>
      </c>
      <c r="L7" s="76">
        <f t="shared" si="2"/>
        <v>1.0733289361702127</v>
      </c>
      <c r="M7" s="76"/>
      <c r="N7" s="75">
        <v>825000</v>
      </c>
      <c r="O7" s="75">
        <f t="shared" ref="O7:O13" si="5">I7-N7</f>
        <v>7366.5899999999674</v>
      </c>
      <c r="P7" s="76">
        <f t="shared" si="3"/>
        <v>1.0089291999999999</v>
      </c>
    </row>
    <row r="8" spans="1:18">
      <c r="B8" s="75">
        <v>16904.66</v>
      </c>
      <c r="C8" s="75">
        <v>9500</v>
      </c>
      <c r="D8" s="75">
        <f>B8-C8</f>
        <v>7404.66</v>
      </c>
      <c r="E8" s="76">
        <f t="shared" si="0"/>
        <v>1.7794378947368421</v>
      </c>
      <c r="G8" s="65" t="s">
        <v>16</v>
      </c>
      <c r="I8" s="75">
        <v>449391.26</v>
      </c>
      <c r="J8" s="75">
        <v>460750</v>
      </c>
      <c r="K8" s="75">
        <f t="shared" si="1"/>
        <v>-11358.739999999991</v>
      </c>
      <c r="L8" s="76">
        <f t="shared" si="2"/>
        <v>0.97534728160607709</v>
      </c>
      <c r="M8" s="76"/>
      <c r="N8" s="75">
        <v>475000</v>
      </c>
      <c r="O8" s="75">
        <f t="shared" si="5"/>
        <v>-25608.739999999991</v>
      </c>
      <c r="P8" s="76">
        <f t="shared" si="3"/>
        <v>0.94608686315789481</v>
      </c>
    </row>
    <row r="9" spans="1:18">
      <c r="B9" s="75">
        <f>999+5816</f>
        <v>6815</v>
      </c>
      <c r="C9" s="75">
        <f>1300+15750</f>
        <v>17050</v>
      </c>
      <c r="D9" s="75">
        <f t="shared" si="4"/>
        <v>-10235</v>
      </c>
      <c r="E9" s="76">
        <f t="shared" si="0"/>
        <v>0.3997067448680352</v>
      </c>
      <c r="G9" s="65" t="s">
        <v>17</v>
      </c>
      <c r="I9" s="75">
        <f>131201+306657</f>
        <v>437858</v>
      </c>
      <c r="J9" s="75">
        <f>126100+267750</f>
        <v>393850</v>
      </c>
      <c r="K9" s="75">
        <f t="shared" si="1"/>
        <v>44008</v>
      </c>
      <c r="L9" s="76">
        <f t="shared" si="2"/>
        <v>1.111737971308874</v>
      </c>
      <c r="M9" s="76"/>
      <c r="N9" s="75">
        <v>445000</v>
      </c>
      <c r="O9" s="75">
        <f t="shared" si="5"/>
        <v>-7142</v>
      </c>
      <c r="P9" s="76">
        <f t="shared" si="3"/>
        <v>0.98395056179775275</v>
      </c>
    </row>
    <row r="10" spans="1:18">
      <c r="B10" s="75">
        <v>0</v>
      </c>
      <c r="C10" s="75">
        <v>0</v>
      </c>
      <c r="D10" s="75">
        <f t="shared" si="4"/>
        <v>0</v>
      </c>
      <c r="E10" s="76"/>
      <c r="G10" s="65" t="s">
        <v>18</v>
      </c>
      <c r="I10" s="75">
        <v>1876881.38</v>
      </c>
      <c r="J10" s="75">
        <v>1876000</v>
      </c>
      <c r="K10" s="75">
        <f t="shared" si="1"/>
        <v>881.37999999988824</v>
      </c>
      <c r="L10" s="76">
        <f t="shared" si="2"/>
        <v>1.0004698187633261</v>
      </c>
      <c r="M10" s="76"/>
      <c r="N10" s="75">
        <v>1876000</v>
      </c>
      <c r="O10" s="75">
        <f t="shared" si="5"/>
        <v>881.37999999988824</v>
      </c>
      <c r="P10" s="76">
        <f t="shared" si="3"/>
        <v>1.0004698187633261</v>
      </c>
    </row>
    <row r="11" spans="1:18">
      <c r="B11" s="75">
        <v>70548.740000000005</v>
      </c>
      <c r="C11" s="75">
        <v>99450</v>
      </c>
      <c r="D11" s="75">
        <f t="shared" si="4"/>
        <v>-28901.259999999995</v>
      </c>
      <c r="E11" s="76">
        <f t="shared" si="0"/>
        <v>0.70938903971845158</v>
      </c>
      <c r="G11" s="65" t="s">
        <v>19</v>
      </c>
      <c r="I11" s="75">
        <v>601246.6</v>
      </c>
      <c r="J11" s="75">
        <v>459050</v>
      </c>
      <c r="K11" s="75">
        <f t="shared" si="1"/>
        <v>142196.59999999998</v>
      </c>
      <c r="L11" s="76">
        <f t="shared" si="2"/>
        <v>1.3097627709399846</v>
      </c>
      <c r="M11" s="76"/>
      <c r="N11" s="75">
        <v>600000</v>
      </c>
      <c r="O11" s="75">
        <f t="shared" si="5"/>
        <v>1246.5999999999767</v>
      </c>
      <c r="P11" s="76">
        <f t="shared" si="3"/>
        <v>1.0020776666666666</v>
      </c>
    </row>
    <row r="12" spans="1:18">
      <c r="B12" s="75">
        <v>10187.06</v>
      </c>
      <c r="C12" s="75">
        <v>13365</v>
      </c>
      <c r="D12" s="75">
        <f t="shared" si="4"/>
        <v>-3177.9400000000005</v>
      </c>
      <c r="E12" s="76">
        <f t="shared" si="0"/>
        <v>0.76221922933034036</v>
      </c>
      <c r="G12" s="65" t="s">
        <v>20</v>
      </c>
      <c r="I12" s="75">
        <v>372323.88</v>
      </c>
      <c r="J12" s="75">
        <v>341105</v>
      </c>
      <c r="K12" s="75">
        <f t="shared" si="1"/>
        <v>31218.880000000005</v>
      </c>
      <c r="L12" s="76">
        <f t="shared" si="2"/>
        <v>1.0915227862388415</v>
      </c>
      <c r="M12" s="76"/>
      <c r="N12" s="75">
        <v>378500</v>
      </c>
      <c r="O12" s="75">
        <f t="shared" si="5"/>
        <v>-6176.1199999999953</v>
      </c>
      <c r="P12" s="76">
        <f t="shared" si="3"/>
        <v>0.98368264200792599</v>
      </c>
    </row>
    <row r="13" spans="1:18">
      <c r="B13" s="75">
        <f>298042.34-262797</f>
        <v>35245.340000000026</v>
      </c>
      <c r="C13" s="75">
        <f>277695-214365</f>
        <v>63330</v>
      </c>
      <c r="D13" s="75">
        <f t="shared" si="4"/>
        <v>-28084.659999999974</v>
      </c>
      <c r="E13" s="76">
        <f t="shared" si="0"/>
        <v>0.55653465971893301</v>
      </c>
      <c r="G13" s="65" t="s">
        <v>21</v>
      </c>
      <c r="I13" s="75">
        <f>5973707.95-5309694</f>
        <v>664013.95000000019</v>
      </c>
      <c r="J13" s="75">
        <f>5758020-4782255</f>
        <v>975765</v>
      </c>
      <c r="K13" s="75">
        <f t="shared" si="1"/>
        <v>-311751.04999999981</v>
      </c>
      <c r="L13" s="76">
        <f t="shared" si="2"/>
        <v>0.68050601323064486</v>
      </c>
      <c r="M13" s="76"/>
      <c r="N13" s="75">
        <f>11623300-5299500</f>
        <v>6323800</v>
      </c>
      <c r="O13" s="75">
        <f t="shared" si="5"/>
        <v>-5659786.0499999998</v>
      </c>
      <c r="P13" s="76">
        <f t="shared" si="3"/>
        <v>0.1050023640848857</v>
      </c>
    </row>
    <row r="14" spans="1:18">
      <c r="B14" s="77">
        <f>SUM(B6:B13)</f>
        <v>298041.98000000004</v>
      </c>
      <c r="C14" s="77">
        <f>SUM(C6:C13)</f>
        <v>277695</v>
      </c>
      <c r="D14" s="77">
        <f>SUM(D6:D13)</f>
        <v>20346.980000000025</v>
      </c>
      <c r="E14" s="76">
        <f t="shared" si="0"/>
        <v>1.0732709627468988</v>
      </c>
      <c r="F14" s="62"/>
      <c r="G14" s="78" t="s">
        <v>22</v>
      </c>
      <c r="H14" s="62"/>
      <c r="I14" s="77">
        <f>SUM(I6:I13)</f>
        <v>5973707.6599999992</v>
      </c>
      <c r="J14" s="77">
        <f>SUM(J6:J13)</f>
        <v>5758020</v>
      </c>
      <c r="K14" s="77">
        <f>SUM(K6:K13)</f>
        <v>215687.66000000003</v>
      </c>
      <c r="L14" s="76">
        <f t="shared" si="2"/>
        <v>1.0374586507167394</v>
      </c>
      <c r="M14" s="76"/>
      <c r="N14" s="77">
        <f>SUM(N6:N13)</f>
        <v>11623300</v>
      </c>
      <c r="O14" s="77">
        <f>SUM(O6:O13)</f>
        <v>-5649592.3399999999</v>
      </c>
      <c r="P14" s="76">
        <f t="shared" si="3"/>
        <v>0.51394248277167409</v>
      </c>
      <c r="R14" s="79"/>
    </row>
    <row r="15" spans="1:18">
      <c r="E15" s="76"/>
      <c r="L15" s="80"/>
      <c r="M15" s="80"/>
      <c r="P15" s="80"/>
      <c r="R15" s="79"/>
    </row>
    <row r="16" spans="1:18" s="81" customFormat="1" ht="14.25">
      <c r="A16" s="65"/>
      <c r="B16" s="67">
        <f>+B81</f>
        <v>31767.278000000006</v>
      </c>
      <c r="C16" s="67">
        <f>+C81</f>
        <v>28000</v>
      </c>
      <c r="D16" s="67">
        <f>-C16+B16</f>
        <v>3767.2780000000057</v>
      </c>
      <c r="E16" s="76"/>
      <c r="F16" s="65"/>
      <c r="G16" s="78" t="s">
        <v>23</v>
      </c>
      <c r="H16" s="65"/>
      <c r="I16" s="67">
        <f>+I81</f>
        <v>445637.35499999998</v>
      </c>
      <c r="J16" s="67">
        <f>+J81</f>
        <v>401765</v>
      </c>
      <c r="K16" s="67">
        <f>+I16-J16</f>
        <v>43872.354999999981</v>
      </c>
      <c r="L16" s="80"/>
      <c r="N16" s="67">
        <f>+N81</f>
        <v>455000</v>
      </c>
    </row>
    <row r="17" spans="1:18" s="81" customFormat="1" ht="14.25">
      <c r="A17" s="65"/>
      <c r="B17" s="67"/>
      <c r="C17" s="67"/>
      <c r="D17" s="67"/>
      <c r="E17" s="76"/>
      <c r="F17" s="65"/>
      <c r="G17" s="65"/>
      <c r="H17" s="65"/>
      <c r="I17" s="67"/>
      <c r="J17" s="67"/>
      <c r="K17" s="67"/>
      <c r="L17" s="80"/>
    </row>
    <row r="18" spans="1:18" s="81" customFormat="1" ht="14.25">
      <c r="A18" s="65"/>
      <c r="B18" s="77">
        <f>+B14-B16</f>
        <v>266274.70200000005</v>
      </c>
      <c r="C18" s="77">
        <f>+C14-C16</f>
        <v>249695</v>
      </c>
      <c r="D18" s="67"/>
      <c r="E18" s="76"/>
      <c r="F18" s="65"/>
      <c r="G18" s="78" t="s">
        <v>24</v>
      </c>
      <c r="H18" s="65"/>
      <c r="I18" s="77">
        <f>+I14-I16</f>
        <v>5528070.3049999997</v>
      </c>
      <c r="J18" s="77">
        <f>+J14-J16</f>
        <v>5356255</v>
      </c>
      <c r="K18" s="67"/>
      <c r="L18" s="80"/>
      <c r="N18" s="77">
        <f>+N14-N16</f>
        <v>11168300</v>
      </c>
      <c r="O18" s="67"/>
    </row>
    <row r="19" spans="1:18" s="81" customFormat="1" ht="14.25">
      <c r="A19" s="65"/>
      <c r="B19" s="67"/>
      <c r="C19" s="67"/>
      <c r="D19" s="67"/>
      <c r="E19" s="76"/>
      <c r="F19" s="65"/>
      <c r="G19" s="65"/>
      <c r="H19" s="65"/>
      <c r="I19" s="67"/>
      <c r="J19" s="67"/>
      <c r="K19" s="67"/>
      <c r="L19" s="80"/>
    </row>
    <row r="20" spans="1:18" s="62" customFormat="1" ht="24">
      <c r="B20" s="82">
        <f>+B4</f>
        <v>45657</v>
      </c>
      <c r="C20" s="83" t="s">
        <v>4</v>
      </c>
      <c r="D20" s="84" t="s">
        <v>5</v>
      </c>
      <c r="E20" s="85"/>
      <c r="G20" s="72" t="s">
        <v>25</v>
      </c>
      <c r="I20" s="86" t="str">
        <f>I4</f>
        <v>Actual April - December 2024</v>
      </c>
      <c r="J20" s="71" t="str">
        <f>J4</f>
        <v>Budgeted April - December 2024</v>
      </c>
      <c r="K20" s="70" t="s">
        <v>5</v>
      </c>
      <c r="L20" s="71" t="s">
        <v>6</v>
      </c>
      <c r="M20" s="74"/>
      <c r="N20" s="71" t="s">
        <v>26</v>
      </c>
      <c r="O20" s="70" t="s">
        <v>5</v>
      </c>
      <c r="P20" s="71" t="s">
        <v>12</v>
      </c>
      <c r="R20" s="79"/>
    </row>
    <row r="21" spans="1:18">
      <c r="E21" s="76"/>
      <c r="L21" s="80"/>
      <c r="M21" s="80"/>
      <c r="P21" s="80"/>
      <c r="R21" s="79"/>
    </row>
    <row r="22" spans="1:18">
      <c r="B22" s="75">
        <v>26008.31</v>
      </c>
      <c r="C22" s="75">
        <v>40345</v>
      </c>
      <c r="D22" s="75">
        <f>B22-C22</f>
        <v>-14336.689999999999</v>
      </c>
      <c r="E22" s="76">
        <f>+B22/C22</f>
        <v>0.64464766389887229</v>
      </c>
      <c r="G22" s="65" t="s">
        <v>27</v>
      </c>
      <c r="I22" s="75">
        <v>404415</v>
      </c>
      <c r="J22" s="75">
        <v>337255</v>
      </c>
      <c r="K22" s="75">
        <f>I22-J22</f>
        <v>67160</v>
      </c>
      <c r="L22" s="76">
        <f>+I22/J22</f>
        <v>1.1991371514136189</v>
      </c>
      <c r="M22" s="76"/>
      <c r="N22" s="75">
        <v>422500</v>
      </c>
      <c r="O22" s="75">
        <f>I22-N22</f>
        <v>-18085</v>
      </c>
      <c r="P22" s="76">
        <f>+I22/N22</f>
        <v>0.95719526627218932</v>
      </c>
      <c r="R22" s="79"/>
    </row>
    <row r="23" spans="1:18">
      <c r="B23" s="75">
        <v>22903.360000000001</v>
      </c>
      <c r="C23" s="75">
        <v>37750</v>
      </c>
      <c r="D23" s="75">
        <f>B23-C23</f>
        <v>-14846.64</v>
      </c>
      <c r="E23" s="76">
        <f>+B23/C23</f>
        <v>0.60671152317880794</v>
      </c>
      <c r="G23" s="65" t="s">
        <v>28</v>
      </c>
      <c r="I23" s="75">
        <v>260304.65</v>
      </c>
      <c r="J23" s="75">
        <v>468000</v>
      </c>
      <c r="K23" s="75">
        <f>I23-J23</f>
        <v>-207695.35</v>
      </c>
      <c r="L23" s="76">
        <f>+I23/J23</f>
        <v>0.55620651709401703</v>
      </c>
      <c r="M23" s="76"/>
      <c r="N23" s="75">
        <v>579000</v>
      </c>
      <c r="O23" s="75">
        <f>I23-N23</f>
        <v>-318695.34999999998</v>
      </c>
      <c r="P23" s="76">
        <f>+I23/N23</f>
        <v>0.44957625215889463</v>
      </c>
      <c r="R23" s="79"/>
    </row>
    <row r="24" spans="1:18" s="62" customFormat="1">
      <c r="B24" s="87">
        <f>SUM(B22:B23)</f>
        <v>48911.67</v>
      </c>
      <c r="C24" s="87">
        <f>SUM(C22:C23)</f>
        <v>78095</v>
      </c>
      <c r="D24" s="87">
        <f>+B24-C24</f>
        <v>-29183.33</v>
      </c>
      <c r="E24" s="76">
        <f>+B24/C24</f>
        <v>0.62630987899353352</v>
      </c>
      <c r="G24" s="62" t="s">
        <v>29</v>
      </c>
      <c r="I24" s="87">
        <f>SUM(I22:I23)</f>
        <v>664719.65</v>
      </c>
      <c r="J24" s="87">
        <f>SUM(J22:J23)</f>
        <v>805255</v>
      </c>
      <c r="K24" s="87">
        <f>SUM(K22:K23)</f>
        <v>-140535.35</v>
      </c>
      <c r="L24" s="76">
        <f>+I24/J24</f>
        <v>0.82547720908283717</v>
      </c>
      <c r="M24" s="76"/>
      <c r="N24" s="87">
        <f>SUM(N22:N23)</f>
        <v>1001500</v>
      </c>
      <c r="O24" s="87">
        <f>SUM(O22:O23)</f>
        <v>-336780.35</v>
      </c>
      <c r="P24" s="76">
        <f>+I24/N24</f>
        <v>0.66372406390414385</v>
      </c>
      <c r="R24" s="79"/>
    </row>
    <row r="25" spans="1:18">
      <c r="B25" s="67"/>
      <c r="C25" s="67"/>
      <c r="E25" s="76"/>
      <c r="I25" s="67"/>
      <c r="J25" s="67"/>
      <c r="L25" s="80"/>
      <c r="M25" s="80"/>
      <c r="N25" s="67"/>
      <c r="P25" s="80"/>
      <c r="R25" s="79"/>
    </row>
    <row r="26" spans="1:18">
      <c r="B26" s="75">
        <v>37421.82</v>
      </c>
      <c r="C26" s="75">
        <v>38124</v>
      </c>
      <c r="D26" s="75">
        <f>B26-C26</f>
        <v>-702.18000000000029</v>
      </c>
      <c r="E26" s="76">
        <f>+B26/C26</f>
        <v>0.98158168083097264</v>
      </c>
      <c r="G26" s="65" t="s">
        <v>30</v>
      </c>
      <c r="I26" s="75">
        <v>327909.36</v>
      </c>
      <c r="J26" s="75">
        <v>359140</v>
      </c>
      <c r="K26" s="75">
        <f>I26-J26</f>
        <v>-31230.640000000014</v>
      </c>
      <c r="L26" s="76">
        <f>+I26/J26</f>
        <v>0.91304048560449957</v>
      </c>
      <c r="M26" s="76"/>
      <c r="N26" s="75">
        <v>489536</v>
      </c>
      <c r="O26" s="75">
        <f>I26-N26</f>
        <v>-161626.64000000001</v>
      </c>
      <c r="P26" s="76">
        <f>+I26/N26</f>
        <v>0.66983707020525551</v>
      </c>
      <c r="R26" s="79"/>
    </row>
    <row r="27" spans="1:18">
      <c r="B27" s="75">
        <v>1</v>
      </c>
      <c r="C27" s="75">
        <v>1</v>
      </c>
      <c r="D27" s="75">
        <f>B27-C27</f>
        <v>0</v>
      </c>
      <c r="E27" s="76">
        <f>+B27/C27</f>
        <v>1</v>
      </c>
      <c r="G27" s="65" t="s">
        <v>31</v>
      </c>
      <c r="I27" s="75">
        <v>3432.15</v>
      </c>
      <c r="J27" s="75">
        <v>5461</v>
      </c>
      <c r="K27" s="75">
        <f>I27-J27</f>
        <v>-2028.85</v>
      </c>
      <c r="L27" s="76">
        <f>+I27/J27</f>
        <v>0.62848379417689071</v>
      </c>
      <c r="M27" s="76"/>
      <c r="N27" s="75">
        <v>5465</v>
      </c>
      <c r="O27" s="75">
        <f>I27-N27</f>
        <v>-2032.85</v>
      </c>
      <c r="P27" s="76">
        <f>+I27/N27</f>
        <v>0.62802378774016465</v>
      </c>
      <c r="R27" s="79"/>
    </row>
    <row r="28" spans="1:18">
      <c r="B28" s="75">
        <f>70362.33-37423</f>
        <v>32939.33</v>
      </c>
      <c r="C28" s="75">
        <f>74495-38125</f>
        <v>36370</v>
      </c>
      <c r="D28" s="75">
        <f>B28-C28</f>
        <v>-3430.6699999999983</v>
      </c>
      <c r="E28" s="76">
        <f>+B28/C28</f>
        <v>0.90567308221061316</v>
      </c>
      <c r="G28" s="65" t="s">
        <v>32</v>
      </c>
      <c r="I28" s="75">
        <f>706280.33-331342</f>
        <v>374938.32999999996</v>
      </c>
      <c r="J28" s="75">
        <f>807491-364601</f>
        <v>442890</v>
      </c>
      <c r="K28" s="75">
        <f>I28-J28</f>
        <v>-67951.670000000042</v>
      </c>
      <c r="L28" s="76">
        <f>+I28/J28</f>
        <v>0.84657212851949681</v>
      </c>
      <c r="M28" s="76"/>
      <c r="N28" s="75">
        <f>5800001-495001</f>
        <v>5305000</v>
      </c>
      <c r="O28" s="75">
        <f>I28-N28</f>
        <v>-4930061.67</v>
      </c>
      <c r="P28" s="76">
        <f>+I28/N28</f>
        <v>7.0676405278039575E-2</v>
      </c>
      <c r="R28" s="79"/>
    </row>
    <row r="29" spans="1:18" s="62" customFormat="1">
      <c r="B29" s="87">
        <f>SUM(B26:B28)</f>
        <v>70362.149999999994</v>
      </c>
      <c r="C29" s="87">
        <f>SUM(C26:C28)</f>
        <v>74495</v>
      </c>
      <c r="D29" s="87">
        <f>+B29-C29</f>
        <v>-4132.8500000000058</v>
      </c>
      <c r="E29" s="76">
        <f>+B29/C29</f>
        <v>0.94452177998523379</v>
      </c>
      <c r="G29" s="62" t="s">
        <v>33</v>
      </c>
      <c r="I29" s="87">
        <f>SUM(I26:I28)</f>
        <v>706279.84</v>
      </c>
      <c r="J29" s="87">
        <f>SUM(J26:J28)</f>
        <v>807491</v>
      </c>
      <c r="K29" s="87">
        <f>SUM(K26:K28)</f>
        <v>-101211.16000000006</v>
      </c>
      <c r="L29" s="76">
        <f>+I29/J29</f>
        <v>0.87465970518556857</v>
      </c>
      <c r="M29" s="76"/>
      <c r="N29" s="87">
        <f>SUM(N26:N28)</f>
        <v>5800001</v>
      </c>
      <c r="O29" s="87">
        <f>SUM(O26:O28)</f>
        <v>-5093721.16</v>
      </c>
      <c r="P29" s="76">
        <f>+I29/N29</f>
        <v>0.12177236521166117</v>
      </c>
      <c r="R29" s="79"/>
    </row>
    <row r="30" spans="1:18">
      <c r="B30" s="67"/>
      <c r="C30" s="67"/>
      <c r="E30" s="76"/>
      <c r="I30" s="67"/>
      <c r="J30" s="67"/>
      <c r="L30" s="80"/>
      <c r="M30" s="80"/>
      <c r="N30" s="67"/>
      <c r="P30" s="80"/>
      <c r="R30" s="79"/>
    </row>
    <row r="31" spans="1:18">
      <c r="A31" s="65" t="s">
        <v>14</v>
      </c>
      <c r="B31" s="75">
        <v>153411.07</v>
      </c>
      <c r="C31" s="75">
        <v>151414</v>
      </c>
      <c r="D31" s="75">
        <f>B31-C31</f>
        <v>1997.070000000007</v>
      </c>
      <c r="E31" s="76">
        <f>+B31/C31</f>
        <v>1.0131894672883617</v>
      </c>
      <c r="G31" s="65" t="s">
        <v>34</v>
      </c>
      <c r="I31" s="75">
        <v>1432557.09</v>
      </c>
      <c r="J31" s="75">
        <v>1468028</v>
      </c>
      <c r="K31" s="75">
        <f>I31-J31</f>
        <v>-35470.909999999916</v>
      </c>
      <c r="L31" s="76">
        <f>+I31/J31</f>
        <v>0.97583771562940225</v>
      </c>
      <c r="M31" s="76"/>
      <c r="N31" s="75">
        <v>1994565</v>
      </c>
      <c r="O31" s="75">
        <f>I31-N31</f>
        <v>-562007.90999999992</v>
      </c>
      <c r="P31" s="76">
        <f>+I31/N31</f>
        <v>0.7182303359379113</v>
      </c>
      <c r="R31" s="79"/>
    </row>
    <row r="32" spans="1:18">
      <c r="B32" s="75">
        <v>37049.46</v>
      </c>
      <c r="C32" s="75">
        <v>38682</v>
      </c>
      <c r="D32" s="75">
        <f>B32-C32</f>
        <v>-1632.5400000000009</v>
      </c>
      <c r="E32" s="76">
        <f>+B32/C32</f>
        <v>0.95779587404994571</v>
      </c>
      <c r="G32" s="65" t="s">
        <v>35</v>
      </c>
      <c r="I32" s="75">
        <v>355229.77</v>
      </c>
      <c r="J32" s="75">
        <v>364440</v>
      </c>
      <c r="K32" s="75">
        <f>I32-J32</f>
        <v>-9210.2299999999814</v>
      </c>
      <c r="L32" s="76">
        <f>+I32/J32</f>
        <v>0.97472771924047863</v>
      </c>
      <c r="M32" s="76"/>
      <c r="N32" s="75">
        <v>494079</v>
      </c>
      <c r="O32" s="75">
        <f>I32-N32</f>
        <v>-138849.22999999998</v>
      </c>
      <c r="P32" s="76">
        <f>+I32/N32</f>
        <v>0.71897362567524625</v>
      </c>
      <c r="R32" s="79"/>
    </row>
    <row r="33" spans="2:18">
      <c r="B33" s="75">
        <v>2778.57</v>
      </c>
      <c r="C33" s="75">
        <v>2040</v>
      </c>
      <c r="D33" s="75">
        <f>B33-C33</f>
        <v>738.57000000000016</v>
      </c>
      <c r="E33" s="76">
        <f>+B33/C33</f>
        <v>1.3620441176470588</v>
      </c>
      <c r="G33" s="65" t="s">
        <v>36</v>
      </c>
      <c r="I33" s="75">
        <v>215772.35</v>
      </c>
      <c r="J33" s="75">
        <v>224930</v>
      </c>
      <c r="K33" s="75">
        <f>I33-J33</f>
        <v>-9157.6499999999942</v>
      </c>
      <c r="L33" s="76">
        <f>+I33/J33</f>
        <v>0.9592866669630552</v>
      </c>
      <c r="M33" s="76"/>
      <c r="N33" s="75">
        <v>231060</v>
      </c>
      <c r="O33" s="75">
        <f>I33-N33</f>
        <v>-15287.649999999994</v>
      </c>
      <c r="P33" s="76">
        <f>+I33/N33</f>
        <v>0.93383688219510086</v>
      </c>
      <c r="R33" s="79"/>
    </row>
    <row r="34" spans="2:18">
      <c r="B34" s="75">
        <f>257164.96-193239</f>
        <v>63925.959999999992</v>
      </c>
      <c r="C34" s="75">
        <f>258431-192136</f>
        <v>66295</v>
      </c>
      <c r="D34" s="75">
        <f>B34-C34</f>
        <v>-2369.0400000000081</v>
      </c>
      <c r="E34" s="76">
        <f>+B34/C34</f>
        <v>0.96426517836940928</v>
      </c>
      <c r="G34" s="65" t="s">
        <v>37</v>
      </c>
      <c r="I34" s="75">
        <f>2681931.92-2003559</f>
        <v>678372.91999999993</v>
      </c>
      <c r="J34" s="75">
        <f>2653973-2057398</f>
        <v>596575</v>
      </c>
      <c r="K34" s="75">
        <f>I34-J34</f>
        <v>81797.919999999925</v>
      </c>
      <c r="L34" s="76">
        <f>+I34/J34</f>
        <v>1.1371125508108786</v>
      </c>
      <c r="M34" s="76"/>
      <c r="N34" s="75">
        <f>3515204-2719704</f>
        <v>795500</v>
      </c>
      <c r="O34" s="75">
        <f>I34-N34</f>
        <v>-117127.08000000007</v>
      </c>
      <c r="P34" s="76">
        <f>+I34/N34</f>
        <v>0.85276294154619725</v>
      </c>
      <c r="R34" s="79"/>
    </row>
    <row r="35" spans="2:18" s="62" customFormat="1">
      <c r="B35" s="87">
        <f>SUM(B31:B34)</f>
        <v>257165.06</v>
      </c>
      <c r="C35" s="87">
        <f>SUM(C31:C34)</f>
        <v>258431</v>
      </c>
      <c r="D35" s="87">
        <f>+B35-C35</f>
        <v>-1265.9400000000023</v>
      </c>
      <c r="E35" s="76">
        <f>+B35/C35</f>
        <v>0.9951014390688423</v>
      </c>
      <c r="G35" s="62" t="s">
        <v>38</v>
      </c>
      <c r="I35" s="87">
        <f>SUM(I31:I34)</f>
        <v>2681932.13</v>
      </c>
      <c r="J35" s="87">
        <f>SUM(J31:J34)</f>
        <v>2653973</v>
      </c>
      <c r="K35" s="87">
        <f>SUM(K31:K34)</f>
        <v>27959.130000000034</v>
      </c>
      <c r="L35" s="76">
        <f>+I35/J35</f>
        <v>1.0105348208139269</v>
      </c>
      <c r="M35" s="76"/>
      <c r="N35" s="87">
        <f>SUM(N31:N34)</f>
        <v>3515204</v>
      </c>
      <c r="O35" s="87">
        <f>SUM(O31:O34)</f>
        <v>-833271.87</v>
      </c>
      <c r="P35" s="76">
        <f>+I35/N35</f>
        <v>0.76295205911235875</v>
      </c>
      <c r="R35" s="79"/>
    </row>
    <row r="36" spans="2:18">
      <c r="B36" s="67"/>
      <c r="C36" s="67"/>
      <c r="E36" s="76"/>
      <c r="I36" s="67"/>
      <c r="J36" s="67"/>
      <c r="L36" s="80"/>
      <c r="M36" s="80"/>
      <c r="N36" s="67"/>
      <c r="P36" s="80"/>
      <c r="R36" s="79"/>
    </row>
    <row r="37" spans="2:18">
      <c r="B37" s="75">
        <v>15546.75</v>
      </c>
      <c r="C37" s="75">
        <v>13425</v>
      </c>
      <c r="D37" s="75">
        <f>B37-C37</f>
        <v>2121.75</v>
      </c>
      <c r="E37" s="76">
        <f>+B37/C37</f>
        <v>1.1580446927374302</v>
      </c>
      <c r="G37" s="65" t="s">
        <v>39</v>
      </c>
      <c r="I37" s="75">
        <v>132357.62</v>
      </c>
      <c r="J37" s="75">
        <v>125228</v>
      </c>
      <c r="K37" s="75">
        <f>I37-J37</f>
        <v>7129.6199999999953</v>
      </c>
      <c r="L37" s="76">
        <f>+I37/J37</f>
        <v>1.056933114000064</v>
      </c>
      <c r="M37" s="76"/>
      <c r="N37" s="75">
        <v>169926</v>
      </c>
      <c r="O37" s="75">
        <f>I37-N37</f>
        <v>-37568.380000000005</v>
      </c>
      <c r="P37" s="76">
        <f>+I37/N37</f>
        <v>0.77891329166813783</v>
      </c>
      <c r="R37" s="79"/>
    </row>
    <row r="38" spans="2:18">
      <c r="B38" s="75">
        <v>146.22999999999999</v>
      </c>
      <c r="C38" s="75">
        <v>0</v>
      </c>
      <c r="D38" s="75">
        <f>B38-C38</f>
        <v>146.22999999999999</v>
      </c>
      <c r="E38" s="76"/>
      <c r="G38" s="65" t="s">
        <v>40</v>
      </c>
      <c r="I38" s="75">
        <v>13289.47</v>
      </c>
      <c r="J38" s="75">
        <v>10900</v>
      </c>
      <c r="K38" s="75">
        <f>I38-J38</f>
        <v>2389.4699999999993</v>
      </c>
      <c r="L38" s="76">
        <f>+I38/J38</f>
        <v>1.2192174311926605</v>
      </c>
      <c r="M38" s="76"/>
      <c r="N38" s="75">
        <v>10900</v>
      </c>
      <c r="O38" s="75">
        <f>I38-N38</f>
        <v>2389.4699999999993</v>
      </c>
      <c r="P38" s="76">
        <f>+I38/N38</f>
        <v>1.2192174311926605</v>
      </c>
      <c r="R38" s="79"/>
    </row>
    <row r="39" spans="2:18">
      <c r="B39" s="75">
        <f>16508.2-15547</f>
        <v>961.20000000000073</v>
      </c>
      <c r="C39" s="75">
        <f>15752-13425</f>
        <v>2327</v>
      </c>
      <c r="D39" s="75">
        <f>B39-C39</f>
        <v>-1365.7999999999993</v>
      </c>
      <c r="E39" s="76">
        <f>+B39/C39</f>
        <v>0.4130640309411262</v>
      </c>
      <c r="G39" s="65" t="s">
        <v>41</v>
      </c>
      <c r="I39" s="75">
        <f>169365.76-132358</f>
        <v>37007.760000000009</v>
      </c>
      <c r="J39" s="75">
        <f>156795-125228</f>
        <v>31567</v>
      </c>
      <c r="K39" s="75">
        <f>I39-J39</f>
        <v>5440.7600000000093</v>
      </c>
      <c r="L39" s="76">
        <f>+I39/J39</f>
        <v>1.1723559413311373</v>
      </c>
      <c r="M39" s="76"/>
      <c r="N39" s="75">
        <f>208476-180826</f>
        <v>27650</v>
      </c>
      <c r="O39" s="75">
        <f>I39-N39</f>
        <v>9357.7600000000093</v>
      </c>
      <c r="P39" s="76">
        <f>+I39/N39</f>
        <v>1.3384361663652806</v>
      </c>
      <c r="R39" s="79"/>
    </row>
    <row r="40" spans="2:18" s="62" customFormat="1">
      <c r="B40" s="87">
        <f>B39+B37</f>
        <v>16507.95</v>
      </c>
      <c r="C40" s="87">
        <f>C39+C37</f>
        <v>15752</v>
      </c>
      <c r="D40" s="87">
        <f>+B40-C40</f>
        <v>755.95000000000073</v>
      </c>
      <c r="E40" s="76">
        <f>+B40/C40</f>
        <v>1.0479907313357035</v>
      </c>
      <c r="G40" s="62" t="s">
        <v>42</v>
      </c>
      <c r="I40" s="87">
        <f>I39+I37</f>
        <v>169365.38</v>
      </c>
      <c r="J40" s="87">
        <f>J39+J37</f>
        <v>156795</v>
      </c>
      <c r="K40" s="87">
        <f>K39+K37</f>
        <v>12570.380000000005</v>
      </c>
      <c r="L40" s="76">
        <f>+I40/J40</f>
        <v>1.0801707962626359</v>
      </c>
      <c r="M40" s="76"/>
      <c r="N40" s="87">
        <f>SUM(N37:N39)</f>
        <v>208476</v>
      </c>
      <c r="O40" s="87">
        <f>O39+O37</f>
        <v>-28210.619999999995</v>
      </c>
      <c r="P40" s="76">
        <f>+I40/N40</f>
        <v>0.81239749419597462</v>
      </c>
      <c r="R40" s="79"/>
    </row>
    <row r="41" spans="2:18">
      <c r="B41" s="67"/>
      <c r="C41" s="67"/>
      <c r="E41" s="76"/>
      <c r="I41" s="67"/>
      <c r="J41" s="67"/>
      <c r="L41" s="80"/>
      <c r="M41" s="80"/>
      <c r="N41" s="67"/>
      <c r="P41" s="80"/>
      <c r="R41" s="79"/>
    </row>
    <row r="42" spans="2:18">
      <c r="B42" s="75">
        <v>7834.57</v>
      </c>
      <c r="C42" s="75">
        <v>9275</v>
      </c>
      <c r="D42" s="75">
        <f>B42-C42</f>
        <v>-1440.4300000000003</v>
      </c>
      <c r="E42" s="76">
        <f>+B42/C42</f>
        <v>0.84469757412398916</v>
      </c>
      <c r="G42" s="65" t="s">
        <v>43</v>
      </c>
      <c r="I42" s="75">
        <v>91728.82</v>
      </c>
      <c r="J42" s="75">
        <v>86523</v>
      </c>
      <c r="K42" s="75">
        <f>I42-J42</f>
        <v>5205.820000000007</v>
      </c>
      <c r="L42" s="76">
        <f>+I42/J42</f>
        <v>1.0601668920402669</v>
      </c>
      <c r="M42" s="76"/>
      <c r="N42" s="75">
        <v>117412</v>
      </c>
      <c r="O42" s="75">
        <f>I42-N42</f>
        <v>-25683.179999999993</v>
      </c>
      <c r="P42" s="76">
        <f>+I42/N42</f>
        <v>0.78125591932681504</v>
      </c>
      <c r="R42" s="79"/>
    </row>
    <row r="43" spans="2:18">
      <c r="B43" s="75">
        <v>29.98</v>
      </c>
      <c r="C43" s="75">
        <v>31</v>
      </c>
      <c r="D43" s="75">
        <f>B43-C43</f>
        <v>-1.0199999999999996</v>
      </c>
      <c r="E43" s="76">
        <f>+B43/C43</f>
        <v>0.96709677419354845</v>
      </c>
      <c r="G43" s="65" t="s">
        <v>44</v>
      </c>
      <c r="I43" s="75">
        <v>98522.05</v>
      </c>
      <c r="J43" s="75">
        <v>94850</v>
      </c>
      <c r="K43" s="75">
        <f>I43-J43</f>
        <v>3672.0500000000029</v>
      </c>
      <c r="L43" s="76">
        <f>+I43/J43</f>
        <v>1.0387142857142857</v>
      </c>
      <c r="M43" s="76"/>
      <c r="N43" s="75">
        <v>94941</v>
      </c>
      <c r="O43" s="75">
        <f>I43-N43</f>
        <v>3581.0500000000029</v>
      </c>
      <c r="P43" s="76">
        <f>+I43/N43</f>
        <v>1.0377186884486156</v>
      </c>
      <c r="R43" s="79"/>
    </row>
    <row r="44" spans="2:18">
      <c r="B44" s="75">
        <f>10219.93-7865</f>
        <v>2354.9300000000003</v>
      </c>
      <c r="C44" s="75">
        <f>11659-9306</f>
        <v>2353</v>
      </c>
      <c r="D44" s="75">
        <f>B44-C44</f>
        <v>1.930000000000291</v>
      </c>
      <c r="E44" s="76">
        <f>+B44/C44</f>
        <v>1.0008202294942627</v>
      </c>
      <c r="G44" s="65" t="s">
        <v>45</v>
      </c>
      <c r="I44" s="75">
        <f>206504.95-190251</f>
        <v>16253.950000000012</v>
      </c>
      <c r="J44" s="75">
        <f>202520-181373</f>
        <v>21147</v>
      </c>
      <c r="K44" s="75">
        <f>I44-J44</f>
        <v>-4893.0499999999884</v>
      </c>
      <c r="L44" s="76">
        <f>+I44/J44</f>
        <v>0.76861729796188638</v>
      </c>
      <c r="M44" s="76"/>
      <c r="N44" s="75">
        <f>240563.3-212353</f>
        <v>28210.299999999988</v>
      </c>
      <c r="O44" s="75">
        <f>I44-N44</f>
        <v>-11956.349999999977</v>
      </c>
      <c r="P44" s="76">
        <f>+I44/N44</f>
        <v>0.57617076032513015</v>
      </c>
      <c r="R44" s="79"/>
    </row>
    <row r="45" spans="2:18" s="62" customFormat="1">
      <c r="B45" s="87">
        <f>SUM(B42:B44)</f>
        <v>10219.48</v>
      </c>
      <c r="C45" s="87">
        <f>SUM(C42:C44)</f>
        <v>11659</v>
      </c>
      <c r="D45" s="87">
        <f>+B45-C45</f>
        <v>-1439.5200000000004</v>
      </c>
      <c r="E45" s="76">
        <f>+B45/C45</f>
        <v>0.87653143494296248</v>
      </c>
      <c r="G45" s="62" t="s">
        <v>46</v>
      </c>
      <c r="I45" s="87">
        <f>SUM(I42:I44)</f>
        <v>206504.82</v>
      </c>
      <c r="J45" s="87">
        <f>SUM(J42:J44)</f>
        <v>202520</v>
      </c>
      <c r="K45" s="87">
        <f>SUM(K42:K44)</f>
        <v>3984.8200000000215</v>
      </c>
      <c r="L45" s="76">
        <f>+I45/J45</f>
        <v>1.0196761801303575</v>
      </c>
      <c r="M45" s="76"/>
      <c r="N45" s="87">
        <f>SUM(N42:N44)</f>
        <v>240563.3</v>
      </c>
      <c r="O45" s="87">
        <f>SUM(O42:O44)</f>
        <v>-34058.479999999967</v>
      </c>
      <c r="P45" s="76">
        <f>+I45/N45</f>
        <v>0.85842196211974153</v>
      </c>
      <c r="R45" s="79"/>
    </row>
    <row r="46" spans="2:18">
      <c r="B46" s="67"/>
      <c r="C46" s="67"/>
      <c r="E46" s="76"/>
      <c r="I46" s="67"/>
      <c r="J46" s="67"/>
      <c r="L46" s="80"/>
      <c r="M46" s="80"/>
      <c r="N46" s="67"/>
      <c r="P46" s="80"/>
      <c r="R46" s="79"/>
    </row>
    <row r="47" spans="2:18" s="62" customFormat="1">
      <c r="B47" s="87">
        <v>9496.81</v>
      </c>
      <c r="C47" s="87">
        <v>11368</v>
      </c>
      <c r="D47" s="87">
        <f>+B47-C47</f>
        <v>-1871.1900000000005</v>
      </c>
      <c r="E47" s="76">
        <f>+B47/C47</f>
        <v>0.83539848698099928</v>
      </c>
      <c r="G47" s="62" t="s">
        <v>47</v>
      </c>
      <c r="I47" s="87">
        <v>100062.54</v>
      </c>
      <c r="J47" s="87">
        <v>106926</v>
      </c>
      <c r="K47" s="87">
        <f>I47-J47</f>
        <v>-6863.4600000000064</v>
      </c>
      <c r="L47" s="76">
        <f>+I47/J47</f>
        <v>0.93581112171034164</v>
      </c>
      <c r="M47" s="76"/>
      <c r="N47" s="87">
        <v>145714</v>
      </c>
      <c r="O47" s="87">
        <f>I47-N47</f>
        <v>-45651.460000000006</v>
      </c>
      <c r="P47" s="76">
        <f>+I47/N47</f>
        <v>0.68670505236284773</v>
      </c>
      <c r="R47" s="79"/>
    </row>
    <row r="48" spans="2:18">
      <c r="B48" s="67"/>
      <c r="C48" s="67"/>
      <c r="E48" s="76"/>
      <c r="I48" s="67"/>
      <c r="J48" s="67"/>
      <c r="L48" s="80"/>
      <c r="M48" s="80"/>
      <c r="N48" s="67"/>
      <c r="P48" s="80"/>
      <c r="R48" s="79"/>
    </row>
    <row r="49" spans="1:18" s="62" customFormat="1">
      <c r="B49" s="87">
        <v>2827.32</v>
      </c>
      <c r="C49" s="87">
        <v>3555</v>
      </c>
      <c r="D49" s="87">
        <f>+B49-C49</f>
        <v>-727.67999999999984</v>
      </c>
      <c r="E49" s="76">
        <f>+B49/C49</f>
        <v>0.79530801687763719</v>
      </c>
      <c r="G49" s="62" t="s">
        <v>48</v>
      </c>
      <c r="I49" s="87">
        <v>32127.93</v>
      </c>
      <c r="J49" s="87">
        <v>33277</v>
      </c>
      <c r="K49" s="87">
        <f>I49-J49</f>
        <v>-1149.0699999999997</v>
      </c>
      <c r="L49" s="76">
        <f>+I49/J49</f>
        <v>0.96546954352856329</v>
      </c>
      <c r="M49" s="76"/>
      <c r="N49" s="87">
        <v>45232</v>
      </c>
      <c r="O49" s="87">
        <f>I49-N49</f>
        <v>-13104.07</v>
      </c>
      <c r="P49" s="76">
        <f>+I49/N49</f>
        <v>0.71029204987619388</v>
      </c>
      <c r="R49" s="79"/>
    </row>
    <row r="50" spans="1:18">
      <c r="B50" s="67"/>
      <c r="C50" s="67"/>
      <c r="E50" s="76"/>
      <c r="I50" s="67"/>
      <c r="J50" s="67"/>
      <c r="L50" s="80"/>
      <c r="M50" s="80"/>
      <c r="N50" s="67"/>
      <c r="P50" s="80"/>
      <c r="R50" s="79"/>
    </row>
    <row r="51" spans="1:18">
      <c r="B51" s="75">
        <v>2210.79</v>
      </c>
      <c r="C51" s="75">
        <v>2200</v>
      </c>
      <c r="D51" s="75">
        <f>B51-C51</f>
        <v>10.789999999999964</v>
      </c>
      <c r="E51" s="76">
        <f>+B51/C51</f>
        <v>1.0049045454545453</v>
      </c>
      <c r="G51" s="65" t="s">
        <v>49</v>
      </c>
      <c r="I51" s="75">
        <v>20744.669999999998</v>
      </c>
      <c r="J51" s="75">
        <v>20839</v>
      </c>
      <c r="K51" s="75">
        <f>I51-J51</f>
        <v>-94.330000000001746</v>
      </c>
      <c r="L51" s="76">
        <f>+I51/J51</f>
        <v>0.99547339123758327</v>
      </c>
      <c r="M51" s="76"/>
      <c r="N51" s="75">
        <v>28474</v>
      </c>
      <c r="O51" s="75">
        <f>I51-N51</f>
        <v>-7729.3300000000017</v>
      </c>
      <c r="P51" s="76">
        <f>+I51/N51</f>
        <v>0.72854779799114977</v>
      </c>
      <c r="R51" s="79"/>
    </row>
    <row r="52" spans="1:18">
      <c r="B52" s="75">
        <v>1009.36</v>
      </c>
      <c r="C52" s="75">
        <v>1032</v>
      </c>
      <c r="D52" s="75">
        <f>B52-C52</f>
        <v>-22.639999999999986</v>
      </c>
      <c r="E52" s="76">
        <f>+B52/C52</f>
        <v>0.97806201550387595</v>
      </c>
      <c r="G52" s="65" t="s">
        <v>50</v>
      </c>
      <c r="I52" s="75">
        <v>440955.93</v>
      </c>
      <c r="J52" s="75">
        <v>457477</v>
      </c>
      <c r="K52" s="75">
        <f>I52-J52</f>
        <v>-16521.070000000007</v>
      </c>
      <c r="L52" s="76">
        <f>+I52/J52</f>
        <v>0.96388655604544049</v>
      </c>
      <c r="M52" s="76"/>
      <c r="N52" s="75">
        <v>465573.12</v>
      </c>
      <c r="O52" s="75">
        <f>I52-N52</f>
        <v>-24617.190000000002</v>
      </c>
      <c r="P52" s="76">
        <f>+I52/N52</f>
        <v>0.94712497577179711</v>
      </c>
      <c r="R52" s="79"/>
    </row>
    <row r="53" spans="1:18">
      <c r="B53" s="75">
        <f>6738.72-3220</f>
        <v>3518.7200000000003</v>
      </c>
      <c r="C53" s="75">
        <f>5248-3232</f>
        <v>2016</v>
      </c>
      <c r="D53" s="75">
        <f>B53-C53</f>
        <v>1502.7200000000003</v>
      </c>
      <c r="E53" s="76">
        <f>+B53/C53</f>
        <v>1.7453968253968255</v>
      </c>
      <c r="G53" s="65" t="s">
        <v>51</v>
      </c>
      <c r="I53" s="75">
        <f>502217.11-461701</f>
        <v>40516.109999999986</v>
      </c>
      <c r="J53" s="75">
        <f>515357-478316</f>
        <v>37041</v>
      </c>
      <c r="K53" s="75">
        <f>I53-J53</f>
        <v>3475.109999999986</v>
      </c>
      <c r="L53" s="76">
        <f>+I53/J53</f>
        <v>1.0938179314813312</v>
      </c>
      <c r="M53" s="76"/>
      <c r="N53" s="75">
        <f>539137-494047</f>
        <v>45090</v>
      </c>
      <c r="O53" s="75">
        <f>I53-N53</f>
        <v>-4573.890000000014</v>
      </c>
      <c r="P53" s="76">
        <f>+I53/N53</f>
        <v>0.89856087824351272</v>
      </c>
      <c r="R53" s="79"/>
    </row>
    <row r="54" spans="1:18" s="62" customFormat="1">
      <c r="B54" s="87">
        <f>B53+B52+B51</f>
        <v>6738.87</v>
      </c>
      <c r="C54" s="87">
        <f>C53+C52+C51</f>
        <v>5248</v>
      </c>
      <c r="D54" s="87">
        <f>+B54-C54</f>
        <v>1490.87</v>
      </c>
      <c r="E54" s="76">
        <f>+B54/C54</f>
        <v>1.2840834603658537</v>
      </c>
      <c r="G54" s="62" t="s">
        <v>52</v>
      </c>
      <c r="I54" s="87">
        <f>I53+I52+I51</f>
        <v>502216.70999999996</v>
      </c>
      <c r="J54" s="87">
        <f>J53+J52+J51</f>
        <v>515357</v>
      </c>
      <c r="K54" s="87">
        <f>K53+K52+K51</f>
        <v>-13140.290000000023</v>
      </c>
      <c r="L54" s="76">
        <f>+I54/J54</f>
        <v>0.97450254871865516</v>
      </c>
      <c r="M54" s="76"/>
      <c r="N54" s="87">
        <f>N53+N52+N51</f>
        <v>539137.12</v>
      </c>
      <c r="O54" s="87">
        <f>O53+O52+O51</f>
        <v>-36920.410000000018</v>
      </c>
      <c r="P54" s="76">
        <f>+I54/N54</f>
        <v>0.93151944351373905</v>
      </c>
      <c r="R54" s="79"/>
    </row>
    <row r="55" spans="1:18" s="81" customFormat="1" ht="14.25">
      <c r="A55" s="65"/>
      <c r="B55" s="67"/>
      <c r="C55" s="67"/>
      <c r="D55" s="67"/>
      <c r="E55" s="76"/>
      <c r="F55" s="65"/>
      <c r="G55" s="65"/>
      <c r="H55" s="65"/>
      <c r="I55" s="67"/>
      <c r="J55" s="67"/>
      <c r="K55" s="67"/>
      <c r="L55" s="80"/>
      <c r="R55" s="79"/>
    </row>
    <row r="56" spans="1:18">
      <c r="B56" s="77">
        <f>+B54+B49+B47+B45+B40+B35+B29+B24</f>
        <v>422229.31</v>
      </c>
      <c r="C56" s="77">
        <f>+C54+C49+C47+C45+C40+C35+C29+C24</f>
        <v>458603</v>
      </c>
      <c r="D56" s="77">
        <f>B56-C56</f>
        <v>-36373.69</v>
      </c>
      <c r="E56" s="76">
        <f>+B56/C56</f>
        <v>0.9206858873579109</v>
      </c>
      <c r="F56" s="62"/>
      <c r="G56" s="78" t="s">
        <v>53</v>
      </c>
      <c r="H56" s="62"/>
      <c r="I56" s="77">
        <f>+I54+I49+I47+I45+I40+I35+I29+I24</f>
        <v>5063209</v>
      </c>
      <c r="J56" s="77">
        <f>+J54+J49+J47+J45+J40+J35+J29+J24</f>
        <v>5281594</v>
      </c>
      <c r="K56" s="77">
        <f>I56-J56</f>
        <v>-218385</v>
      </c>
      <c r="L56" s="76">
        <f>+I56/J56</f>
        <v>0.95865168735044759</v>
      </c>
      <c r="M56" s="88"/>
      <c r="N56" s="77">
        <f>+N54+N49+N47+N45+N40+N35+N29+N24</f>
        <v>11495827.42</v>
      </c>
      <c r="O56" s="77">
        <f>I56-N56</f>
        <v>-6432618.4199999999</v>
      </c>
      <c r="P56" s="76">
        <f>+I56/N56</f>
        <v>0.44043884924639903</v>
      </c>
      <c r="R56" s="79"/>
    </row>
    <row r="57" spans="1:18" s="81" customFormat="1" ht="14.25">
      <c r="A57" s="65"/>
      <c r="B57" s="67"/>
      <c r="C57" s="67"/>
      <c r="D57" s="67"/>
      <c r="E57" s="76"/>
      <c r="F57" s="65"/>
      <c r="G57" s="65"/>
      <c r="H57" s="65"/>
      <c r="I57" s="67"/>
      <c r="J57" s="67"/>
      <c r="K57" s="67"/>
      <c r="L57" s="80"/>
      <c r="R57" s="79"/>
    </row>
    <row r="58" spans="1:18">
      <c r="B58" s="77">
        <f>+B14-B56</f>
        <v>-124187.32999999996</v>
      </c>
      <c r="C58" s="77">
        <f>+C14-C56</f>
        <v>-180908</v>
      </c>
      <c r="D58" s="77">
        <f>B58-C58</f>
        <v>56720.670000000042</v>
      </c>
      <c r="E58" s="76">
        <f>+B58/C58</f>
        <v>0.68646676763879955</v>
      </c>
      <c r="F58" s="62"/>
      <c r="G58" s="78" t="s">
        <v>54</v>
      </c>
      <c r="H58" s="62"/>
      <c r="I58" s="77">
        <f>+I14-I56</f>
        <v>910498.65999999922</v>
      </c>
      <c r="J58" s="77">
        <f>+J14-J56</f>
        <v>476426</v>
      </c>
      <c r="K58" s="77">
        <f>I58-J58</f>
        <v>434072.65999999922</v>
      </c>
      <c r="L58" s="76">
        <f>+I58/J58</f>
        <v>1.9111019549730688</v>
      </c>
      <c r="M58" s="88"/>
      <c r="N58" s="77">
        <f>+N14-N56</f>
        <v>127472.58000000007</v>
      </c>
      <c r="O58" s="89"/>
      <c r="P58" s="76"/>
      <c r="R58" s="79"/>
    </row>
    <row r="60" spans="1:18" s="90" customFormat="1" ht="14.25" hidden="1">
      <c r="A60" s="81"/>
      <c r="D60" s="91" t="s">
        <v>55</v>
      </c>
      <c r="F60" s="116" t="s">
        <v>56</v>
      </c>
      <c r="G60" s="116"/>
      <c r="H60" s="116"/>
      <c r="I60" s="116"/>
      <c r="J60" s="116"/>
      <c r="K60" s="116"/>
      <c r="L60" s="116"/>
      <c r="M60" s="116"/>
      <c r="N60" s="116"/>
    </row>
    <row r="61" spans="1:18" s="90" customFormat="1" ht="11.25" hidden="1">
      <c r="C61" s="91"/>
      <c r="G61" s="92" t="s">
        <v>57</v>
      </c>
      <c r="I61" s="93">
        <f>-I6*0.03</f>
        <v>-22188.78</v>
      </c>
      <c r="J61" s="93">
        <f>-J6*0.03</f>
        <v>-14280</v>
      </c>
      <c r="L61" s="90" t="s">
        <v>57</v>
      </c>
      <c r="N61" s="93">
        <v>-23100</v>
      </c>
    </row>
    <row r="62" spans="1:18" s="90" customFormat="1" ht="11.25" hidden="1">
      <c r="B62" s="91"/>
      <c r="C62" s="91"/>
      <c r="D62" s="91"/>
      <c r="G62" s="92" t="s">
        <v>58</v>
      </c>
      <c r="I62" s="93">
        <f>-0.2*I11</f>
        <v>-120249.32</v>
      </c>
      <c r="J62" s="93">
        <f>-0.2*J11</f>
        <v>-91810</v>
      </c>
      <c r="L62" s="90" t="s">
        <v>58</v>
      </c>
      <c r="N62" s="93">
        <v>-38500</v>
      </c>
    </row>
    <row r="63" spans="1:18" s="90" customFormat="1" ht="11.25" hidden="1">
      <c r="B63" s="91"/>
      <c r="C63" s="91"/>
      <c r="D63" s="91"/>
      <c r="G63" s="92" t="s">
        <v>59</v>
      </c>
      <c r="I63" s="93">
        <f>995729*-0.05</f>
        <v>-49786.450000000004</v>
      </c>
      <c r="J63" s="93">
        <f>-0.05*(755000)</f>
        <v>-37750</v>
      </c>
      <c r="L63" s="90" t="s">
        <v>59</v>
      </c>
      <c r="N63" s="93">
        <v>-37750</v>
      </c>
    </row>
    <row r="64" spans="1:18" s="90" customFormat="1" ht="11.25" hidden="1">
      <c r="B64" s="91"/>
      <c r="C64" s="91"/>
      <c r="D64" s="91"/>
      <c r="F64" s="94" t="s">
        <v>60</v>
      </c>
      <c r="G64" s="95"/>
      <c r="H64" s="94"/>
      <c r="I64" s="96">
        <f>-SUM(I61:I63)</f>
        <v>192224.55000000002</v>
      </c>
      <c r="J64" s="96">
        <f>-SUM(J61:J63)</f>
        <v>143840</v>
      </c>
      <c r="K64" s="94"/>
      <c r="L64" s="94"/>
      <c r="M64" s="94"/>
      <c r="N64" s="96">
        <v>99350</v>
      </c>
    </row>
    <row r="65" spans="1:15" s="90" customFormat="1" ht="11.25" hidden="1">
      <c r="B65" s="91"/>
      <c r="C65" s="91"/>
      <c r="D65" s="91"/>
      <c r="G65" s="92"/>
      <c r="I65" s="93"/>
      <c r="J65" s="93"/>
    </row>
    <row r="66" spans="1:15" s="81" customFormat="1" ht="14.25" hidden="1">
      <c r="A66" s="90"/>
      <c r="B66" s="90"/>
      <c r="C66" s="90"/>
      <c r="D66" s="91"/>
      <c r="E66" s="90"/>
      <c r="F66" s="116" t="s">
        <v>61</v>
      </c>
      <c r="G66" s="116"/>
      <c r="H66" s="116"/>
      <c r="I66" s="116"/>
      <c r="J66" s="116"/>
      <c r="K66" s="116"/>
      <c r="L66" s="116"/>
      <c r="M66" s="116"/>
      <c r="N66" s="116"/>
    </row>
    <row r="67" spans="1:15" s="81" customFormat="1" ht="14.25" hidden="1">
      <c r="A67" s="90"/>
      <c r="B67" s="90"/>
      <c r="C67" s="90"/>
      <c r="D67" s="97"/>
      <c r="E67" s="90"/>
      <c r="F67" s="90"/>
      <c r="G67" s="98" t="s">
        <v>62</v>
      </c>
      <c r="H67" s="90"/>
      <c r="I67" s="93">
        <f>-I8*0.5</f>
        <v>-224695.63</v>
      </c>
      <c r="J67" s="93">
        <f>-J8*0.5</f>
        <v>-230375</v>
      </c>
      <c r="K67" s="90"/>
      <c r="L67" s="99" t="s">
        <v>62</v>
      </c>
      <c r="N67" s="93">
        <v>-50000</v>
      </c>
    </row>
    <row r="68" spans="1:15" s="90" customFormat="1" ht="11.25" hidden="1">
      <c r="F68" s="94" t="s">
        <v>63</v>
      </c>
      <c r="G68" s="94"/>
      <c r="H68" s="94"/>
      <c r="I68" s="100">
        <f>-I67</f>
        <v>224695.63</v>
      </c>
      <c r="J68" s="100">
        <f>-J67</f>
        <v>230375</v>
      </c>
      <c r="K68" s="94"/>
      <c r="L68" s="94"/>
      <c r="M68" s="94"/>
      <c r="N68" s="100">
        <v>50000</v>
      </c>
    </row>
    <row r="69" spans="1:15" s="90" customFormat="1" ht="11.25" hidden="1">
      <c r="D69" s="91"/>
      <c r="G69" s="92"/>
      <c r="L69" s="101"/>
    </row>
    <row r="70" spans="1:15" s="90" customFormat="1" ht="14.25" hidden="1">
      <c r="D70" s="91"/>
      <c r="G70" s="81"/>
      <c r="K70" s="93"/>
      <c r="N70" s="81"/>
    </row>
    <row r="71" spans="1:15" s="90" customFormat="1" hidden="1">
      <c r="D71" s="91"/>
      <c r="G71" s="78" t="s">
        <v>64</v>
      </c>
      <c r="I71" s="77" t="e">
        <f>+#REF!-I64-I68</f>
        <v>#REF!</v>
      </c>
      <c r="J71" s="77" t="e">
        <f>+#REF!-J64-J68</f>
        <v>#REF!</v>
      </c>
      <c r="K71" s="93"/>
      <c r="N71" s="77">
        <v>-114634</v>
      </c>
    </row>
    <row r="72" spans="1:15" s="90" customFormat="1" ht="14.25" hidden="1">
      <c r="A72" s="81"/>
      <c r="B72" s="81"/>
      <c r="C72" s="81"/>
      <c r="D72" s="102"/>
      <c r="E72" s="81"/>
      <c r="F72" s="81"/>
      <c r="G72" s="81"/>
      <c r="H72" s="81"/>
      <c r="I72" s="81"/>
      <c r="J72" s="81"/>
      <c r="K72" s="93"/>
    </row>
    <row r="73" spans="1:15" ht="14.25">
      <c r="A73" s="81"/>
      <c r="B73" s="81"/>
      <c r="C73" s="81"/>
      <c r="D73" s="102"/>
      <c r="E73" s="81"/>
      <c r="F73" s="81"/>
      <c r="H73" s="81"/>
      <c r="I73" s="103"/>
      <c r="J73" s="81"/>
      <c r="N73" s="104"/>
    </row>
    <row r="75" spans="1:15">
      <c r="B75" s="105">
        <f>+F75*B6</f>
        <v>3451.95</v>
      </c>
      <c r="C75" s="105">
        <f>+F75*C6</f>
        <v>1260</v>
      </c>
      <c r="D75" s="65"/>
      <c r="F75" s="106">
        <v>0.03</v>
      </c>
      <c r="G75" s="65" t="s">
        <v>65</v>
      </c>
      <c r="H75" s="106"/>
      <c r="I75" s="105">
        <f>+F75*I6</f>
        <v>22188.78</v>
      </c>
      <c r="J75" s="105">
        <f>+F75*J6</f>
        <v>14280</v>
      </c>
      <c r="K75" s="65"/>
      <c r="N75" s="105">
        <f>+F75*N6</f>
        <v>21000</v>
      </c>
      <c r="O75" s="105"/>
    </row>
    <row r="76" spans="1:15">
      <c r="B76" s="105">
        <f>+B6*F76</f>
        <v>5753.25</v>
      </c>
      <c r="C76" s="105">
        <f>+F76*C6</f>
        <v>2100</v>
      </c>
      <c r="D76" s="65"/>
      <c r="F76" s="106">
        <v>0.05</v>
      </c>
      <c r="G76" s="65" t="s">
        <v>66</v>
      </c>
      <c r="H76" s="106"/>
      <c r="I76" s="105">
        <f>+F76*I6</f>
        <v>36981.300000000003</v>
      </c>
      <c r="J76" s="105">
        <f>+F76*J6</f>
        <v>23800</v>
      </c>
      <c r="K76" s="65"/>
      <c r="N76" s="105">
        <f>+F76*N6</f>
        <v>35000</v>
      </c>
      <c r="O76" s="105"/>
    </row>
    <row r="77" spans="1:15">
      <c r="B77" s="105">
        <v>0</v>
      </c>
      <c r="C77" s="105">
        <v>0</v>
      </c>
      <c r="D77" s="65"/>
      <c r="F77" s="106">
        <v>0.05</v>
      </c>
      <c r="G77" s="65" t="s">
        <v>67</v>
      </c>
      <c r="H77" s="106"/>
      <c r="I77" s="105">
        <f>(477418+353028.5)*F77</f>
        <v>41522.325000000004</v>
      </c>
      <c r="J77" s="105">
        <f>(477000+353000)*F77</f>
        <v>41500</v>
      </c>
      <c r="K77" s="65"/>
      <c r="N77" s="105">
        <f>(477000+353000)*F77</f>
        <v>41500</v>
      </c>
      <c r="O77" s="105"/>
    </row>
    <row r="78" spans="1:15">
      <c r="B78" s="105">
        <f>+F78*B11</f>
        <v>14109.748000000001</v>
      </c>
      <c r="C78" s="105">
        <f>+F78*C11</f>
        <v>19890</v>
      </c>
      <c r="D78" s="65"/>
      <c r="F78" s="106">
        <v>0.2</v>
      </c>
      <c r="G78" s="65" t="s">
        <v>68</v>
      </c>
      <c r="H78" s="106"/>
      <c r="I78" s="105">
        <f>+F78*I11</f>
        <v>120249.32</v>
      </c>
      <c r="J78" s="105">
        <f>+F78*J11</f>
        <v>91810</v>
      </c>
      <c r="K78" s="65"/>
      <c r="N78" s="105">
        <f>+F78*N11</f>
        <v>120000</v>
      </c>
      <c r="O78" s="105"/>
    </row>
    <row r="79" spans="1:15">
      <c r="B79" s="105">
        <f>+F79*B8</f>
        <v>8452.33</v>
      </c>
      <c r="C79" s="105">
        <f>+F79*C8</f>
        <v>4750</v>
      </c>
      <c r="D79" s="65"/>
      <c r="F79" s="106">
        <v>0.5</v>
      </c>
      <c r="G79" s="65" t="s">
        <v>69</v>
      </c>
      <c r="H79" s="106"/>
      <c r="I79" s="105">
        <f>+F79*I8</f>
        <v>224695.63</v>
      </c>
      <c r="J79" s="105">
        <f>+F79*J8</f>
        <v>230375</v>
      </c>
      <c r="K79" s="65"/>
      <c r="N79" s="105">
        <f>+F79*N8</f>
        <v>237500</v>
      </c>
      <c r="O79" s="105"/>
    </row>
    <row r="80" spans="1:15">
      <c r="B80" s="105"/>
      <c r="C80" s="105"/>
      <c r="D80" s="65"/>
      <c r="I80" s="105"/>
      <c r="J80" s="105"/>
      <c r="K80" s="65"/>
      <c r="N80" s="105"/>
      <c r="O80" s="105"/>
    </row>
    <row r="81" spans="2:15">
      <c r="B81" s="105">
        <f>SUM(B75:B80)</f>
        <v>31767.278000000006</v>
      </c>
      <c r="C81" s="105">
        <f>SUM(C75:C80)</f>
        <v>28000</v>
      </c>
      <c r="D81" s="65"/>
      <c r="I81" s="105">
        <f>SUM(I75:I80)</f>
        <v>445637.35499999998</v>
      </c>
      <c r="J81" s="105">
        <f>SUM(J75:J80)</f>
        <v>401765</v>
      </c>
      <c r="K81" s="65"/>
      <c r="N81" s="105">
        <f>SUM(N75:N80)</f>
        <v>455000</v>
      </c>
      <c r="O81" s="105"/>
    </row>
  </sheetData>
  <mergeCells count="6">
    <mergeCell ref="F66:N66"/>
    <mergeCell ref="B1:G1"/>
    <mergeCell ref="I1:P1"/>
    <mergeCell ref="B3:E3"/>
    <mergeCell ref="I3:P3"/>
    <mergeCell ref="F60:N60"/>
  </mergeCells>
  <printOptions horizontalCentered="1"/>
  <pageMargins left="0" right="0" top="0" bottom="0" header="0.05" footer="0.05"/>
  <pageSetup paperSize="17" scale="88" orientation="landscape" r:id="rId1"/>
  <headerFooter>
    <oddHeader>&amp;L&amp;8&amp;D
&amp;T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93FD1-8A19-4CD4-9CFE-BE56F2E4CB0B}">
  <dimension ref="A1:AL391"/>
  <sheetViews>
    <sheetView zoomScale="190" zoomScaleNormal="190" workbookViewId="0">
      <pane xSplit="2" ySplit="4" topLeftCell="AE317" activePane="bottomRight" state="frozen"/>
      <selection pane="bottomRight" activeCell="AD122" sqref="AD122"/>
      <selection pane="bottomLeft" activeCell="A5" sqref="A5"/>
      <selection pane="topRight" activeCell="C1" sqref="C1"/>
    </sheetView>
  </sheetViews>
  <sheetFormatPr defaultColWidth="10.42578125" defaultRowHeight="11.25"/>
  <cols>
    <col min="1" max="1" width="17.28515625" style="1" bestFit="1" customWidth="1"/>
    <col min="2" max="2" width="45.5703125" style="1" bestFit="1" customWidth="1"/>
    <col min="3" max="3" width="9.85546875" style="1" hidden="1" customWidth="1"/>
    <col min="4" max="4" width="11.85546875" style="51" hidden="1" customWidth="1"/>
    <col min="5" max="5" width="2.7109375" style="1" hidden="1" customWidth="1"/>
    <col min="6" max="6" width="9.85546875" style="1" hidden="1" customWidth="1"/>
    <col min="7" max="7" width="10.140625" style="1" hidden="1" customWidth="1"/>
    <col min="8" max="8" width="2.7109375" style="1" hidden="1" customWidth="1"/>
    <col min="9" max="9" width="9.85546875" style="1" hidden="1" customWidth="1"/>
    <col min="10" max="10" width="10.85546875" style="1" hidden="1" customWidth="1"/>
    <col min="11" max="11" width="2.7109375" style="1" hidden="1" customWidth="1"/>
    <col min="12" max="12" width="9.85546875" style="1" hidden="1" customWidth="1"/>
    <col min="13" max="13" width="10.140625" style="1" hidden="1" customWidth="1"/>
    <col min="14" max="14" width="2.7109375" style="1" hidden="1" customWidth="1"/>
    <col min="15" max="15" width="10.5703125" style="1" hidden="1" customWidth="1"/>
    <col min="16" max="16" width="12.7109375" style="1" hidden="1" customWidth="1"/>
    <col min="17" max="17" width="2.7109375" style="1" hidden="1" customWidth="1"/>
    <col min="18" max="18" width="13.85546875" style="1" hidden="1" customWidth="1"/>
    <col min="19" max="19" width="16" style="1" hidden="1" customWidth="1"/>
    <col min="20" max="20" width="2.7109375" style="1" hidden="1" customWidth="1"/>
    <col min="21" max="21" width="11.140625" style="1" hidden="1" customWidth="1"/>
    <col min="22" max="22" width="13.42578125" style="1" hidden="1" customWidth="1"/>
    <col min="23" max="23" width="2.7109375" style="1" hidden="1" customWidth="1"/>
    <col min="24" max="24" width="13.140625" style="1" bestFit="1" customWidth="1"/>
    <col min="25" max="25" width="15.28515625" style="1" bestFit="1" customWidth="1"/>
    <col min="26" max="26" width="2.7109375" style="1" customWidth="1"/>
    <col min="27" max="27" width="13.140625" style="1" bestFit="1" customWidth="1"/>
    <col min="28" max="28" width="15.28515625" style="1" bestFit="1" customWidth="1"/>
    <col min="29" max="29" width="13.7109375" style="1" customWidth="1"/>
    <col min="30" max="30" width="15" style="1" customWidth="1"/>
    <col min="31" max="31" width="2.7109375" style="1" customWidth="1"/>
    <col min="32" max="32" width="12.28515625" style="1" bestFit="1" customWidth="1"/>
    <col min="33" max="33" width="13.42578125" style="51" customWidth="1"/>
    <col min="34" max="34" width="2.7109375" style="1" customWidth="1"/>
    <col min="35" max="35" width="13.140625" style="51" customWidth="1"/>
    <col min="36" max="36" width="16.28515625" style="51" customWidth="1"/>
    <col min="37" max="16384" width="10.42578125" style="1"/>
  </cols>
  <sheetData>
    <row r="1" spans="1:37" ht="15" customHeight="1">
      <c r="A1" s="124" t="s">
        <v>71</v>
      </c>
      <c r="B1" s="125" t="s">
        <v>72</v>
      </c>
      <c r="C1" s="126" t="s">
        <v>73</v>
      </c>
      <c r="D1" s="120" t="s">
        <v>74</v>
      </c>
      <c r="E1" s="31"/>
      <c r="F1" s="126" t="s">
        <v>75</v>
      </c>
      <c r="G1" s="125" t="s">
        <v>76</v>
      </c>
      <c r="H1" s="31"/>
      <c r="I1" s="126" t="s">
        <v>77</v>
      </c>
      <c r="J1" s="125" t="s">
        <v>78</v>
      </c>
      <c r="K1" s="31"/>
      <c r="L1" s="126" t="s">
        <v>79</v>
      </c>
      <c r="M1" s="125" t="s">
        <v>80</v>
      </c>
      <c r="N1" s="31"/>
      <c r="O1" s="126" t="s">
        <v>81</v>
      </c>
      <c r="P1" s="125" t="s">
        <v>82</v>
      </c>
      <c r="Q1" s="31"/>
      <c r="R1" s="126" t="s">
        <v>83</v>
      </c>
      <c r="S1" s="125" t="s">
        <v>84</v>
      </c>
      <c r="T1" s="31"/>
      <c r="U1" s="126" t="s">
        <v>85</v>
      </c>
      <c r="V1" s="125" t="s">
        <v>86</v>
      </c>
      <c r="W1" s="31"/>
      <c r="X1" s="126" t="s">
        <v>87</v>
      </c>
      <c r="Y1" s="125" t="s">
        <v>88</v>
      </c>
      <c r="Z1" s="31"/>
      <c r="AA1" s="126" t="s">
        <v>89</v>
      </c>
      <c r="AB1" s="125" t="s">
        <v>90</v>
      </c>
      <c r="AC1" s="119" t="s">
        <v>91</v>
      </c>
      <c r="AD1" s="119" t="s">
        <v>92</v>
      </c>
      <c r="AE1" s="31"/>
      <c r="AF1" s="122" t="s">
        <v>93</v>
      </c>
      <c r="AG1" s="121" t="s">
        <v>94</v>
      </c>
      <c r="AI1" s="121" t="s">
        <v>95</v>
      </c>
      <c r="AJ1" s="121" t="s">
        <v>96</v>
      </c>
    </row>
    <row r="2" spans="1:37" ht="15" customHeight="1">
      <c r="A2" s="124"/>
      <c r="B2" s="125"/>
      <c r="C2" s="126"/>
      <c r="D2" s="120"/>
      <c r="E2" s="31"/>
      <c r="F2" s="126"/>
      <c r="G2" s="125"/>
      <c r="H2" s="31"/>
      <c r="I2" s="126"/>
      <c r="J2" s="125"/>
      <c r="K2" s="31"/>
      <c r="L2" s="126"/>
      <c r="M2" s="125"/>
      <c r="N2" s="31"/>
      <c r="O2" s="126"/>
      <c r="P2" s="125"/>
      <c r="Q2" s="31"/>
      <c r="R2" s="126"/>
      <c r="S2" s="125"/>
      <c r="T2" s="31"/>
      <c r="U2" s="126"/>
      <c r="V2" s="125"/>
      <c r="W2" s="31"/>
      <c r="X2" s="126"/>
      <c r="Y2" s="125"/>
      <c r="Z2" s="31"/>
      <c r="AA2" s="126"/>
      <c r="AB2" s="125"/>
      <c r="AC2" s="119"/>
      <c r="AD2" s="119"/>
      <c r="AE2" s="31"/>
      <c r="AF2" s="122"/>
      <c r="AG2" s="121"/>
      <c r="AI2" s="121"/>
      <c r="AJ2" s="121"/>
    </row>
    <row r="3" spans="1:37" s="27" customFormat="1">
      <c r="A3" s="30"/>
      <c r="B3" s="29"/>
      <c r="C3" s="29"/>
      <c r="D3" s="48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G3" s="57"/>
      <c r="AH3" s="28"/>
      <c r="AI3" s="57"/>
      <c r="AJ3" s="57"/>
    </row>
    <row r="4" spans="1:37" ht="15" customHeight="1">
      <c r="A4" s="26" t="s">
        <v>97</v>
      </c>
      <c r="B4" s="25" t="s">
        <v>98</v>
      </c>
      <c r="C4" s="25"/>
      <c r="D4" s="49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H4" s="7"/>
    </row>
    <row r="5" spans="1:37" ht="15" customHeight="1">
      <c r="A5" s="17" t="s">
        <v>99</v>
      </c>
      <c r="B5" s="16" t="s">
        <v>100</v>
      </c>
      <c r="C5" s="13">
        <f>+(C13*0.03)+((C26+C27)*0.05)+(C29*0.2)</f>
        <v>20503.170000000002</v>
      </c>
      <c r="D5" s="24">
        <f>+(D13*0.03)+((D26+D27)*0.05)+(D29*0.2)</f>
        <v>13177.5</v>
      </c>
      <c r="E5" s="16"/>
      <c r="F5" s="13">
        <f>+(F13*0.03)+((F26+F27)*0.05)+(F29*0.2)</f>
        <v>27485.486000000001</v>
      </c>
      <c r="G5" s="13">
        <f>+(G13*0.03)+((G26+G27)*0.05)+(G29*0.2)</f>
        <v>29460</v>
      </c>
      <c r="H5" s="16"/>
      <c r="I5" s="13">
        <f>+(I13*0.03)+((I26+I27)*0.05)+(I29*0.2)</f>
        <v>13708.883000000002</v>
      </c>
      <c r="J5" s="13">
        <f>+(J13*0.03)+((J26+J27)*0.05)+(J29*0.2)</f>
        <v>16110</v>
      </c>
      <c r="K5" s="16"/>
      <c r="L5" s="13">
        <f>+(L13*0.03)+((L26+L27)*0.05)+(L29*0.2)</f>
        <v>11950.928</v>
      </c>
      <c r="M5" s="13">
        <f>+(M13*0.03)+((M26+M27)*0.05)+(M29*0.2)</f>
        <v>13892.5</v>
      </c>
      <c r="N5" s="16"/>
      <c r="O5" s="13">
        <f>+(O13*0.03)+((O26+O27)*0.05)+(O29*0.2)</f>
        <v>15133.378000000001</v>
      </c>
      <c r="P5" s="13">
        <f>+(P13*0.03)+((P26+P27)*0.05)+(P29*0.2)</f>
        <v>11182.5</v>
      </c>
      <c r="Q5" s="16"/>
      <c r="R5" s="13">
        <f>+(R13*0.03)+((R26+R27)*0.05)+(R29*0.2)</f>
        <v>17437.333999999999</v>
      </c>
      <c r="S5" s="13">
        <f>+(S13*0.03)+((S26+S27)*0.05)+(S29*0.2)</f>
        <v>11290</v>
      </c>
      <c r="T5" s="16"/>
      <c r="U5" s="13">
        <f>+(U13*0.03)+((U26+U27)*0.05)+(U29*0.2)</f>
        <v>24307.170000000002</v>
      </c>
      <c r="V5" s="13">
        <f>+(V13*0.03)+((V26+V27)*0.05)+(V29*0.2)</f>
        <v>16292.5</v>
      </c>
      <c r="W5" s="16"/>
      <c r="X5" s="13">
        <f>+(X13*0.03)+((X26+X27)*0.05)+(X29*0.2)</f>
        <v>35902.378000000004</v>
      </c>
      <c r="Y5" s="13">
        <f>+(Y13*0.03)+((Y26+Y27)*0.05)+(Y29*0.2)</f>
        <v>15035</v>
      </c>
      <c r="Z5" s="16"/>
      <c r="AA5" s="13">
        <f>+(AA13*0.03)+((AA26+AA27)*0.05)+(AA29*0.2)</f>
        <v>17561.698</v>
      </c>
      <c r="AB5" s="13">
        <f>+(AB13*0.03)+((AB26+AB27)*0.05)+(AB29*0.2)</f>
        <v>21150</v>
      </c>
      <c r="AC5" s="32">
        <f>+C5+F5+I5+L5+O5+R5+U5+X5+AA5</f>
        <v>183990.42500000002</v>
      </c>
      <c r="AD5" s="32">
        <f>+D5+G5+J5+M5+P5+S5+V5+Y5+AB5</f>
        <v>147590</v>
      </c>
      <c r="AE5" s="16"/>
      <c r="AF5" s="13">
        <f>+(AF13*0.03)+((AF26+AF27)*0.05)+(AF29*0.2)</f>
        <v>203871.1</v>
      </c>
      <c r="AG5" s="24">
        <f>+(AG13*0.03)+((AG26+AG27)*0.05)+(AG29*0.2)</f>
        <v>182500</v>
      </c>
      <c r="AH5" s="4"/>
      <c r="AI5" s="24"/>
      <c r="AJ5" s="24">
        <f>+AG5</f>
        <v>182500</v>
      </c>
    </row>
    <row r="6" spans="1:37" ht="15" customHeight="1">
      <c r="A6" s="17">
        <v>3200750</v>
      </c>
      <c r="B6" s="16" t="s">
        <v>101</v>
      </c>
      <c r="C6" s="13">
        <f>+C15*0.5</f>
        <v>0</v>
      </c>
      <c r="D6" s="24">
        <f>+D15*0.5</f>
        <v>0</v>
      </c>
      <c r="E6" s="16"/>
      <c r="F6" s="13">
        <f>+F15*0.5</f>
        <v>9026.5</v>
      </c>
      <c r="G6" s="13">
        <f>+G15*0.5</f>
        <v>7125</v>
      </c>
      <c r="H6" s="16"/>
      <c r="I6" s="13">
        <f>+I15*0.5</f>
        <v>22618.404999999999</v>
      </c>
      <c r="J6" s="13">
        <f>+J15*0.5</f>
        <v>19000</v>
      </c>
      <c r="K6" s="16"/>
      <c r="L6" s="13">
        <f>+L15*0.5</f>
        <v>42009.845000000001</v>
      </c>
      <c r="M6" s="13">
        <f>+M15*0.5</f>
        <v>26125</v>
      </c>
      <c r="N6" s="16"/>
      <c r="O6" s="13">
        <f>+O15*0.5</f>
        <v>56070.65</v>
      </c>
      <c r="P6" s="13">
        <f>+P15*0.5</f>
        <v>57000</v>
      </c>
      <c r="Q6" s="16"/>
      <c r="R6" s="13">
        <f>+R15*0.5</f>
        <v>53556.800000000003</v>
      </c>
      <c r="S6" s="13">
        <f>+S15*0.5</f>
        <v>52250</v>
      </c>
      <c r="T6" s="16"/>
      <c r="U6" s="13">
        <f>+U15*0.5</f>
        <v>24364.334999999999</v>
      </c>
      <c r="V6" s="13">
        <f>+V15*0.5</f>
        <v>52250</v>
      </c>
      <c r="W6" s="16"/>
      <c r="X6" s="13">
        <f>+X15*0.5</f>
        <v>8596.7649999999994</v>
      </c>
      <c r="Y6" s="13">
        <f>+Y15*0.5</f>
        <v>11875</v>
      </c>
      <c r="Z6" s="16"/>
      <c r="AA6" s="13">
        <f>+AA15*0.5</f>
        <v>8452.33</v>
      </c>
      <c r="AB6" s="13">
        <f>+AB15*0.5</f>
        <v>4750</v>
      </c>
      <c r="AC6" s="32">
        <f t="shared" ref="AC6:AC7" si="0">+C6+F6+I6+L6+O6+R6+U6+X6+AA6</f>
        <v>224695.62999999998</v>
      </c>
      <c r="AD6" s="32">
        <f t="shared" ref="AD6:AD7" si="1">+D6+G6+J6+M6+P6+S6+V6+Y6+AB6</f>
        <v>230375</v>
      </c>
      <c r="AE6" s="16"/>
      <c r="AF6" s="13">
        <f>+AF15*0.5</f>
        <v>250000</v>
      </c>
      <c r="AG6" s="24">
        <f>+AG15*0.5</f>
        <v>237500</v>
      </c>
      <c r="AH6" s="4"/>
      <c r="AI6" s="24"/>
      <c r="AJ6" s="24">
        <f>+AG6</f>
        <v>237500</v>
      </c>
    </row>
    <row r="7" spans="1:37" ht="15" customHeight="1">
      <c r="A7" s="17" t="s">
        <v>102</v>
      </c>
      <c r="B7" s="16" t="s">
        <v>103</v>
      </c>
      <c r="C7" s="13">
        <f>+C13*0.05</f>
        <v>0</v>
      </c>
      <c r="D7" s="24">
        <f>+D13*0.05</f>
        <v>0</v>
      </c>
      <c r="E7" s="16"/>
      <c r="F7" s="13">
        <f>+F13*0.05</f>
        <v>5080.5</v>
      </c>
      <c r="G7" s="13">
        <f>+G13*0.05</f>
        <v>3150</v>
      </c>
      <c r="H7" s="16"/>
      <c r="I7" s="13">
        <f>+I13*0.05</f>
        <v>7963.875</v>
      </c>
      <c r="J7" s="13">
        <f>+J13*0.05</f>
        <v>3850</v>
      </c>
      <c r="K7" s="16"/>
      <c r="L7" s="13">
        <f>+L13*0.05</f>
        <v>4553.625</v>
      </c>
      <c r="M7" s="13">
        <f>+M13*0.05</f>
        <v>2450</v>
      </c>
      <c r="N7" s="16"/>
      <c r="O7" s="13">
        <f>+O13*0.05</f>
        <v>4824.75</v>
      </c>
      <c r="P7" s="13">
        <f>+P13*0.05</f>
        <v>2800</v>
      </c>
      <c r="Q7" s="16"/>
      <c r="R7" s="13">
        <f>+R13*0.05</f>
        <v>2988</v>
      </c>
      <c r="S7" s="13">
        <f>+S13*0.05</f>
        <v>1750</v>
      </c>
      <c r="T7" s="16"/>
      <c r="U7" s="13">
        <f>+U13*0.05</f>
        <v>3882.3</v>
      </c>
      <c r="V7" s="13">
        <f>+V13*0.05</f>
        <v>3850</v>
      </c>
      <c r="W7" s="16"/>
      <c r="X7" s="13">
        <f>+X13*0.05</f>
        <v>1935</v>
      </c>
      <c r="Y7" s="13">
        <f>+Y13*0.05</f>
        <v>3850</v>
      </c>
      <c r="Z7" s="16"/>
      <c r="AA7" s="13">
        <f>+AA13*0.05</f>
        <v>5753.25</v>
      </c>
      <c r="AB7" s="13">
        <f>+AB13*0.05</f>
        <v>2100</v>
      </c>
      <c r="AC7" s="32">
        <f t="shared" si="0"/>
        <v>36981.300000000003</v>
      </c>
      <c r="AD7" s="32">
        <f t="shared" si="1"/>
        <v>23800</v>
      </c>
      <c r="AE7" s="16"/>
      <c r="AF7" s="13">
        <f>+AF13*0.05</f>
        <v>25000</v>
      </c>
      <c r="AG7" s="24">
        <f>+AG13*0.05</f>
        <v>35000</v>
      </c>
      <c r="AH7" s="4"/>
      <c r="AI7" s="24"/>
      <c r="AJ7" s="24">
        <f>+AG7</f>
        <v>35000</v>
      </c>
    </row>
    <row r="8" spans="1:37" ht="15" customHeight="1">
      <c r="A8" s="17"/>
      <c r="B8" s="16"/>
      <c r="C8" s="16"/>
      <c r="D8" s="50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3"/>
      <c r="AG8" s="24"/>
      <c r="AH8" s="4"/>
      <c r="AI8" s="24"/>
      <c r="AJ8" s="24"/>
    </row>
    <row r="9" spans="1:37" ht="15" customHeight="1">
      <c r="A9" s="12" t="s">
        <v>104</v>
      </c>
      <c r="B9" s="11" t="s">
        <v>105</v>
      </c>
      <c r="C9" s="10">
        <f>SUM(C5:C7)</f>
        <v>20503.170000000002</v>
      </c>
      <c r="D9" s="34">
        <f>SUM(D5:D7)</f>
        <v>13177.5</v>
      </c>
      <c r="E9" s="11"/>
      <c r="F9" s="10">
        <f>SUM(F5:F7)</f>
        <v>41592.486000000004</v>
      </c>
      <c r="G9" s="10">
        <f>SUM(G5:G7)</f>
        <v>39735</v>
      </c>
      <c r="H9" s="11"/>
      <c r="I9" s="10">
        <f>SUM(I5:I7)</f>
        <v>44291.163</v>
      </c>
      <c r="J9" s="10">
        <f>SUM(J5:J7)</f>
        <v>38960</v>
      </c>
      <c r="K9" s="11"/>
      <c r="L9" s="10">
        <f>SUM(L5:L7)</f>
        <v>58514.398000000001</v>
      </c>
      <c r="M9" s="10">
        <f>SUM(M5:M7)</f>
        <v>42467.5</v>
      </c>
      <c r="N9" s="11"/>
      <c r="O9" s="10">
        <f>SUM(O5:O7)</f>
        <v>76028.778000000006</v>
      </c>
      <c r="P9" s="10">
        <f>SUM(P5:P7)</f>
        <v>70982.5</v>
      </c>
      <c r="Q9" s="11"/>
      <c r="R9" s="10">
        <f>SUM(R5:R7)</f>
        <v>73982.134000000005</v>
      </c>
      <c r="S9" s="10">
        <f>SUM(S5:S7)</f>
        <v>65290</v>
      </c>
      <c r="T9" s="11"/>
      <c r="U9" s="10">
        <f>SUM(U5:U7)</f>
        <v>52553.805000000008</v>
      </c>
      <c r="V9" s="10">
        <f>SUM(V5:V7)</f>
        <v>72392.5</v>
      </c>
      <c r="W9" s="11"/>
      <c r="X9" s="10">
        <f>SUM(X5:X7)</f>
        <v>46434.143000000004</v>
      </c>
      <c r="Y9" s="10">
        <f>SUM(Y5:Y7)</f>
        <v>30760</v>
      </c>
      <c r="Z9" s="11"/>
      <c r="AA9" s="10">
        <f>SUM(AA5:AA7)</f>
        <v>31767.277999999998</v>
      </c>
      <c r="AB9" s="10">
        <f>SUM(AB5:AB7)</f>
        <v>28000</v>
      </c>
      <c r="AC9" s="10">
        <f>SUM(AC5:AC7)</f>
        <v>445667.35499999998</v>
      </c>
      <c r="AD9" s="10">
        <f>SUM(AD5:AD7)</f>
        <v>401765</v>
      </c>
      <c r="AE9" s="11"/>
      <c r="AF9" s="10">
        <f>SUM(AF5:AF7)</f>
        <v>478871.1</v>
      </c>
      <c r="AG9" s="34">
        <f>SUM(AG5:AG7)</f>
        <v>455000</v>
      </c>
      <c r="AH9" s="7"/>
      <c r="AI9" s="34">
        <f>SUM(AI5:AI7)</f>
        <v>0</v>
      </c>
      <c r="AJ9" s="34">
        <f>SUM(AJ5:AJ7)</f>
        <v>455000</v>
      </c>
      <c r="AK9" s="3"/>
    </row>
    <row r="10" spans="1:37" ht="15" customHeight="1">
      <c r="AH10" s="7"/>
      <c r="AK10" s="3"/>
    </row>
    <row r="11" spans="1:37">
      <c r="A11" s="26" t="s">
        <v>106</v>
      </c>
      <c r="B11" s="25" t="s">
        <v>7</v>
      </c>
      <c r="C11" s="25"/>
      <c r="D11" s="49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1" t="s">
        <v>14</v>
      </c>
      <c r="AH11" s="7"/>
      <c r="AI11" s="51" t="s">
        <v>14</v>
      </c>
      <c r="AJ11" s="51" t="s">
        <v>14</v>
      </c>
      <c r="AK11" s="3"/>
    </row>
    <row r="12" spans="1:37" ht="15" customHeight="1">
      <c r="A12" s="19" t="s">
        <v>107</v>
      </c>
      <c r="B12" s="18" t="s">
        <v>108</v>
      </c>
      <c r="C12" s="18"/>
      <c r="D12" s="52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H12" s="7"/>
      <c r="AK12" s="3"/>
    </row>
    <row r="13" spans="1:37">
      <c r="A13" s="17" t="s">
        <v>109</v>
      </c>
      <c r="B13" s="16" t="s">
        <v>13</v>
      </c>
      <c r="C13" s="33">
        <v>0</v>
      </c>
      <c r="D13" s="33"/>
      <c r="E13" s="33"/>
      <c r="F13" s="33">
        <v>101610</v>
      </c>
      <c r="G13" s="33">
        <v>63000</v>
      </c>
      <c r="H13" s="33"/>
      <c r="I13" s="33">
        <v>159277.5</v>
      </c>
      <c r="J13" s="33">
        <v>77000</v>
      </c>
      <c r="K13" s="33"/>
      <c r="L13" s="33">
        <v>91072.5</v>
      </c>
      <c r="M13" s="33">
        <v>49000</v>
      </c>
      <c r="N13" s="33"/>
      <c r="O13" s="33">
        <v>96495</v>
      </c>
      <c r="P13" s="33">
        <v>56000</v>
      </c>
      <c r="Q13" s="33"/>
      <c r="R13" s="33">
        <v>59760</v>
      </c>
      <c r="S13" s="33">
        <v>35000</v>
      </c>
      <c r="T13" s="33"/>
      <c r="U13" s="33">
        <v>77646</v>
      </c>
      <c r="V13" s="33">
        <v>77000</v>
      </c>
      <c r="W13" s="33"/>
      <c r="X13" s="33">
        <v>38700</v>
      </c>
      <c r="Y13" s="33">
        <v>77000</v>
      </c>
      <c r="Z13" s="33"/>
      <c r="AA13" s="33">
        <v>115065</v>
      </c>
      <c r="AB13" s="33">
        <v>42000</v>
      </c>
      <c r="AC13" s="32">
        <f t="shared" ref="AC13:AC17" si="2">+C13+F13+I13+L13+O13+R13+U13+X13+AA13</f>
        <v>739626</v>
      </c>
      <c r="AD13" s="32">
        <f t="shared" ref="AD13:AD17" si="3">+D13+G13+J13+M13+P13+S13+V13+Y13+AB13</f>
        <v>476000</v>
      </c>
      <c r="AE13" s="33"/>
      <c r="AF13" s="24">
        <v>500000</v>
      </c>
      <c r="AG13" s="58">
        <v>700000</v>
      </c>
      <c r="AH13" s="39"/>
      <c r="AI13" s="58">
        <f>+AG13*0.92</f>
        <v>644000</v>
      </c>
      <c r="AJ13" s="58">
        <f>+AG13-AI13</f>
        <v>56000</v>
      </c>
      <c r="AK13" s="3"/>
    </row>
    <row r="14" spans="1:37">
      <c r="A14" s="17" t="s">
        <v>110</v>
      </c>
      <c r="B14" s="16" t="s">
        <v>111</v>
      </c>
      <c r="C14" s="33">
        <v>47863.86</v>
      </c>
      <c r="D14" s="33">
        <v>57750</v>
      </c>
      <c r="E14" s="33"/>
      <c r="F14" s="33">
        <v>21070.57</v>
      </c>
      <c r="G14" s="33">
        <v>8250</v>
      </c>
      <c r="H14" s="33"/>
      <c r="I14" s="33">
        <v>7132.76</v>
      </c>
      <c r="J14" s="33"/>
      <c r="K14" s="33"/>
      <c r="L14" s="33">
        <v>834.9</v>
      </c>
      <c r="M14" s="33">
        <v>0</v>
      </c>
      <c r="N14" s="33"/>
      <c r="O14" s="33">
        <v>1452.22</v>
      </c>
      <c r="P14" s="33">
        <v>8250</v>
      </c>
      <c r="Q14" s="33"/>
      <c r="R14" s="33">
        <v>19693.79</v>
      </c>
      <c r="S14" s="33">
        <v>16500</v>
      </c>
      <c r="T14" s="33"/>
      <c r="U14" s="33">
        <v>663599.88</v>
      </c>
      <c r="V14" s="33">
        <v>585750</v>
      </c>
      <c r="W14" s="33"/>
      <c r="X14" s="33">
        <v>27442.43</v>
      </c>
      <c r="Y14" s="33">
        <v>66000</v>
      </c>
      <c r="Z14" s="33"/>
      <c r="AA14" s="33">
        <v>43276.18</v>
      </c>
      <c r="AB14" s="33">
        <v>33000</v>
      </c>
      <c r="AC14" s="32">
        <f t="shared" si="2"/>
        <v>832366.59000000008</v>
      </c>
      <c r="AD14" s="32">
        <f t="shared" si="3"/>
        <v>775500</v>
      </c>
      <c r="AE14" s="33"/>
      <c r="AF14" s="24">
        <v>750000</v>
      </c>
      <c r="AG14" s="58">
        <v>825000</v>
      </c>
      <c r="AH14" s="39"/>
      <c r="AI14" s="58">
        <f>+AG14</f>
        <v>825000</v>
      </c>
      <c r="AJ14" s="58"/>
      <c r="AK14" s="3"/>
    </row>
    <row r="15" spans="1:37">
      <c r="A15" s="17" t="s">
        <v>112</v>
      </c>
      <c r="B15" s="16" t="s">
        <v>16</v>
      </c>
      <c r="C15" s="33"/>
      <c r="D15" s="33"/>
      <c r="E15" s="33"/>
      <c r="F15" s="33">
        <v>18053</v>
      </c>
      <c r="G15" s="33">
        <v>14250</v>
      </c>
      <c r="H15" s="33"/>
      <c r="I15" s="33">
        <v>45236.81</v>
      </c>
      <c r="J15" s="33">
        <v>38000</v>
      </c>
      <c r="K15" s="33"/>
      <c r="L15" s="33">
        <v>84019.69</v>
      </c>
      <c r="M15" s="33">
        <v>52250</v>
      </c>
      <c r="N15" s="33"/>
      <c r="O15" s="33">
        <v>112141.3</v>
      </c>
      <c r="P15" s="33">
        <v>114000</v>
      </c>
      <c r="Q15" s="33"/>
      <c r="R15" s="33">
        <v>107113.60000000001</v>
      </c>
      <c r="S15" s="33">
        <v>104500</v>
      </c>
      <c r="T15" s="33"/>
      <c r="U15" s="33">
        <v>48728.67</v>
      </c>
      <c r="V15" s="33">
        <v>104500</v>
      </c>
      <c r="W15" s="33"/>
      <c r="X15" s="33">
        <v>17193.53</v>
      </c>
      <c r="Y15" s="33">
        <v>23750</v>
      </c>
      <c r="Z15" s="33"/>
      <c r="AA15" s="33">
        <v>16904.66</v>
      </c>
      <c r="AB15" s="33">
        <v>9500</v>
      </c>
      <c r="AC15" s="32">
        <f t="shared" si="2"/>
        <v>449391.25999999995</v>
      </c>
      <c r="AD15" s="32">
        <f t="shared" si="3"/>
        <v>460750</v>
      </c>
      <c r="AE15" s="33"/>
      <c r="AF15" s="24">
        <v>500000</v>
      </c>
      <c r="AG15" s="59">
        <v>475000</v>
      </c>
      <c r="AH15" s="39"/>
      <c r="AI15" s="59">
        <f>+AG15*0.5</f>
        <v>237500</v>
      </c>
      <c r="AJ15" s="59">
        <f>+AG15-AI15</f>
        <v>237500</v>
      </c>
      <c r="AK15" s="3"/>
    </row>
    <row r="16" spans="1:37">
      <c r="A16" s="17" t="s">
        <v>113</v>
      </c>
      <c r="B16" s="16" t="s">
        <v>114</v>
      </c>
      <c r="C16" s="33"/>
      <c r="D16" s="33"/>
      <c r="E16" s="33"/>
      <c r="F16" s="33">
        <v>11719.69</v>
      </c>
      <c r="G16" s="33">
        <v>12500</v>
      </c>
      <c r="H16" s="33"/>
      <c r="I16" s="33"/>
      <c r="J16" s="33"/>
      <c r="K16" s="33"/>
      <c r="L16" s="33">
        <v>0</v>
      </c>
      <c r="M16" s="33">
        <v>0</v>
      </c>
      <c r="N16" s="33"/>
      <c r="O16" s="33">
        <v>13586.46</v>
      </c>
      <c r="P16" s="33">
        <v>12500</v>
      </c>
      <c r="Q16" s="33"/>
      <c r="R16" s="33">
        <v>0</v>
      </c>
      <c r="S16" s="33">
        <v>0</v>
      </c>
      <c r="T16" s="33"/>
      <c r="U16" s="33">
        <v>0</v>
      </c>
      <c r="V16" s="33">
        <v>0</v>
      </c>
      <c r="W16" s="33"/>
      <c r="X16" s="33">
        <v>13655.61</v>
      </c>
      <c r="Y16" s="33">
        <v>12500</v>
      </c>
      <c r="Z16" s="33"/>
      <c r="AA16" s="33">
        <v>0</v>
      </c>
      <c r="AB16" s="33">
        <v>0</v>
      </c>
      <c r="AC16" s="32">
        <f t="shared" si="2"/>
        <v>38961.760000000002</v>
      </c>
      <c r="AD16" s="32">
        <f t="shared" si="3"/>
        <v>37500</v>
      </c>
      <c r="AE16" s="33"/>
      <c r="AF16" s="24">
        <v>50000</v>
      </c>
      <c r="AG16" s="24">
        <v>50000</v>
      </c>
      <c r="AH16" s="39"/>
      <c r="AI16" s="24">
        <f>+AG16</f>
        <v>50000</v>
      </c>
      <c r="AJ16" s="24"/>
      <c r="AK16" s="3"/>
    </row>
    <row r="17" spans="1:37">
      <c r="A17" s="17" t="s">
        <v>115</v>
      </c>
      <c r="B17" s="16" t="s">
        <v>116</v>
      </c>
      <c r="C17" s="33"/>
      <c r="D17" s="33"/>
      <c r="E17" s="33"/>
      <c r="F17" s="33"/>
      <c r="G17" s="33"/>
      <c r="H17" s="33"/>
      <c r="I17" s="33"/>
      <c r="J17" s="33"/>
      <c r="K17" s="33"/>
      <c r="L17" s="33">
        <v>42500</v>
      </c>
      <c r="M17" s="33">
        <v>42500</v>
      </c>
      <c r="N17" s="33"/>
      <c r="O17" s="33">
        <v>42500</v>
      </c>
      <c r="P17" s="33">
        <v>42500</v>
      </c>
      <c r="Q17" s="33"/>
      <c r="R17" s="33">
        <v>0</v>
      </c>
      <c r="S17" s="33">
        <v>0</v>
      </c>
      <c r="T17" s="33"/>
      <c r="U17" s="33">
        <v>0</v>
      </c>
      <c r="V17" s="33">
        <v>0</v>
      </c>
      <c r="W17" s="33"/>
      <c r="X17" s="33">
        <v>0</v>
      </c>
      <c r="Y17" s="33">
        <v>0</v>
      </c>
      <c r="Z17" s="33"/>
      <c r="AA17" s="33">
        <v>0</v>
      </c>
      <c r="AB17" s="33">
        <v>0</v>
      </c>
      <c r="AC17" s="32">
        <f t="shared" si="2"/>
        <v>85000</v>
      </c>
      <c r="AD17" s="32">
        <f t="shared" si="3"/>
        <v>85000</v>
      </c>
      <c r="AE17" s="33"/>
      <c r="AF17" s="24">
        <v>85000</v>
      </c>
      <c r="AG17" s="24">
        <v>85000</v>
      </c>
      <c r="AH17" s="39"/>
      <c r="AI17" s="24">
        <f>+AG17</f>
        <v>85000</v>
      </c>
      <c r="AJ17" s="24"/>
      <c r="AK17" s="3"/>
    </row>
    <row r="18" spans="1:37">
      <c r="A18" s="17"/>
      <c r="B18" s="16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24"/>
      <c r="AG18" s="24"/>
      <c r="AH18" s="39"/>
      <c r="AI18" s="24"/>
      <c r="AJ18" s="24"/>
      <c r="AK18" s="3"/>
    </row>
    <row r="19" spans="1:37">
      <c r="A19" s="12" t="s">
        <v>104</v>
      </c>
      <c r="B19" s="11" t="s">
        <v>117</v>
      </c>
      <c r="C19" s="34">
        <f>SUM(C13:C18)</f>
        <v>47863.86</v>
      </c>
      <c r="D19" s="34">
        <f>SUM(D13:D18)</f>
        <v>57750</v>
      </c>
      <c r="E19" s="40"/>
      <c r="F19" s="34">
        <f>SUM(F13:F18)</f>
        <v>152453.26</v>
      </c>
      <c r="G19" s="34">
        <f>SUM(G13:G18)</f>
        <v>98000</v>
      </c>
      <c r="H19" s="40"/>
      <c r="I19" s="34">
        <f>SUM(I13:I18)</f>
        <v>211647.07</v>
      </c>
      <c r="J19" s="34">
        <f>SUM(J13:J18)</f>
        <v>115000</v>
      </c>
      <c r="K19" s="40"/>
      <c r="L19" s="34">
        <f>SUM(L13:L18)</f>
        <v>218427.09</v>
      </c>
      <c r="M19" s="34">
        <f>SUM(M13:M18)</f>
        <v>143750</v>
      </c>
      <c r="N19" s="40"/>
      <c r="O19" s="34">
        <f>SUM(O13:O18)</f>
        <v>266174.98</v>
      </c>
      <c r="P19" s="34">
        <f>SUM(P13:P18)</f>
        <v>233250</v>
      </c>
      <c r="Q19" s="40"/>
      <c r="R19" s="34">
        <f>SUM(R13:R18)</f>
        <v>186567.39</v>
      </c>
      <c r="S19" s="34">
        <f>SUM(S13:S18)</f>
        <v>156000</v>
      </c>
      <c r="T19" s="40"/>
      <c r="U19" s="34">
        <f>SUM(U13:U18)</f>
        <v>789974.55</v>
      </c>
      <c r="V19" s="34">
        <f>SUM(V13:V18)</f>
        <v>767250</v>
      </c>
      <c r="W19" s="40"/>
      <c r="X19" s="34">
        <f>SUM(X13:X18)</f>
        <v>96991.569999999992</v>
      </c>
      <c r="Y19" s="34">
        <f>SUM(Y13:Y18)</f>
        <v>179250</v>
      </c>
      <c r="Z19" s="40"/>
      <c r="AA19" s="34">
        <f>SUM(AA13:AA18)</f>
        <v>175245.84</v>
      </c>
      <c r="AB19" s="34">
        <f>SUM(AB13:AB18)</f>
        <v>84500</v>
      </c>
      <c r="AC19" s="34">
        <f>SUM(AC13:AC18)</f>
        <v>2145345.6100000003</v>
      </c>
      <c r="AD19" s="34">
        <f>SUM(AD13:AD18)</f>
        <v>1834750</v>
      </c>
      <c r="AE19" s="40"/>
      <c r="AF19" s="34">
        <f>SUM(AF13:AF18)</f>
        <v>1885000</v>
      </c>
      <c r="AG19" s="55">
        <f>SUM(AG13:AG18)</f>
        <v>2135000</v>
      </c>
      <c r="AH19" s="39"/>
      <c r="AI19" s="55">
        <f>SUM(AI13:AI18)</f>
        <v>1841500</v>
      </c>
      <c r="AJ19" s="55">
        <f>SUM(AJ13:AJ18)</f>
        <v>293500</v>
      </c>
      <c r="AK19" s="3"/>
    </row>
    <row r="20" spans="1:37"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39"/>
      <c r="AI20" s="41"/>
      <c r="AJ20" s="41"/>
      <c r="AK20" s="3"/>
    </row>
    <row r="21" spans="1:37">
      <c r="A21" s="19" t="s">
        <v>118</v>
      </c>
      <c r="B21" s="18" t="s">
        <v>119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1"/>
      <c r="AG21" s="41"/>
      <c r="AH21" s="39"/>
      <c r="AI21" s="41"/>
      <c r="AJ21" s="41"/>
      <c r="AK21" s="3"/>
    </row>
    <row r="22" spans="1:37">
      <c r="A22" s="17" t="s">
        <v>120</v>
      </c>
      <c r="B22" s="16" t="s">
        <v>121</v>
      </c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2">
        <f t="shared" ref="AC22:AC32" si="4">+C22+F22+I22+L22+O22+R22+U22+X22+AA22</f>
        <v>0</v>
      </c>
      <c r="AD22" s="32">
        <f t="shared" ref="AD22:AD32" si="5">+D22+G22+J22+M22+P22+S22+V22+Y22+AB22</f>
        <v>0</v>
      </c>
      <c r="AE22" s="33"/>
      <c r="AF22" s="24"/>
      <c r="AG22" s="24"/>
      <c r="AH22" s="39"/>
      <c r="AI22" s="24">
        <f>+AG22</f>
        <v>0</v>
      </c>
      <c r="AJ22" s="24"/>
      <c r="AK22" s="3"/>
    </row>
    <row r="23" spans="1:37">
      <c r="A23" s="17" t="s">
        <v>122</v>
      </c>
      <c r="B23" s="16" t="s">
        <v>123</v>
      </c>
      <c r="C23" s="33">
        <f>69015+188</f>
        <v>69203</v>
      </c>
      <c r="D23" s="33">
        <v>71500</v>
      </c>
      <c r="E23" s="33"/>
      <c r="F23" s="33">
        <v>36975</v>
      </c>
      <c r="G23" s="33">
        <v>29900</v>
      </c>
      <c r="H23" s="33"/>
      <c r="I23" s="33">
        <v>9157</v>
      </c>
      <c r="J23" s="33">
        <v>13000</v>
      </c>
      <c r="K23" s="33"/>
      <c r="L23" s="33">
        <v>7747</v>
      </c>
      <c r="M23" s="33">
        <v>3900</v>
      </c>
      <c r="N23" s="33"/>
      <c r="O23" s="33">
        <v>4353</v>
      </c>
      <c r="P23" s="33">
        <v>2600</v>
      </c>
      <c r="Q23" s="33"/>
      <c r="R23" s="33">
        <v>579</v>
      </c>
      <c r="S23" s="33">
        <v>1300</v>
      </c>
      <c r="T23" s="33"/>
      <c r="U23" s="33">
        <v>1594</v>
      </c>
      <c r="V23" s="33">
        <v>1300</v>
      </c>
      <c r="W23" s="33"/>
      <c r="X23" s="33">
        <v>594</v>
      </c>
      <c r="Y23" s="33">
        <v>1300</v>
      </c>
      <c r="Z23" s="33"/>
      <c r="AA23" s="33">
        <v>999</v>
      </c>
      <c r="AB23" s="33">
        <v>1300</v>
      </c>
      <c r="AC23" s="32">
        <f t="shared" si="4"/>
        <v>131201</v>
      </c>
      <c r="AD23" s="32">
        <f t="shared" si="5"/>
        <v>126100</v>
      </c>
      <c r="AE23" s="33"/>
      <c r="AF23" s="24">
        <v>126177</v>
      </c>
      <c r="AG23" s="58">
        <v>130000</v>
      </c>
      <c r="AH23" s="39"/>
      <c r="AI23" s="58">
        <f>+AG23</f>
        <v>130000</v>
      </c>
      <c r="AJ23" s="58"/>
      <c r="AK23" s="3"/>
    </row>
    <row r="24" spans="1:37">
      <c r="A24" s="17" t="s">
        <v>124</v>
      </c>
      <c r="B24" s="16" t="s">
        <v>125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>
        <v>0</v>
      </c>
      <c r="S24" s="33">
        <v>0</v>
      </c>
      <c r="T24" s="33"/>
      <c r="U24" s="33"/>
      <c r="V24" s="33"/>
      <c r="W24" s="33"/>
      <c r="X24" s="33">
        <v>0</v>
      </c>
      <c r="Y24" s="33">
        <v>0</v>
      </c>
      <c r="Z24" s="33"/>
      <c r="AA24" s="33">
        <v>0</v>
      </c>
      <c r="AB24" s="33">
        <v>0</v>
      </c>
      <c r="AC24" s="32">
        <f t="shared" si="4"/>
        <v>0</v>
      </c>
      <c r="AD24" s="32">
        <f t="shared" si="5"/>
        <v>0</v>
      </c>
      <c r="AE24" s="33"/>
      <c r="AF24" s="24">
        <v>0</v>
      </c>
      <c r="AG24" s="59"/>
      <c r="AH24" s="39"/>
      <c r="AI24" s="59">
        <f>+AG24</f>
        <v>0</v>
      </c>
      <c r="AJ24" s="59"/>
      <c r="AK24" s="3"/>
    </row>
    <row r="25" spans="1:37">
      <c r="A25" s="17" t="s">
        <v>126</v>
      </c>
      <c r="B25" s="16" t="s">
        <v>127</v>
      </c>
      <c r="C25" s="33">
        <v>90079.679999999993</v>
      </c>
      <c r="D25" s="33">
        <v>110250</v>
      </c>
      <c r="E25" s="33"/>
      <c r="F25" s="33">
        <f>503+154389.32</f>
        <v>154892.32</v>
      </c>
      <c r="G25" s="33">
        <v>78750</v>
      </c>
      <c r="H25" s="33"/>
      <c r="I25" s="33">
        <v>14266</v>
      </c>
      <c r="J25" s="33">
        <v>25200</v>
      </c>
      <c r="K25" s="33"/>
      <c r="L25" s="33">
        <v>14076</v>
      </c>
      <c r="M25" s="33">
        <v>9450</v>
      </c>
      <c r="N25" s="33"/>
      <c r="O25" s="33">
        <v>7894</v>
      </c>
      <c r="P25" s="33">
        <v>6300</v>
      </c>
      <c r="Q25" s="33"/>
      <c r="R25" s="33">
        <v>8458</v>
      </c>
      <c r="S25" s="33">
        <v>9450</v>
      </c>
      <c r="T25" s="33"/>
      <c r="U25" s="33">
        <v>6461</v>
      </c>
      <c r="V25" s="33">
        <v>6300</v>
      </c>
      <c r="W25" s="33"/>
      <c r="X25" s="33">
        <v>4714</v>
      </c>
      <c r="Y25" s="33">
        <v>6300</v>
      </c>
      <c r="Z25" s="33"/>
      <c r="AA25" s="33">
        <v>5816</v>
      </c>
      <c r="AB25" s="33">
        <v>15750</v>
      </c>
      <c r="AC25" s="32">
        <f t="shared" si="4"/>
        <v>306657</v>
      </c>
      <c r="AD25" s="32">
        <f t="shared" si="5"/>
        <v>267750</v>
      </c>
      <c r="AE25" s="33"/>
      <c r="AF25" s="24">
        <v>396649</v>
      </c>
      <c r="AG25" s="59">
        <v>315000</v>
      </c>
      <c r="AH25" s="39"/>
      <c r="AI25" s="59">
        <f>+AG25</f>
        <v>315000</v>
      </c>
      <c r="AJ25" s="59"/>
      <c r="AK25" s="3"/>
    </row>
    <row r="26" spans="1:37">
      <c r="A26" s="17" t="s">
        <v>128</v>
      </c>
      <c r="B26" s="16" t="s">
        <v>129</v>
      </c>
      <c r="C26" s="33">
        <v>89985</v>
      </c>
      <c r="D26" s="33">
        <v>71550</v>
      </c>
      <c r="E26" s="33"/>
      <c r="F26" s="33">
        <v>307603</v>
      </c>
      <c r="G26" s="33">
        <v>310050</v>
      </c>
      <c r="H26" s="33"/>
      <c r="I26" s="33">
        <v>55855</v>
      </c>
      <c r="J26" s="33">
        <v>95400</v>
      </c>
      <c r="K26" s="33"/>
      <c r="L26" s="33">
        <v>21500</v>
      </c>
      <c r="M26" s="33">
        <v>0</v>
      </c>
      <c r="N26" s="33"/>
      <c r="O26" s="33">
        <v>2550</v>
      </c>
      <c r="P26" s="33">
        <v>0</v>
      </c>
      <c r="Q26" s="33"/>
      <c r="R26" s="33">
        <v>-75</v>
      </c>
      <c r="S26" s="33">
        <v>0</v>
      </c>
      <c r="T26" s="33"/>
      <c r="U26" s="33">
        <v>0</v>
      </c>
      <c r="V26" s="33">
        <v>0</v>
      </c>
      <c r="W26" s="33"/>
      <c r="X26" s="33">
        <v>0</v>
      </c>
      <c r="Y26" s="33">
        <v>0</v>
      </c>
      <c r="Z26" s="33"/>
      <c r="AA26" s="33">
        <v>0</v>
      </c>
      <c r="AB26" s="33">
        <v>0</v>
      </c>
      <c r="AC26" s="32">
        <f t="shared" si="4"/>
        <v>477418</v>
      </c>
      <c r="AD26" s="32">
        <f t="shared" si="5"/>
        <v>477000</v>
      </c>
      <c r="AE26" s="33"/>
      <c r="AF26" s="24">
        <v>497337</v>
      </c>
      <c r="AG26" s="59">
        <v>477000</v>
      </c>
      <c r="AH26" s="39"/>
      <c r="AI26" s="59">
        <f>+AG26*0.95</f>
        <v>453150</v>
      </c>
      <c r="AJ26" s="59">
        <f>+AG26-AI26</f>
        <v>23850</v>
      </c>
      <c r="AK26" s="3"/>
    </row>
    <row r="27" spans="1:37">
      <c r="A27" s="17" t="s">
        <v>130</v>
      </c>
      <c r="B27" s="16" t="s">
        <v>131</v>
      </c>
      <c r="C27" s="33"/>
      <c r="D27" s="33"/>
      <c r="E27" s="33"/>
      <c r="F27" s="33">
        <v>7385</v>
      </c>
      <c r="G27" s="33">
        <v>17650</v>
      </c>
      <c r="H27" s="33"/>
      <c r="I27" s="33">
        <v>48020</v>
      </c>
      <c r="J27" s="33">
        <v>70600</v>
      </c>
      <c r="K27" s="33"/>
      <c r="L27" s="33">
        <v>109768.5</v>
      </c>
      <c r="M27" s="33">
        <v>88250</v>
      </c>
      <c r="N27" s="33"/>
      <c r="O27" s="33">
        <v>104260</v>
      </c>
      <c r="P27" s="33">
        <v>88250</v>
      </c>
      <c r="Q27" s="33"/>
      <c r="R27" s="33">
        <v>71865</v>
      </c>
      <c r="S27" s="33">
        <v>70600</v>
      </c>
      <c r="T27" s="33"/>
      <c r="U27" s="33">
        <v>11730</v>
      </c>
      <c r="V27" s="33">
        <v>17650</v>
      </c>
      <c r="W27" s="33"/>
      <c r="X27" s="33">
        <v>0</v>
      </c>
      <c r="Y27" s="33">
        <v>0</v>
      </c>
      <c r="Z27" s="33"/>
      <c r="AA27" s="33">
        <v>0</v>
      </c>
      <c r="AB27" s="33">
        <v>0</v>
      </c>
      <c r="AC27" s="32">
        <f t="shared" si="4"/>
        <v>353028.5</v>
      </c>
      <c r="AD27" s="32">
        <f t="shared" si="5"/>
        <v>353000</v>
      </c>
      <c r="AE27" s="33"/>
      <c r="AF27" s="24">
        <v>880085</v>
      </c>
      <c r="AG27" s="59">
        <v>353000</v>
      </c>
      <c r="AH27" s="39"/>
      <c r="AI27" s="59">
        <f>+AG27*0.95</f>
        <v>335350</v>
      </c>
      <c r="AJ27" s="59">
        <f>+AG27-AI27</f>
        <v>17650</v>
      </c>
      <c r="AK27" s="3"/>
    </row>
    <row r="28" spans="1:37">
      <c r="A28" s="17" t="s">
        <v>132</v>
      </c>
      <c r="B28" s="16" t="s">
        <v>133</v>
      </c>
      <c r="C28" s="33"/>
      <c r="D28" s="33"/>
      <c r="E28" s="33"/>
      <c r="F28" s="33">
        <v>3079.98</v>
      </c>
      <c r="G28" s="33">
        <v>52300</v>
      </c>
      <c r="H28" s="33"/>
      <c r="I28" s="33">
        <v>107765.34</v>
      </c>
      <c r="J28" s="33">
        <v>209200</v>
      </c>
      <c r="K28" s="33"/>
      <c r="L28" s="33">
        <v>263773.67</v>
      </c>
      <c r="M28" s="33">
        <v>261500</v>
      </c>
      <c r="N28" s="33"/>
      <c r="O28" s="33">
        <v>310440.93</v>
      </c>
      <c r="P28" s="33">
        <v>261500</v>
      </c>
      <c r="Q28" s="33"/>
      <c r="R28" s="33">
        <v>276092.46000000002</v>
      </c>
      <c r="S28" s="33">
        <v>209200</v>
      </c>
      <c r="T28" s="33"/>
      <c r="U28" s="33">
        <v>85282.5</v>
      </c>
      <c r="V28" s="33">
        <v>52300</v>
      </c>
      <c r="W28" s="33"/>
      <c r="X28" s="33">
        <v>0</v>
      </c>
      <c r="Y28" s="33">
        <v>0</v>
      </c>
      <c r="Z28" s="33"/>
      <c r="AA28" s="33">
        <v>0</v>
      </c>
      <c r="AB28" s="33">
        <v>0</v>
      </c>
      <c r="AC28" s="32">
        <f t="shared" si="4"/>
        <v>1046434.8799999999</v>
      </c>
      <c r="AD28" s="32">
        <f t="shared" si="5"/>
        <v>1046000</v>
      </c>
      <c r="AE28" s="33"/>
      <c r="AF28" s="24">
        <f>411257+128000</f>
        <v>539257</v>
      </c>
      <c r="AG28" s="58">
        <v>1046000</v>
      </c>
      <c r="AH28" s="39"/>
      <c r="AI28" s="58">
        <f>+AG28</f>
        <v>1046000</v>
      </c>
      <c r="AJ28" s="58"/>
      <c r="AK28" s="3"/>
    </row>
    <row r="29" spans="1:37">
      <c r="A29" s="17" t="s">
        <v>134</v>
      </c>
      <c r="B29" s="16" t="s">
        <v>135</v>
      </c>
      <c r="C29" s="33">
        <v>80019.600000000006</v>
      </c>
      <c r="D29" s="33">
        <v>48000</v>
      </c>
      <c r="E29" s="33"/>
      <c r="F29" s="33">
        <v>43438.93</v>
      </c>
      <c r="G29" s="33">
        <v>55925</v>
      </c>
      <c r="H29" s="33"/>
      <c r="I29" s="33">
        <v>18684.04</v>
      </c>
      <c r="J29" s="33">
        <v>27500</v>
      </c>
      <c r="K29" s="33"/>
      <c r="L29" s="33">
        <v>13276.64</v>
      </c>
      <c r="M29" s="33">
        <v>40050</v>
      </c>
      <c r="N29" s="33"/>
      <c r="O29" s="33">
        <v>34490.14</v>
      </c>
      <c r="P29" s="33">
        <v>25450</v>
      </c>
      <c r="Q29" s="33"/>
      <c r="R29" s="33">
        <v>60275.17</v>
      </c>
      <c r="S29" s="33">
        <v>33550</v>
      </c>
      <c r="T29" s="33"/>
      <c r="U29" s="33">
        <v>106956.45</v>
      </c>
      <c r="V29" s="33">
        <v>65500</v>
      </c>
      <c r="W29" s="33"/>
      <c r="X29" s="33">
        <v>173706.89</v>
      </c>
      <c r="Y29" s="33">
        <v>63625</v>
      </c>
      <c r="Z29" s="33"/>
      <c r="AA29" s="33">
        <v>70548.740000000005</v>
      </c>
      <c r="AB29" s="33">
        <v>99450</v>
      </c>
      <c r="AC29" s="32">
        <f t="shared" si="4"/>
        <v>601396.60000000009</v>
      </c>
      <c r="AD29" s="32">
        <f t="shared" si="5"/>
        <v>459050</v>
      </c>
      <c r="AE29" s="33"/>
      <c r="AF29" s="24">
        <v>600000</v>
      </c>
      <c r="AG29" s="24">
        <v>600000</v>
      </c>
      <c r="AH29" s="39"/>
      <c r="AI29" s="24">
        <f>0.8*AG29</f>
        <v>480000</v>
      </c>
      <c r="AJ29" s="24">
        <f>+AG29-AI29</f>
        <v>120000</v>
      </c>
      <c r="AK29" s="3"/>
    </row>
    <row r="30" spans="1:37">
      <c r="A30" s="17" t="s">
        <v>136</v>
      </c>
      <c r="B30" s="16" t="s">
        <v>137</v>
      </c>
      <c r="C30" s="33">
        <v>2100</v>
      </c>
      <c r="D30" s="33">
        <v>1670</v>
      </c>
      <c r="E30" s="33"/>
      <c r="F30" s="33">
        <v>2100</v>
      </c>
      <c r="G30" s="33">
        <v>1665</v>
      </c>
      <c r="H30" s="33"/>
      <c r="I30" s="33">
        <v>1050</v>
      </c>
      <c r="J30" s="33">
        <v>1670</v>
      </c>
      <c r="K30" s="33"/>
      <c r="L30" s="33">
        <v>900</v>
      </c>
      <c r="M30" s="33">
        <v>1665</v>
      </c>
      <c r="N30" s="33"/>
      <c r="O30" s="33">
        <v>1200</v>
      </c>
      <c r="P30" s="33">
        <v>1670</v>
      </c>
      <c r="Q30" s="33"/>
      <c r="R30" s="33">
        <v>1350</v>
      </c>
      <c r="S30" s="33">
        <v>1665</v>
      </c>
      <c r="T30" s="33"/>
      <c r="U30" s="33">
        <v>1350</v>
      </c>
      <c r="V30" s="33">
        <v>1670</v>
      </c>
      <c r="W30" s="33"/>
      <c r="X30" s="33">
        <v>2100</v>
      </c>
      <c r="Y30" s="33">
        <v>1665</v>
      </c>
      <c r="Z30" s="33"/>
      <c r="AA30" s="33">
        <v>1350</v>
      </c>
      <c r="AB30" s="33">
        <v>1665</v>
      </c>
      <c r="AC30" s="32">
        <f t="shared" si="4"/>
        <v>13500</v>
      </c>
      <c r="AD30" s="32">
        <f t="shared" si="5"/>
        <v>15005</v>
      </c>
      <c r="AE30" s="33"/>
      <c r="AF30" s="24">
        <v>20000</v>
      </c>
      <c r="AG30" s="24">
        <v>20000</v>
      </c>
      <c r="AH30" s="39"/>
      <c r="AI30" s="24">
        <f>+AG30</f>
        <v>20000</v>
      </c>
      <c r="AJ30" s="24"/>
      <c r="AK30" s="3"/>
    </row>
    <row r="31" spans="1:37">
      <c r="A31" s="17" t="s">
        <v>138</v>
      </c>
      <c r="B31" s="16" t="s">
        <v>139</v>
      </c>
      <c r="C31" s="33">
        <v>4850</v>
      </c>
      <c r="D31" s="33">
        <v>4000</v>
      </c>
      <c r="E31" s="33"/>
      <c r="F31" s="33">
        <v>6795</v>
      </c>
      <c r="G31" s="33">
        <v>6000</v>
      </c>
      <c r="H31" s="33"/>
      <c r="I31" s="33">
        <v>11185</v>
      </c>
      <c r="J31" s="33">
        <v>13500</v>
      </c>
      <c r="K31" s="33"/>
      <c r="L31" s="33">
        <v>11670</v>
      </c>
      <c r="M31" s="33">
        <v>10500</v>
      </c>
      <c r="N31" s="33"/>
      <c r="O31" s="33">
        <v>9350</v>
      </c>
      <c r="P31" s="33">
        <v>10500</v>
      </c>
      <c r="Q31" s="33"/>
      <c r="R31" s="33">
        <v>4070</v>
      </c>
      <c r="S31" s="33">
        <v>2000</v>
      </c>
      <c r="T31" s="33"/>
      <c r="U31" s="33">
        <v>1570</v>
      </c>
      <c r="V31" s="33">
        <v>500</v>
      </c>
      <c r="W31" s="33"/>
      <c r="X31" s="33">
        <v>-30</v>
      </c>
      <c r="Y31" s="33">
        <v>500</v>
      </c>
      <c r="Z31" s="33"/>
      <c r="AA31" s="33">
        <v>500</v>
      </c>
      <c r="AB31" s="33">
        <v>0</v>
      </c>
      <c r="AC31" s="32">
        <f t="shared" si="4"/>
        <v>49960</v>
      </c>
      <c r="AD31" s="32">
        <f t="shared" si="5"/>
        <v>47500</v>
      </c>
      <c r="AE31" s="33"/>
      <c r="AF31" s="24">
        <v>30000</v>
      </c>
      <c r="AG31" s="58">
        <v>50000</v>
      </c>
      <c r="AH31" s="39"/>
      <c r="AI31" s="58">
        <f>+AG31</f>
        <v>50000</v>
      </c>
      <c r="AJ31" s="58"/>
      <c r="AK31" s="3"/>
    </row>
    <row r="32" spans="1:37">
      <c r="A32" s="17" t="s">
        <v>140</v>
      </c>
      <c r="B32" s="16" t="s">
        <v>141</v>
      </c>
      <c r="C32" s="33">
        <v>5737</v>
      </c>
      <c r="D32" s="33">
        <v>3925</v>
      </c>
      <c r="E32" s="33"/>
      <c r="F32" s="33">
        <v>8795</v>
      </c>
      <c r="G32" s="33">
        <v>7625</v>
      </c>
      <c r="H32" s="33"/>
      <c r="I32" s="33">
        <v>9892</v>
      </c>
      <c r="J32" s="33">
        <v>10200</v>
      </c>
      <c r="K32" s="33"/>
      <c r="L32" s="33">
        <v>11454</v>
      </c>
      <c r="M32" s="33">
        <v>8525</v>
      </c>
      <c r="N32" s="33"/>
      <c r="O32" s="33">
        <v>8965</v>
      </c>
      <c r="P32" s="33">
        <v>8700</v>
      </c>
      <c r="Q32" s="33"/>
      <c r="R32" s="33">
        <v>6729</v>
      </c>
      <c r="S32" s="33">
        <v>8000</v>
      </c>
      <c r="T32" s="33"/>
      <c r="U32" s="33">
        <v>2278</v>
      </c>
      <c r="V32" s="33">
        <v>2450</v>
      </c>
      <c r="W32" s="33"/>
      <c r="X32" s="33">
        <v>552</v>
      </c>
      <c r="Y32" s="33">
        <v>1025</v>
      </c>
      <c r="Z32" s="33"/>
      <c r="AA32" s="33">
        <v>366</v>
      </c>
      <c r="AB32" s="33">
        <v>500</v>
      </c>
      <c r="AC32" s="32">
        <f t="shared" si="4"/>
        <v>54768</v>
      </c>
      <c r="AD32" s="32">
        <f t="shared" si="5"/>
        <v>50950</v>
      </c>
      <c r="AE32" s="33"/>
      <c r="AF32" s="24">
        <v>55000</v>
      </c>
      <c r="AG32" s="24">
        <v>55000</v>
      </c>
      <c r="AH32" s="39"/>
      <c r="AI32" s="24">
        <f>+AG32</f>
        <v>55000</v>
      </c>
      <c r="AJ32" s="24"/>
      <c r="AK32" s="3"/>
    </row>
    <row r="33" spans="1:37">
      <c r="A33" s="17"/>
      <c r="B33" s="16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24"/>
      <c r="AG33" s="24"/>
      <c r="AH33" s="39"/>
      <c r="AI33" s="24"/>
      <c r="AJ33" s="24"/>
      <c r="AK33" s="3"/>
    </row>
    <row r="34" spans="1:37">
      <c r="A34" s="12" t="s">
        <v>104</v>
      </c>
      <c r="B34" s="11" t="s">
        <v>142</v>
      </c>
      <c r="C34" s="34">
        <f>SUM(C22:C33)</f>
        <v>341974.28</v>
      </c>
      <c r="D34" s="34">
        <f>SUM(D22:D33)</f>
        <v>310895</v>
      </c>
      <c r="E34" s="40"/>
      <c r="F34" s="34">
        <f>SUM(F22:F33)</f>
        <v>571064.23</v>
      </c>
      <c r="G34" s="34">
        <f>SUM(G22:G33)</f>
        <v>559865</v>
      </c>
      <c r="H34" s="40"/>
      <c r="I34" s="34">
        <f>SUM(I22:I33)</f>
        <v>275874.38</v>
      </c>
      <c r="J34" s="34">
        <f>SUM(J22:J33)</f>
        <v>466270</v>
      </c>
      <c r="K34" s="40"/>
      <c r="L34" s="34">
        <f>SUM(L22:L33)</f>
        <v>454165.81</v>
      </c>
      <c r="M34" s="34">
        <f>SUM(M22:M33)</f>
        <v>423840</v>
      </c>
      <c r="N34" s="40"/>
      <c r="O34" s="34">
        <f>SUM(O22:O33)</f>
        <v>483503.07</v>
      </c>
      <c r="P34" s="34">
        <f>SUM(P22:P33)</f>
        <v>404970</v>
      </c>
      <c r="Q34" s="40"/>
      <c r="R34" s="34">
        <f>SUM(R22:R33)</f>
        <v>429343.63</v>
      </c>
      <c r="S34" s="34">
        <f>SUM(S22:S33)</f>
        <v>335765</v>
      </c>
      <c r="T34" s="40"/>
      <c r="U34" s="34">
        <f>SUM(U22:U33)</f>
        <v>217221.95</v>
      </c>
      <c r="V34" s="34">
        <f>SUM(V22:V33)</f>
        <v>147670</v>
      </c>
      <c r="W34" s="40"/>
      <c r="X34" s="34">
        <f>SUM(X22:X33)</f>
        <v>181636.89</v>
      </c>
      <c r="Y34" s="34">
        <f>SUM(Y22:Y33)</f>
        <v>74415</v>
      </c>
      <c r="Z34" s="40"/>
      <c r="AA34" s="34">
        <f>SUM(AA22:AA33)</f>
        <v>79579.740000000005</v>
      </c>
      <c r="AB34" s="34">
        <f>SUM(AB22:AB33)</f>
        <v>118665</v>
      </c>
      <c r="AC34" s="34">
        <f>SUM(AC22:AC33)</f>
        <v>3034363.98</v>
      </c>
      <c r="AD34" s="34">
        <f>SUM(AD22:AD33)</f>
        <v>2842355</v>
      </c>
      <c r="AE34" s="40"/>
      <c r="AF34" s="34">
        <f>SUM(AF22:AF33)</f>
        <v>3144505</v>
      </c>
      <c r="AG34" s="55">
        <f>SUM(AG22:AG33)</f>
        <v>3046000</v>
      </c>
      <c r="AH34" s="39"/>
      <c r="AI34" s="55">
        <f>SUM(AI22:AI33)</f>
        <v>2884500</v>
      </c>
      <c r="AJ34" s="55">
        <f>SUM(AJ22:AJ33)</f>
        <v>161500</v>
      </c>
      <c r="AK34" s="3"/>
    </row>
    <row r="35" spans="1:37"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39"/>
      <c r="AI35" s="41"/>
      <c r="AJ35" s="41"/>
      <c r="AK35" s="3"/>
    </row>
    <row r="36" spans="1:37">
      <c r="A36" s="19" t="s">
        <v>143</v>
      </c>
      <c r="B36" s="18" t="s">
        <v>144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1"/>
      <c r="AG36" s="41"/>
      <c r="AH36" s="39"/>
      <c r="AI36" s="41"/>
      <c r="AJ36" s="41"/>
      <c r="AK36" s="3"/>
    </row>
    <row r="37" spans="1:37">
      <c r="A37" s="17" t="s">
        <v>145</v>
      </c>
      <c r="B37" s="16" t="s">
        <v>146</v>
      </c>
      <c r="C37" s="33">
        <v>4187.41</v>
      </c>
      <c r="D37" s="33">
        <v>2700</v>
      </c>
      <c r="E37" s="33"/>
      <c r="F37" s="33">
        <v>20978.83</v>
      </c>
      <c r="G37" s="33">
        <v>9200</v>
      </c>
      <c r="H37" s="33"/>
      <c r="I37" s="33">
        <v>45813.8</v>
      </c>
      <c r="J37" s="33">
        <v>44000</v>
      </c>
      <c r="K37" s="33"/>
      <c r="L37" s="33">
        <v>56375.58</v>
      </c>
      <c r="M37" s="33">
        <v>56650</v>
      </c>
      <c r="N37" s="33"/>
      <c r="O37" s="33">
        <v>60287.15</v>
      </c>
      <c r="P37" s="33">
        <v>65050</v>
      </c>
      <c r="Q37" s="33"/>
      <c r="R37" s="33">
        <v>52554.86</v>
      </c>
      <c r="S37" s="33">
        <v>58650</v>
      </c>
      <c r="T37" s="33"/>
      <c r="U37" s="33">
        <v>20980</v>
      </c>
      <c r="V37" s="33">
        <v>29450</v>
      </c>
      <c r="W37" s="33"/>
      <c r="X37" s="33">
        <v>10110</v>
      </c>
      <c r="Y37" s="33">
        <v>10700</v>
      </c>
      <c r="Z37" s="33"/>
      <c r="AA37" s="33">
        <v>5130</v>
      </c>
      <c r="AB37" s="33">
        <v>6950</v>
      </c>
      <c r="AC37" s="32">
        <f t="shared" ref="AC37:AC43" si="6">+C37+F37+I37+L37+O37+R37+U37+X37+AA37</f>
        <v>276417.63</v>
      </c>
      <c r="AD37" s="32">
        <f t="shared" ref="AD37:AD43" si="7">+D37+G37+J37+M37+P37+S37+V37+Y37+AB37</f>
        <v>283350</v>
      </c>
      <c r="AE37" s="33"/>
      <c r="AF37" s="24">
        <v>301500</v>
      </c>
      <c r="AG37" s="24">
        <v>301500</v>
      </c>
      <c r="AH37" s="39"/>
      <c r="AI37" s="24">
        <f t="shared" ref="AI37:AI43" si="8">+AG37</f>
        <v>301500</v>
      </c>
      <c r="AJ37" s="24"/>
      <c r="AK37" s="3"/>
    </row>
    <row r="38" spans="1:37">
      <c r="A38" s="17" t="s">
        <v>147</v>
      </c>
      <c r="B38" s="16" t="s">
        <v>148</v>
      </c>
      <c r="C38" s="33"/>
      <c r="D38" s="33"/>
      <c r="E38" s="33"/>
      <c r="F38" s="33"/>
      <c r="G38" s="33"/>
      <c r="H38" s="33"/>
      <c r="I38" s="33">
        <v>1152.25</v>
      </c>
      <c r="J38" s="33"/>
      <c r="K38" s="33"/>
      <c r="L38" s="33">
        <v>725</v>
      </c>
      <c r="M38" s="33"/>
      <c r="N38" s="33"/>
      <c r="O38" s="33">
        <v>1095.25</v>
      </c>
      <c r="P38" s="33"/>
      <c r="Q38" s="33"/>
      <c r="R38" s="33">
        <v>887.25</v>
      </c>
      <c r="S38" s="33">
        <v>0</v>
      </c>
      <c r="T38" s="33"/>
      <c r="U38" s="33">
        <v>1325</v>
      </c>
      <c r="V38" s="33">
        <v>0</v>
      </c>
      <c r="W38" s="33"/>
      <c r="X38" s="33">
        <v>652</v>
      </c>
      <c r="Y38" s="33">
        <v>0</v>
      </c>
      <c r="Z38" s="33"/>
      <c r="AA38" s="33">
        <v>400</v>
      </c>
      <c r="AB38" s="33">
        <v>0</v>
      </c>
      <c r="AC38" s="32">
        <f t="shared" si="6"/>
        <v>6236.75</v>
      </c>
      <c r="AD38" s="32">
        <f t="shared" si="7"/>
        <v>0</v>
      </c>
      <c r="AE38" s="33"/>
      <c r="AF38" s="24"/>
      <c r="AG38" s="24"/>
      <c r="AH38" s="39"/>
      <c r="AI38" s="24">
        <f t="shared" si="8"/>
        <v>0</v>
      </c>
      <c r="AJ38" s="24"/>
      <c r="AK38" s="3"/>
    </row>
    <row r="39" spans="1:37">
      <c r="A39" s="17" t="s">
        <v>149</v>
      </c>
      <c r="B39" s="16" t="s">
        <v>150</v>
      </c>
      <c r="C39" s="33">
        <v>2499.33</v>
      </c>
      <c r="D39" s="33">
        <v>5000</v>
      </c>
      <c r="E39" s="33"/>
      <c r="F39" s="33">
        <v>2600</v>
      </c>
      <c r="G39" s="33">
        <v>5000</v>
      </c>
      <c r="H39" s="33"/>
      <c r="I39" s="33">
        <v>16161.99</v>
      </c>
      <c r="J39" s="33">
        <v>5000</v>
      </c>
      <c r="K39" s="33"/>
      <c r="L39" s="33">
        <v>18149.490000000002</v>
      </c>
      <c r="M39" s="33">
        <v>5000</v>
      </c>
      <c r="N39" s="33"/>
      <c r="O39" s="33">
        <v>10143.11</v>
      </c>
      <c r="P39" s="33">
        <v>5000</v>
      </c>
      <c r="Q39" s="33"/>
      <c r="R39" s="33">
        <v>6459.24</v>
      </c>
      <c r="S39" s="33">
        <v>5000</v>
      </c>
      <c r="T39" s="33"/>
      <c r="U39" s="33">
        <v>4415.74</v>
      </c>
      <c r="V39" s="33">
        <v>5000</v>
      </c>
      <c r="W39" s="33"/>
      <c r="X39" s="33">
        <v>4579.91</v>
      </c>
      <c r="Y39" s="33">
        <v>5000</v>
      </c>
      <c r="Z39" s="33"/>
      <c r="AA39" s="33">
        <v>2616.2600000000002</v>
      </c>
      <c r="AB39" s="33">
        <v>5000</v>
      </c>
      <c r="AC39" s="32">
        <f t="shared" si="6"/>
        <v>67625.069999999992</v>
      </c>
      <c r="AD39" s="32">
        <f t="shared" si="7"/>
        <v>45000</v>
      </c>
      <c r="AE39" s="33"/>
      <c r="AF39" s="24">
        <v>60000</v>
      </c>
      <c r="AG39" s="24">
        <v>60000</v>
      </c>
      <c r="AH39" s="39"/>
      <c r="AI39" s="24">
        <f t="shared" si="8"/>
        <v>60000</v>
      </c>
      <c r="AJ39" s="24"/>
      <c r="AK39" s="3"/>
    </row>
    <row r="40" spans="1:37">
      <c r="A40" s="17" t="s">
        <v>151</v>
      </c>
      <c r="B40" s="16" t="s">
        <v>152</v>
      </c>
      <c r="C40" s="33">
        <v>1088.75</v>
      </c>
      <c r="D40" s="33">
        <v>1045</v>
      </c>
      <c r="E40" s="33"/>
      <c r="F40" s="33">
        <v>1544</v>
      </c>
      <c r="G40" s="33">
        <v>1045</v>
      </c>
      <c r="H40" s="33"/>
      <c r="I40" s="33">
        <v>2842</v>
      </c>
      <c r="J40" s="33">
        <v>1045</v>
      </c>
      <c r="K40" s="33"/>
      <c r="L40" s="33">
        <v>2986.75</v>
      </c>
      <c r="M40" s="33">
        <v>1040</v>
      </c>
      <c r="N40" s="33"/>
      <c r="O40" s="33">
        <v>1480</v>
      </c>
      <c r="P40" s="33">
        <v>1040</v>
      </c>
      <c r="Q40" s="33"/>
      <c r="R40" s="33">
        <v>1968.75</v>
      </c>
      <c r="S40" s="33">
        <v>1040</v>
      </c>
      <c r="T40" s="33"/>
      <c r="U40" s="33">
        <v>1930.64</v>
      </c>
      <c r="V40" s="33">
        <v>1045</v>
      </c>
      <c r="W40" s="33"/>
      <c r="X40" s="33">
        <v>2320.86</v>
      </c>
      <c r="Y40" s="33">
        <v>1040</v>
      </c>
      <c r="Z40" s="33"/>
      <c r="AA40" s="33">
        <v>1406.8</v>
      </c>
      <c r="AB40" s="33">
        <v>1040</v>
      </c>
      <c r="AC40" s="32">
        <f t="shared" si="6"/>
        <v>17568.55</v>
      </c>
      <c r="AD40" s="32">
        <f t="shared" si="7"/>
        <v>9380</v>
      </c>
      <c r="AE40" s="33"/>
      <c r="AF40" s="24">
        <v>12500</v>
      </c>
      <c r="AG40" s="24">
        <v>12500</v>
      </c>
      <c r="AH40" s="39"/>
      <c r="AI40" s="24">
        <f t="shared" si="8"/>
        <v>12500</v>
      </c>
      <c r="AJ40" s="24"/>
      <c r="AK40" s="3"/>
    </row>
    <row r="41" spans="1:37">
      <c r="A41" s="17" t="s">
        <v>153</v>
      </c>
      <c r="B41" s="16" t="s">
        <v>154</v>
      </c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>
        <v>0</v>
      </c>
      <c r="S41" s="33">
        <v>0</v>
      </c>
      <c r="T41" s="33"/>
      <c r="U41" s="33">
        <v>0</v>
      </c>
      <c r="V41" s="33">
        <v>0</v>
      </c>
      <c r="W41" s="33"/>
      <c r="X41" s="33">
        <v>0</v>
      </c>
      <c r="Y41" s="33">
        <v>0</v>
      </c>
      <c r="Z41" s="33"/>
      <c r="AA41" s="33">
        <v>0</v>
      </c>
      <c r="AB41" s="33">
        <v>0</v>
      </c>
      <c r="AC41" s="32">
        <f t="shared" si="6"/>
        <v>0</v>
      </c>
      <c r="AD41" s="32">
        <f t="shared" si="7"/>
        <v>0</v>
      </c>
      <c r="AE41" s="33"/>
      <c r="AF41" s="24"/>
      <c r="AG41" s="24"/>
      <c r="AH41" s="39"/>
      <c r="AI41" s="24">
        <f t="shared" si="8"/>
        <v>0</v>
      </c>
      <c r="AJ41" s="24"/>
      <c r="AK41" s="3"/>
    </row>
    <row r="42" spans="1:37">
      <c r="A42" s="17" t="s">
        <v>155</v>
      </c>
      <c r="B42" s="16" t="s">
        <v>156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>
        <v>229.57</v>
      </c>
      <c r="P42" s="33"/>
      <c r="Q42" s="33"/>
      <c r="R42" s="33">
        <v>0</v>
      </c>
      <c r="S42" s="33">
        <v>0</v>
      </c>
      <c r="T42" s="33"/>
      <c r="U42" s="33">
        <v>0</v>
      </c>
      <c r="V42" s="33">
        <v>0</v>
      </c>
      <c r="W42" s="33"/>
      <c r="X42" s="33">
        <v>229.56</v>
      </c>
      <c r="Y42" s="33">
        <v>0</v>
      </c>
      <c r="Z42" s="33"/>
      <c r="AA42" s="33"/>
      <c r="AB42" s="33"/>
      <c r="AC42" s="32">
        <f t="shared" si="6"/>
        <v>459.13</v>
      </c>
      <c r="AD42" s="32">
        <f t="shared" si="7"/>
        <v>0</v>
      </c>
      <c r="AE42" s="33"/>
      <c r="AF42" s="24"/>
      <c r="AG42" s="24"/>
      <c r="AH42" s="39"/>
      <c r="AI42" s="24">
        <f t="shared" si="8"/>
        <v>0</v>
      </c>
      <c r="AJ42" s="24"/>
      <c r="AK42" s="3"/>
    </row>
    <row r="43" spans="1:37">
      <c r="A43" s="17" t="s">
        <v>157</v>
      </c>
      <c r="B43" s="16" t="s">
        <v>158</v>
      </c>
      <c r="C43" s="33">
        <v>328.75</v>
      </c>
      <c r="D43" s="33">
        <v>375</v>
      </c>
      <c r="E43" s="33"/>
      <c r="F43" s="33">
        <v>225</v>
      </c>
      <c r="G43" s="33">
        <v>375</v>
      </c>
      <c r="H43" s="33"/>
      <c r="I43" s="33">
        <v>250</v>
      </c>
      <c r="J43" s="33">
        <v>375</v>
      </c>
      <c r="K43" s="33"/>
      <c r="L43" s="33">
        <v>634</v>
      </c>
      <c r="M43" s="33">
        <v>375</v>
      </c>
      <c r="N43" s="33"/>
      <c r="O43" s="33">
        <v>240</v>
      </c>
      <c r="P43" s="33">
        <v>375</v>
      </c>
      <c r="Q43" s="33"/>
      <c r="R43" s="33">
        <v>475</v>
      </c>
      <c r="S43" s="33">
        <v>375</v>
      </c>
      <c r="T43" s="33"/>
      <c r="U43" s="33">
        <v>525</v>
      </c>
      <c r="V43" s="33">
        <v>375</v>
      </c>
      <c r="W43" s="33"/>
      <c r="X43" s="33">
        <v>705</v>
      </c>
      <c r="Y43" s="33">
        <v>375</v>
      </c>
      <c r="Z43" s="33"/>
      <c r="AA43" s="33">
        <v>634</v>
      </c>
      <c r="AB43" s="33">
        <v>375</v>
      </c>
      <c r="AC43" s="32">
        <f t="shared" si="6"/>
        <v>4016.75</v>
      </c>
      <c r="AD43" s="32">
        <f t="shared" si="7"/>
        <v>3375</v>
      </c>
      <c r="AE43" s="33"/>
      <c r="AF43" s="24">
        <v>4500</v>
      </c>
      <c r="AG43" s="24">
        <v>4500</v>
      </c>
      <c r="AH43" s="39"/>
      <c r="AI43" s="24">
        <f t="shared" si="8"/>
        <v>4500</v>
      </c>
      <c r="AJ43" s="24"/>
      <c r="AK43" s="3"/>
    </row>
    <row r="44" spans="1:37">
      <c r="A44" s="17"/>
      <c r="B44" s="16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24"/>
      <c r="AG44" s="24"/>
      <c r="AH44" s="39"/>
      <c r="AI44" s="24"/>
      <c r="AJ44" s="24"/>
      <c r="AK44" s="3"/>
    </row>
    <row r="45" spans="1:37">
      <c r="A45" s="12" t="s">
        <v>104</v>
      </c>
      <c r="B45" s="11" t="s">
        <v>159</v>
      </c>
      <c r="C45" s="34">
        <f>SUM(C37:C44)</f>
        <v>8104.24</v>
      </c>
      <c r="D45" s="34">
        <f>SUM(D37:D44)</f>
        <v>9120</v>
      </c>
      <c r="E45" s="40"/>
      <c r="F45" s="34">
        <f>SUM(F37:F44)</f>
        <v>25347.83</v>
      </c>
      <c r="G45" s="34">
        <f>SUM(G37:G44)</f>
        <v>15620</v>
      </c>
      <c r="H45" s="40"/>
      <c r="I45" s="34">
        <f>SUM(I37:I44)</f>
        <v>66220.040000000008</v>
      </c>
      <c r="J45" s="34">
        <f>SUM(J37:J44)</f>
        <v>50420</v>
      </c>
      <c r="K45" s="40"/>
      <c r="L45" s="34">
        <f>SUM(L37:L44)</f>
        <v>78870.820000000007</v>
      </c>
      <c r="M45" s="34">
        <f>SUM(M37:M44)</f>
        <v>63065</v>
      </c>
      <c r="N45" s="40"/>
      <c r="O45" s="34">
        <f>SUM(O37:O44)</f>
        <v>73475.080000000016</v>
      </c>
      <c r="P45" s="34">
        <f>SUM(P37:P44)</f>
        <v>71465</v>
      </c>
      <c r="Q45" s="40"/>
      <c r="R45" s="34">
        <f>SUM(R37:R44)</f>
        <v>62345.1</v>
      </c>
      <c r="S45" s="34">
        <f>SUM(S37:S44)</f>
        <v>65065</v>
      </c>
      <c r="T45" s="40"/>
      <c r="U45" s="34">
        <f>SUM(U37:U44)</f>
        <v>29176.379999999997</v>
      </c>
      <c r="V45" s="34">
        <f>SUM(V37:V44)</f>
        <v>35870</v>
      </c>
      <c r="W45" s="40"/>
      <c r="X45" s="34">
        <f>SUM(X37:X44)</f>
        <v>18597.330000000002</v>
      </c>
      <c r="Y45" s="34">
        <f>SUM(Y37:Y44)</f>
        <v>17115</v>
      </c>
      <c r="Z45" s="40"/>
      <c r="AA45" s="34">
        <f>SUM(AA37:AA44)</f>
        <v>10187.06</v>
      </c>
      <c r="AB45" s="34">
        <f>SUM(AB37:AB44)</f>
        <v>13365</v>
      </c>
      <c r="AC45" s="34">
        <f>SUM(AC37:AC44)</f>
        <v>372323.88</v>
      </c>
      <c r="AD45" s="34">
        <f>SUM(AD37:AD44)</f>
        <v>341105</v>
      </c>
      <c r="AE45" s="40"/>
      <c r="AF45" s="34">
        <f>SUM(AF37:AF44)</f>
        <v>378500</v>
      </c>
      <c r="AG45" s="55">
        <f>SUM(AG37:AG44)</f>
        <v>378500</v>
      </c>
      <c r="AH45" s="39"/>
      <c r="AI45" s="55">
        <f>SUM(AI37:AI44)</f>
        <v>378500</v>
      </c>
      <c r="AJ45" s="55">
        <f>SUM(AJ37:AJ44)</f>
        <v>0</v>
      </c>
      <c r="AK45" s="3"/>
    </row>
    <row r="46" spans="1:37"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39"/>
      <c r="AI46" s="41"/>
      <c r="AJ46" s="41"/>
      <c r="AK46" s="3"/>
    </row>
    <row r="47" spans="1:37">
      <c r="A47" s="19" t="s">
        <v>160</v>
      </c>
      <c r="B47" s="18" t="s">
        <v>161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1"/>
      <c r="AG47" s="41"/>
      <c r="AH47" s="39"/>
      <c r="AI47" s="41"/>
      <c r="AJ47" s="41"/>
      <c r="AK47" s="3"/>
    </row>
    <row r="48" spans="1:37">
      <c r="A48" s="17">
        <v>4040980</v>
      </c>
      <c r="B48" s="16" t="s">
        <v>162</v>
      </c>
      <c r="C48" s="33"/>
      <c r="D48" s="33">
        <v>6250</v>
      </c>
      <c r="E48" s="33"/>
      <c r="F48" s="33"/>
      <c r="G48" s="33">
        <v>6250</v>
      </c>
      <c r="H48" s="33"/>
      <c r="I48" s="33">
        <v>3215.19</v>
      </c>
      <c r="J48" s="33">
        <v>6250</v>
      </c>
      <c r="K48" s="33"/>
      <c r="L48" s="33"/>
      <c r="M48" s="33">
        <v>6250</v>
      </c>
      <c r="N48" s="33"/>
      <c r="O48" s="33"/>
      <c r="P48" s="33">
        <v>6250</v>
      </c>
      <c r="Q48" s="33"/>
      <c r="R48" s="33">
        <v>0</v>
      </c>
      <c r="S48" s="33">
        <v>6250</v>
      </c>
      <c r="T48" s="33"/>
      <c r="U48" s="33">
        <v>3215.19</v>
      </c>
      <c r="V48" s="33">
        <v>6250</v>
      </c>
      <c r="W48" s="33"/>
      <c r="X48" s="33">
        <v>175</v>
      </c>
      <c r="Y48" s="33">
        <v>6250</v>
      </c>
      <c r="Z48" s="33"/>
      <c r="AA48" s="33">
        <v>3802.86</v>
      </c>
      <c r="AB48" s="33">
        <v>6250</v>
      </c>
      <c r="AC48" s="32">
        <f t="shared" ref="AC48:AC57" si="9">+C48+F48+I48+L48+O48+R48+U48+X48+AA48</f>
        <v>10408.24</v>
      </c>
      <c r="AD48" s="32">
        <f t="shared" ref="AD48:AD57" si="10">+D48+G48+J48+M48+P48+S48+V48+Y48+AB48</f>
        <v>56250</v>
      </c>
      <c r="AE48" s="33"/>
      <c r="AF48" s="24">
        <v>75000</v>
      </c>
      <c r="AG48" s="24">
        <v>75000</v>
      </c>
      <c r="AH48" s="39"/>
      <c r="AI48" s="24"/>
      <c r="AJ48" s="24">
        <f>+AG48-AI48</f>
        <v>75000</v>
      </c>
      <c r="AK48" s="3"/>
    </row>
    <row r="49" spans="1:37">
      <c r="A49" s="17" t="s">
        <v>163</v>
      </c>
      <c r="B49" s="16" t="s">
        <v>164</v>
      </c>
      <c r="C49" s="33"/>
      <c r="D49" s="33">
        <v>415</v>
      </c>
      <c r="E49" s="33"/>
      <c r="F49" s="33"/>
      <c r="G49" s="33">
        <v>420</v>
      </c>
      <c r="H49" s="33"/>
      <c r="I49" s="33"/>
      <c r="J49" s="33">
        <v>415</v>
      </c>
      <c r="K49" s="33"/>
      <c r="L49" s="33">
        <v>0</v>
      </c>
      <c r="M49" s="33">
        <v>420</v>
      </c>
      <c r="N49" s="33"/>
      <c r="O49" s="33">
        <v>0</v>
      </c>
      <c r="P49" s="33">
        <v>415</v>
      </c>
      <c r="Q49" s="33"/>
      <c r="R49" s="33">
        <v>0</v>
      </c>
      <c r="S49" s="33">
        <v>420</v>
      </c>
      <c r="T49" s="33"/>
      <c r="U49" s="33">
        <v>0</v>
      </c>
      <c r="V49" s="33">
        <v>415</v>
      </c>
      <c r="W49" s="33"/>
      <c r="X49" s="33"/>
      <c r="Y49" s="33">
        <v>420</v>
      </c>
      <c r="Z49" s="33"/>
      <c r="AA49" s="33"/>
      <c r="AB49" s="33">
        <v>415</v>
      </c>
      <c r="AC49" s="32">
        <f t="shared" si="9"/>
        <v>0</v>
      </c>
      <c r="AD49" s="32">
        <f t="shared" si="10"/>
        <v>3755</v>
      </c>
      <c r="AE49" s="33"/>
      <c r="AF49" s="24">
        <v>5000</v>
      </c>
      <c r="AG49" s="24">
        <v>5000</v>
      </c>
      <c r="AH49" s="39"/>
      <c r="AI49" s="24"/>
      <c r="AJ49" s="24">
        <f>+AG49-AI49</f>
        <v>5000</v>
      </c>
      <c r="AK49" s="3"/>
    </row>
    <row r="50" spans="1:37">
      <c r="A50" s="17" t="s">
        <v>165</v>
      </c>
      <c r="B50" s="16" t="s">
        <v>166</v>
      </c>
      <c r="C50" s="33">
        <v>1242.94</v>
      </c>
      <c r="D50" s="33">
        <v>415</v>
      </c>
      <c r="E50" s="33"/>
      <c r="F50" s="33"/>
      <c r="G50" s="33">
        <v>420</v>
      </c>
      <c r="H50" s="33"/>
      <c r="I50" s="33"/>
      <c r="J50" s="33">
        <v>415</v>
      </c>
      <c r="K50" s="33"/>
      <c r="L50" s="33"/>
      <c r="M50" s="33">
        <v>420</v>
      </c>
      <c r="N50" s="33"/>
      <c r="O50" s="33"/>
      <c r="P50" s="33">
        <v>415</v>
      </c>
      <c r="Q50" s="33"/>
      <c r="R50" s="33">
        <v>0</v>
      </c>
      <c r="S50" s="33">
        <v>420</v>
      </c>
      <c r="T50" s="33"/>
      <c r="U50" s="33">
        <v>0</v>
      </c>
      <c r="V50" s="33">
        <v>415</v>
      </c>
      <c r="W50" s="33"/>
      <c r="X50" s="33"/>
      <c r="Y50" s="33">
        <v>420</v>
      </c>
      <c r="Z50" s="33"/>
      <c r="AA50" s="33"/>
      <c r="AB50" s="33">
        <v>415</v>
      </c>
      <c r="AC50" s="32">
        <f t="shared" si="9"/>
        <v>1242.94</v>
      </c>
      <c r="AD50" s="32">
        <f t="shared" si="10"/>
        <v>3755</v>
      </c>
      <c r="AE50" s="33"/>
      <c r="AF50" s="24">
        <v>5000</v>
      </c>
      <c r="AG50" s="24">
        <v>5000</v>
      </c>
      <c r="AH50" s="39"/>
      <c r="AI50" s="24"/>
      <c r="AJ50" s="24">
        <f>+AG50-AI50</f>
        <v>5000</v>
      </c>
      <c r="AK50" s="3"/>
    </row>
    <row r="51" spans="1:37">
      <c r="A51" s="17" t="s">
        <v>167</v>
      </c>
      <c r="B51" s="16" t="s">
        <v>168</v>
      </c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>
        <v>10436.52</v>
      </c>
      <c r="S51" s="33">
        <v>20000</v>
      </c>
      <c r="T51" s="33"/>
      <c r="U51" s="33">
        <v>0</v>
      </c>
      <c r="V51" s="33">
        <v>0</v>
      </c>
      <c r="W51" s="33"/>
      <c r="X51" s="33">
        <v>0</v>
      </c>
      <c r="Y51" s="33">
        <v>0</v>
      </c>
      <c r="Z51" s="33"/>
      <c r="AA51" s="33">
        <v>0</v>
      </c>
      <c r="AB51" s="33">
        <v>0</v>
      </c>
      <c r="AC51" s="32">
        <f t="shared" si="9"/>
        <v>10436.52</v>
      </c>
      <c r="AD51" s="32">
        <f t="shared" si="10"/>
        <v>20000</v>
      </c>
      <c r="AE51" s="33"/>
      <c r="AF51" s="24">
        <v>20000</v>
      </c>
      <c r="AG51" s="24">
        <v>20000</v>
      </c>
      <c r="AH51" s="39"/>
      <c r="AI51" s="24"/>
      <c r="AJ51" s="24">
        <f>+AG51-AI51</f>
        <v>20000</v>
      </c>
      <c r="AK51" s="3"/>
    </row>
    <row r="52" spans="1:37">
      <c r="A52" s="17">
        <v>4060400</v>
      </c>
      <c r="B52" s="16" t="s">
        <v>169</v>
      </c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>
        <v>0</v>
      </c>
      <c r="S52" s="33">
        <v>0</v>
      </c>
      <c r="T52" s="33"/>
      <c r="U52" s="33"/>
      <c r="V52" s="33"/>
      <c r="W52" s="33"/>
      <c r="X52" s="33">
        <v>0</v>
      </c>
      <c r="Y52" s="33">
        <v>0</v>
      </c>
      <c r="Z52" s="33"/>
      <c r="AA52" s="33">
        <v>0</v>
      </c>
      <c r="AB52" s="33">
        <v>0</v>
      </c>
      <c r="AC52" s="32">
        <f t="shared" si="9"/>
        <v>0</v>
      </c>
      <c r="AD52" s="32">
        <f t="shared" si="10"/>
        <v>0</v>
      </c>
      <c r="AE52" s="33"/>
      <c r="AF52" s="24"/>
      <c r="AG52" s="24"/>
      <c r="AH52" s="39"/>
      <c r="AI52" s="24"/>
      <c r="AJ52" s="24"/>
      <c r="AK52" s="3"/>
    </row>
    <row r="53" spans="1:37">
      <c r="A53" s="17" t="s">
        <v>170</v>
      </c>
      <c r="B53" s="16" t="s">
        <v>171</v>
      </c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>
        <v>0</v>
      </c>
      <c r="S53" s="33">
        <v>0</v>
      </c>
      <c r="T53" s="33"/>
      <c r="U53" s="33">
        <v>57500</v>
      </c>
      <c r="V53" s="33">
        <v>57500</v>
      </c>
      <c r="W53" s="33"/>
      <c r="X53" s="33">
        <v>0</v>
      </c>
      <c r="Y53" s="33">
        <v>0</v>
      </c>
      <c r="Z53" s="33"/>
      <c r="AA53" s="33">
        <v>0</v>
      </c>
      <c r="AB53" s="33">
        <v>0</v>
      </c>
      <c r="AC53" s="32">
        <f t="shared" si="9"/>
        <v>57500</v>
      </c>
      <c r="AD53" s="32">
        <f t="shared" si="10"/>
        <v>57500</v>
      </c>
      <c r="AE53" s="33"/>
      <c r="AF53" s="24">
        <v>0</v>
      </c>
      <c r="AG53" s="58">
        <v>110000</v>
      </c>
      <c r="AH53" s="39"/>
      <c r="AI53" s="58"/>
      <c r="AJ53" s="58">
        <f>+AG53-AI53</f>
        <v>110000</v>
      </c>
      <c r="AK53" s="3"/>
    </row>
    <row r="54" spans="1:37">
      <c r="A54" s="17">
        <v>4060600</v>
      </c>
      <c r="B54" s="16" t="s">
        <v>172</v>
      </c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>
        <v>0</v>
      </c>
      <c r="S54" s="33">
        <v>0</v>
      </c>
      <c r="T54" s="33"/>
      <c r="U54" s="33"/>
      <c r="V54" s="33"/>
      <c r="W54" s="33"/>
      <c r="X54" s="33">
        <v>0</v>
      </c>
      <c r="Y54" s="33">
        <v>0</v>
      </c>
      <c r="Z54" s="33"/>
      <c r="AA54" s="33">
        <v>0</v>
      </c>
      <c r="AB54" s="33">
        <v>0</v>
      </c>
      <c r="AC54" s="32">
        <f t="shared" si="9"/>
        <v>0</v>
      </c>
      <c r="AD54" s="32">
        <f t="shared" si="10"/>
        <v>0</v>
      </c>
      <c r="AE54" s="33"/>
      <c r="AF54" s="24">
        <v>0</v>
      </c>
      <c r="AG54" s="24">
        <v>0</v>
      </c>
      <c r="AH54" s="39"/>
      <c r="AI54" s="24"/>
      <c r="AJ54" s="24">
        <f>+AG54</f>
        <v>0</v>
      </c>
      <c r="AK54" s="3"/>
    </row>
    <row r="55" spans="1:37">
      <c r="A55" s="17">
        <v>4060800</v>
      </c>
      <c r="B55" s="16" t="s">
        <v>173</v>
      </c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>
        <v>0</v>
      </c>
      <c r="S55" s="33">
        <v>0</v>
      </c>
      <c r="T55" s="33"/>
      <c r="U55" s="33"/>
      <c r="V55" s="33"/>
      <c r="W55" s="33"/>
      <c r="X55" s="33">
        <v>0</v>
      </c>
      <c r="Y55" s="33">
        <v>0</v>
      </c>
      <c r="Z55" s="33"/>
      <c r="AA55" s="33">
        <v>0</v>
      </c>
      <c r="AB55" s="33">
        <v>0</v>
      </c>
      <c r="AC55" s="32">
        <f t="shared" si="9"/>
        <v>0</v>
      </c>
      <c r="AD55" s="32">
        <f t="shared" si="10"/>
        <v>0</v>
      </c>
      <c r="AE55" s="33"/>
      <c r="AF55" s="24">
        <v>0</v>
      </c>
      <c r="AG55" s="24">
        <v>0</v>
      </c>
      <c r="AH55" s="39"/>
      <c r="AI55" s="24"/>
      <c r="AJ55" s="24">
        <f>+AG55</f>
        <v>0</v>
      </c>
      <c r="AK55" s="3"/>
    </row>
    <row r="56" spans="1:37">
      <c r="A56" s="17">
        <v>4060900</v>
      </c>
      <c r="B56" s="16" t="s">
        <v>174</v>
      </c>
      <c r="C56" s="33"/>
      <c r="D56" s="33"/>
      <c r="E56" s="33"/>
      <c r="F56" s="33"/>
      <c r="G56" s="33"/>
      <c r="H56" s="33"/>
      <c r="I56" s="33">
        <v>10174.450000000001</v>
      </c>
      <c r="J56" s="33">
        <v>10100</v>
      </c>
      <c r="K56" s="33"/>
      <c r="L56" s="33">
        <v>5000</v>
      </c>
      <c r="M56" s="33">
        <v>5000</v>
      </c>
      <c r="N56" s="33"/>
      <c r="O56" s="33"/>
      <c r="P56" s="33"/>
      <c r="Q56" s="33"/>
      <c r="R56" s="33">
        <v>1957.9</v>
      </c>
      <c r="S56" s="33">
        <v>1900</v>
      </c>
      <c r="T56" s="33"/>
      <c r="U56" s="33"/>
      <c r="V56" s="33"/>
      <c r="W56" s="33"/>
      <c r="X56" s="33">
        <v>0</v>
      </c>
      <c r="Y56" s="33">
        <v>0</v>
      </c>
      <c r="Z56" s="33"/>
      <c r="AA56" s="33">
        <v>0</v>
      </c>
      <c r="AB56" s="33">
        <v>0</v>
      </c>
      <c r="AC56" s="32">
        <f t="shared" si="9"/>
        <v>17132.350000000002</v>
      </c>
      <c r="AD56" s="32">
        <f t="shared" si="10"/>
        <v>17000</v>
      </c>
      <c r="AE56" s="33"/>
      <c r="AF56" s="24">
        <v>0</v>
      </c>
      <c r="AG56" s="58">
        <v>17000</v>
      </c>
      <c r="AH56" s="39"/>
      <c r="AI56" s="58"/>
      <c r="AJ56" s="58">
        <f>+AG56-AI56</f>
        <v>17000</v>
      </c>
      <c r="AK56" s="3"/>
    </row>
    <row r="57" spans="1:37">
      <c r="A57" s="17" t="s">
        <v>175</v>
      </c>
      <c r="B57" s="16" t="s">
        <v>176</v>
      </c>
      <c r="C57" s="33">
        <v>4750</v>
      </c>
      <c r="D57" s="33">
        <v>20800</v>
      </c>
      <c r="E57" s="33"/>
      <c r="F57" s="33">
        <v>500</v>
      </c>
      <c r="G57" s="33">
        <v>20850</v>
      </c>
      <c r="H57" s="33"/>
      <c r="I57" s="33">
        <v>425</v>
      </c>
      <c r="J57" s="33">
        <v>20850</v>
      </c>
      <c r="K57" s="33"/>
      <c r="L57" s="33">
        <v>16494</v>
      </c>
      <c r="M57" s="33">
        <v>20800</v>
      </c>
      <c r="N57" s="33"/>
      <c r="O57" s="33">
        <v>40000</v>
      </c>
      <c r="P57" s="33">
        <v>20850</v>
      </c>
      <c r="Q57" s="33"/>
      <c r="R57" s="33">
        <v>0</v>
      </c>
      <c r="S57" s="33">
        <v>20800</v>
      </c>
      <c r="T57" s="33"/>
      <c r="U57" s="33">
        <v>21000</v>
      </c>
      <c r="V57" s="33">
        <v>20850</v>
      </c>
      <c r="W57" s="33"/>
      <c r="X57" s="33">
        <v>5670</v>
      </c>
      <c r="Y57" s="33">
        <v>20800</v>
      </c>
      <c r="Z57" s="33"/>
      <c r="AA57" s="33">
        <v>305</v>
      </c>
      <c r="AB57" s="33">
        <v>20850</v>
      </c>
      <c r="AC57" s="32">
        <f t="shared" si="9"/>
        <v>89144</v>
      </c>
      <c r="AD57" s="32">
        <f t="shared" si="10"/>
        <v>187450</v>
      </c>
      <c r="AE57" s="33"/>
      <c r="AF57" s="24">
        <f>30000+130000</f>
        <v>160000</v>
      </c>
      <c r="AG57" s="58">
        <v>250000</v>
      </c>
      <c r="AH57" s="39"/>
      <c r="AI57" s="58"/>
      <c r="AJ57" s="58">
        <f>+AG57-AI57</f>
        <v>250000</v>
      </c>
      <c r="AK57" s="3"/>
    </row>
    <row r="58" spans="1:37">
      <c r="A58" s="15"/>
      <c r="B58" s="1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39"/>
      <c r="AI58" s="24"/>
      <c r="AJ58" s="24"/>
      <c r="AK58" s="3"/>
    </row>
    <row r="59" spans="1:37">
      <c r="A59" s="12" t="s">
        <v>104</v>
      </c>
      <c r="B59" s="11" t="s">
        <v>177</v>
      </c>
      <c r="C59" s="34">
        <f>SUM(C48:C58)</f>
        <v>5992.9400000000005</v>
      </c>
      <c r="D59" s="34">
        <f>SUM(D48:D58)</f>
        <v>27880</v>
      </c>
      <c r="E59" s="40"/>
      <c r="F59" s="34">
        <f>SUM(F48:F58)</f>
        <v>500</v>
      </c>
      <c r="G59" s="34">
        <f>SUM(G48:G58)</f>
        <v>27940</v>
      </c>
      <c r="H59" s="40"/>
      <c r="I59" s="34">
        <f>SUM(I48:I58)</f>
        <v>13814.640000000001</v>
      </c>
      <c r="J59" s="34">
        <f>SUM(J48:J58)</f>
        <v>38030</v>
      </c>
      <c r="K59" s="40"/>
      <c r="L59" s="34">
        <f>SUM(L48:L58)</f>
        <v>21494</v>
      </c>
      <c r="M59" s="34">
        <f>SUM(M48:M58)</f>
        <v>32890</v>
      </c>
      <c r="N59" s="40"/>
      <c r="O59" s="34">
        <f>SUM(O48:O58)</f>
        <v>40000</v>
      </c>
      <c r="P59" s="34">
        <f>SUM(P48:P58)</f>
        <v>27930</v>
      </c>
      <c r="Q59" s="40"/>
      <c r="R59" s="34">
        <f>SUM(R48:R58)</f>
        <v>12394.42</v>
      </c>
      <c r="S59" s="34">
        <f>SUM(S48:S58)</f>
        <v>49790</v>
      </c>
      <c r="T59" s="40"/>
      <c r="U59" s="34">
        <f>SUM(U48:U58)</f>
        <v>81715.19</v>
      </c>
      <c r="V59" s="34">
        <f>SUM(V48:V58)</f>
        <v>85430</v>
      </c>
      <c r="W59" s="40"/>
      <c r="X59" s="34">
        <f>SUM(X48:X58)</f>
        <v>5845</v>
      </c>
      <c r="Y59" s="34">
        <f>SUM(Y48:Y58)</f>
        <v>27890</v>
      </c>
      <c r="Z59" s="40"/>
      <c r="AA59" s="34">
        <f>SUM(AA48:AA58)</f>
        <v>4107.8600000000006</v>
      </c>
      <c r="AB59" s="34">
        <f>SUM(AB48:AB58)</f>
        <v>27930</v>
      </c>
      <c r="AC59" s="55">
        <f>SUM(AC48:AC58)</f>
        <v>185864.05</v>
      </c>
      <c r="AD59" s="34">
        <f>SUM(AD48:AD58)</f>
        <v>345710</v>
      </c>
      <c r="AE59" s="40"/>
      <c r="AF59" s="34">
        <f>SUM(AF48:AF58)</f>
        <v>265000</v>
      </c>
      <c r="AG59" s="34">
        <f>SUM(AG48:AG58)</f>
        <v>482000</v>
      </c>
      <c r="AH59" s="39"/>
      <c r="AI59" s="34">
        <f>SUM(AI48:AI58)</f>
        <v>0</v>
      </c>
      <c r="AJ59" s="34">
        <f>SUM(AJ48:AJ58)</f>
        <v>482000</v>
      </c>
      <c r="AK59" s="3"/>
    </row>
    <row r="60" spans="1:37"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39"/>
      <c r="AI60" s="41"/>
      <c r="AJ60" s="41"/>
      <c r="AK60" s="3"/>
    </row>
    <row r="61" spans="1:37">
      <c r="A61" s="19" t="s">
        <v>178</v>
      </c>
      <c r="B61" s="18" t="s">
        <v>179</v>
      </c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1"/>
      <c r="AG61" s="41"/>
      <c r="AH61" s="39"/>
      <c r="AI61" s="41"/>
      <c r="AJ61" s="41"/>
      <c r="AK61" s="3"/>
    </row>
    <row r="62" spans="1:37">
      <c r="A62" s="17" t="s">
        <v>180</v>
      </c>
      <c r="B62" s="16" t="s">
        <v>181</v>
      </c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>
        <v>0</v>
      </c>
      <c r="Y62" s="33">
        <v>0</v>
      </c>
      <c r="Z62" s="33"/>
      <c r="AA62" s="33">
        <v>250</v>
      </c>
      <c r="AB62" s="33">
        <v>0</v>
      </c>
      <c r="AC62" s="32">
        <f t="shared" ref="AC62:AC66" si="11">+C62+F62+I62+L62+O62+R62+U62+X62+AA62</f>
        <v>250</v>
      </c>
      <c r="AD62" s="32">
        <f t="shared" ref="AD62:AD66" si="12">+D62+G62+J62+M62+P62+S62+V62+Y62+AB62</f>
        <v>0</v>
      </c>
      <c r="AE62" s="33"/>
      <c r="AF62" s="24"/>
      <c r="AG62" s="24"/>
      <c r="AH62" s="39"/>
      <c r="AI62" s="24"/>
      <c r="AJ62" s="24"/>
      <c r="AK62" s="3"/>
    </row>
    <row r="63" spans="1:37">
      <c r="A63" s="17" t="s">
        <v>182</v>
      </c>
      <c r="B63" s="16" t="s">
        <v>183</v>
      </c>
      <c r="C63" s="33">
        <v>2000</v>
      </c>
      <c r="D63" s="33">
        <v>415</v>
      </c>
      <c r="E63" s="33"/>
      <c r="F63" s="33">
        <v>1100</v>
      </c>
      <c r="G63" s="33">
        <v>420</v>
      </c>
      <c r="H63" s="33"/>
      <c r="I63" s="33">
        <v>660</v>
      </c>
      <c r="J63" s="33">
        <v>415</v>
      </c>
      <c r="K63" s="33"/>
      <c r="L63" s="33">
        <v>118</v>
      </c>
      <c r="M63" s="33">
        <v>420</v>
      </c>
      <c r="N63" s="33"/>
      <c r="O63" s="33">
        <v>200</v>
      </c>
      <c r="P63" s="33">
        <v>415</v>
      </c>
      <c r="Q63" s="33"/>
      <c r="R63" s="33">
        <v>1000</v>
      </c>
      <c r="S63" s="33">
        <v>420</v>
      </c>
      <c r="T63" s="33"/>
      <c r="U63" s="33">
        <v>0</v>
      </c>
      <c r="V63" s="33">
        <v>415</v>
      </c>
      <c r="W63" s="33"/>
      <c r="X63" s="33">
        <v>0</v>
      </c>
      <c r="Y63" s="33">
        <v>420</v>
      </c>
      <c r="Z63" s="33"/>
      <c r="AA63" s="33">
        <v>0</v>
      </c>
      <c r="AB63" s="33">
        <v>415</v>
      </c>
      <c r="AC63" s="32">
        <f t="shared" si="11"/>
        <v>5078</v>
      </c>
      <c r="AD63" s="32">
        <f t="shared" si="12"/>
        <v>3755</v>
      </c>
      <c r="AE63" s="33"/>
      <c r="AF63" s="24">
        <v>5000</v>
      </c>
      <c r="AG63" s="24">
        <v>5000</v>
      </c>
      <c r="AH63" s="39"/>
      <c r="AI63" s="24"/>
      <c r="AJ63" s="24">
        <f>+AG63-AI63</f>
        <v>5000</v>
      </c>
      <c r="AK63" s="3"/>
    </row>
    <row r="64" spans="1:37">
      <c r="A64" s="17" t="s">
        <v>184</v>
      </c>
      <c r="B64" s="16" t="s">
        <v>185</v>
      </c>
      <c r="C64" s="33"/>
      <c r="D64" s="33">
        <v>80</v>
      </c>
      <c r="E64" s="33"/>
      <c r="F64" s="33"/>
      <c r="G64" s="33">
        <v>85</v>
      </c>
      <c r="H64" s="33"/>
      <c r="I64" s="33">
        <v>200</v>
      </c>
      <c r="J64" s="33">
        <v>80</v>
      </c>
      <c r="K64" s="33"/>
      <c r="L64" s="33">
        <v>100</v>
      </c>
      <c r="M64" s="33">
        <v>85</v>
      </c>
      <c r="N64" s="33"/>
      <c r="O64" s="33">
        <v>175</v>
      </c>
      <c r="P64" s="33">
        <v>80</v>
      </c>
      <c r="Q64" s="33"/>
      <c r="R64" s="33">
        <v>125</v>
      </c>
      <c r="S64" s="33">
        <v>85</v>
      </c>
      <c r="T64" s="33"/>
      <c r="U64" s="33">
        <v>150</v>
      </c>
      <c r="V64" s="33">
        <v>85</v>
      </c>
      <c r="W64" s="33"/>
      <c r="X64" s="33">
        <v>50</v>
      </c>
      <c r="Y64" s="33">
        <v>85</v>
      </c>
      <c r="Z64" s="33"/>
      <c r="AA64" s="33">
        <v>75</v>
      </c>
      <c r="AB64" s="33">
        <v>85</v>
      </c>
      <c r="AC64" s="32">
        <f t="shared" si="11"/>
        <v>875</v>
      </c>
      <c r="AD64" s="32">
        <f t="shared" si="12"/>
        <v>750</v>
      </c>
      <c r="AE64" s="33"/>
      <c r="AF64" s="24">
        <v>1000</v>
      </c>
      <c r="AG64" s="24">
        <v>1000</v>
      </c>
      <c r="AH64" s="39"/>
      <c r="AI64" s="24">
        <f>+AG64</f>
        <v>1000</v>
      </c>
      <c r="AJ64" s="24"/>
      <c r="AK64" s="3"/>
    </row>
    <row r="65" spans="1:37">
      <c r="A65" s="17" t="s">
        <v>186</v>
      </c>
      <c r="B65" s="16" t="s">
        <v>187</v>
      </c>
      <c r="C65" s="33">
        <v>1794.12</v>
      </c>
      <c r="D65" s="33">
        <v>1800</v>
      </c>
      <c r="E65" s="33"/>
      <c r="F65" s="33">
        <v>642.24</v>
      </c>
      <c r="G65" s="33">
        <v>500</v>
      </c>
      <c r="H65" s="33"/>
      <c r="I65" s="33"/>
      <c r="J65" s="33">
        <v>0</v>
      </c>
      <c r="K65" s="33"/>
      <c r="L65" s="33">
        <v>14832.17</v>
      </c>
      <c r="M65" s="33">
        <v>14800</v>
      </c>
      <c r="N65" s="33"/>
      <c r="O65" s="33">
        <v>11906.59</v>
      </c>
      <c r="P65" s="33">
        <v>11900</v>
      </c>
      <c r="Q65" s="33"/>
      <c r="R65" s="33">
        <v>14521.7</v>
      </c>
      <c r="S65" s="33">
        <v>14500</v>
      </c>
      <c r="T65" s="33"/>
      <c r="U65" s="33">
        <v>10853.84</v>
      </c>
      <c r="V65" s="33">
        <v>10200</v>
      </c>
      <c r="W65" s="33"/>
      <c r="X65" s="33">
        <v>9329.42</v>
      </c>
      <c r="Y65" s="33">
        <v>6300</v>
      </c>
      <c r="Z65" s="33"/>
      <c r="AA65" s="33">
        <v>0</v>
      </c>
      <c r="AB65" s="33"/>
      <c r="AC65" s="32">
        <f t="shared" si="11"/>
        <v>63880.08</v>
      </c>
      <c r="AD65" s="32">
        <f t="shared" si="12"/>
        <v>60000</v>
      </c>
      <c r="AE65" s="33"/>
      <c r="AF65" s="24">
        <v>15000</v>
      </c>
      <c r="AG65" s="58">
        <v>63000</v>
      </c>
      <c r="AH65" s="39"/>
      <c r="AI65" s="58">
        <f>+AG65</f>
        <v>63000</v>
      </c>
      <c r="AJ65" s="58"/>
      <c r="AK65" s="3"/>
    </row>
    <row r="66" spans="1:37">
      <c r="A66" s="17" t="s">
        <v>188</v>
      </c>
      <c r="B66" s="16" t="s">
        <v>189</v>
      </c>
      <c r="C66" s="33"/>
      <c r="D66" s="33"/>
      <c r="E66" s="33"/>
      <c r="F66" s="33">
        <v>35739.71</v>
      </c>
      <c r="G66" s="33">
        <v>35000</v>
      </c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>
        <v>0</v>
      </c>
      <c r="S66" s="33">
        <v>0</v>
      </c>
      <c r="T66" s="33"/>
      <c r="U66" s="33">
        <v>0</v>
      </c>
      <c r="V66" s="33">
        <v>0</v>
      </c>
      <c r="W66" s="33"/>
      <c r="X66" s="33">
        <v>0</v>
      </c>
      <c r="Y66" s="33">
        <v>0</v>
      </c>
      <c r="Z66" s="33"/>
      <c r="AA66" s="33">
        <v>0</v>
      </c>
      <c r="AB66" s="33">
        <v>0</v>
      </c>
      <c r="AC66" s="32">
        <f t="shared" si="11"/>
        <v>35739.71</v>
      </c>
      <c r="AD66" s="32">
        <f t="shared" si="12"/>
        <v>35000</v>
      </c>
      <c r="AE66" s="33"/>
      <c r="AF66" s="24">
        <v>70000</v>
      </c>
      <c r="AG66" s="24">
        <v>70000</v>
      </c>
      <c r="AH66" s="39"/>
      <c r="AI66" s="24">
        <f>+AG66</f>
        <v>70000</v>
      </c>
      <c r="AJ66" s="24"/>
      <c r="AK66" s="3"/>
    </row>
    <row r="67" spans="1:37">
      <c r="A67" s="17"/>
      <c r="B67" s="16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24"/>
      <c r="AG67" s="24"/>
      <c r="AH67" s="39"/>
      <c r="AI67" s="24"/>
      <c r="AJ67" s="24"/>
      <c r="AK67" s="3"/>
    </row>
    <row r="68" spans="1:37">
      <c r="A68" s="12" t="s">
        <v>104</v>
      </c>
      <c r="B68" s="11" t="s">
        <v>190</v>
      </c>
      <c r="C68" s="34">
        <f>SUM(C62:C67)</f>
        <v>3794.12</v>
      </c>
      <c r="D68" s="34">
        <f>SUM(D62:D67)</f>
        <v>2295</v>
      </c>
      <c r="E68" s="40"/>
      <c r="F68" s="34">
        <f>SUM(F62:F67)</f>
        <v>37481.949999999997</v>
      </c>
      <c r="G68" s="34">
        <f>SUM(G62:G67)</f>
        <v>36005</v>
      </c>
      <c r="H68" s="40"/>
      <c r="I68" s="34">
        <f>SUM(I62:I67)</f>
        <v>860</v>
      </c>
      <c r="J68" s="34">
        <f>SUM(J62:J67)</f>
        <v>495</v>
      </c>
      <c r="K68" s="40"/>
      <c r="L68" s="34">
        <f>SUM(L62:L67)</f>
        <v>15050.17</v>
      </c>
      <c r="M68" s="34">
        <f>SUM(M62:M67)</f>
        <v>15305</v>
      </c>
      <c r="N68" s="40"/>
      <c r="O68" s="34">
        <f>SUM(O62:O67)</f>
        <v>12281.59</v>
      </c>
      <c r="P68" s="34">
        <f>SUM(P62:P67)</f>
        <v>12395</v>
      </c>
      <c r="Q68" s="40"/>
      <c r="R68" s="34">
        <f>SUM(R62:R67)</f>
        <v>15646.7</v>
      </c>
      <c r="S68" s="34">
        <f>SUM(S62:S67)</f>
        <v>15005</v>
      </c>
      <c r="T68" s="40"/>
      <c r="U68" s="34">
        <f>SUM(U62:U67)</f>
        <v>11003.84</v>
      </c>
      <c r="V68" s="34">
        <f>SUM(V62:V67)</f>
        <v>10700</v>
      </c>
      <c r="W68" s="40"/>
      <c r="X68" s="34">
        <f>SUM(X62:X67)</f>
        <v>9379.42</v>
      </c>
      <c r="Y68" s="34">
        <f>SUM(Y62:Y67)</f>
        <v>6805</v>
      </c>
      <c r="Z68" s="40"/>
      <c r="AA68" s="34">
        <f>SUM(AA62:AA67)</f>
        <v>325</v>
      </c>
      <c r="AB68" s="34">
        <f>SUM(AB62:AB67)</f>
        <v>500</v>
      </c>
      <c r="AC68" s="34">
        <f>SUM(AC62:AC67)</f>
        <v>105822.79000000001</v>
      </c>
      <c r="AD68" s="34">
        <f>SUM(AD62:AD67)</f>
        <v>99505</v>
      </c>
      <c r="AE68" s="40"/>
      <c r="AF68" s="34">
        <f>SUM(AF62:AF67)</f>
        <v>91000</v>
      </c>
      <c r="AG68" s="34">
        <f>SUM(AG62:AG67)</f>
        <v>139000</v>
      </c>
      <c r="AH68" s="39"/>
      <c r="AI68" s="34">
        <f>SUM(AI62:AI67)</f>
        <v>134000</v>
      </c>
      <c r="AJ68" s="34">
        <f>SUM(AJ62:AJ67)</f>
        <v>5000</v>
      </c>
      <c r="AK68" s="3"/>
    </row>
    <row r="69" spans="1:37"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39"/>
      <c r="AI69" s="41"/>
      <c r="AJ69" s="41"/>
      <c r="AK69" s="3"/>
    </row>
    <row r="70" spans="1:37">
      <c r="A70" s="19" t="s">
        <v>191</v>
      </c>
      <c r="B70" s="18" t="s">
        <v>192</v>
      </c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1"/>
      <c r="AG70" s="41"/>
      <c r="AH70" s="39"/>
      <c r="AI70" s="41"/>
      <c r="AJ70" s="41"/>
      <c r="AK70" s="3"/>
    </row>
    <row r="71" spans="1:37">
      <c r="A71" s="17" t="s">
        <v>193</v>
      </c>
      <c r="B71" s="16" t="s">
        <v>194</v>
      </c>
      <c r="C71" s="33"/>
      <c r="D71" s="33">
        <v>330</v>
      </c>
      <c r="E71" s="33"/>
      <c r="F71" s="33"/>
      <c r="G71" s="33">
        <v>335</v>
      </c>
      <c r="H71" s="33"/>
      <c r="I71" s="33">
        <v>250</v>
      </c>
      <c r="J71" s="33">
        <v>330</v>
      </c>
      <c r="K71" s="33"/>
      <c r="L71" s="33">
        <v>1715</v>
      </c>
      <c r="M71" s="33">
        <v>335</v>
      </c>
      <c r="N71" s="33"/>
      <c r="O71" s="33">
        <v>850</v>
      </c>
      <c r="P71" s="33">
        <v>330</v>
      </c>
      <c r="Q71" s="33"/>
      <c r="R71" s="33">
        <v>1100</v>
      </c>
      <c r="S71" s="33">
        <v>335</v>
      </c>
      <c r="T71" s="33"/>
      <c r="U71" s="33">
        <v>500</v>
      </c>
      <c r="V71" s="33">
        <v>330</v>
      </c>
      <c r="W71" s="33"/>
      <c r="X71" s="33">
        <v>0</v>
      </c>
      <c r="Y71" s="33">
        <v>335</v>
      </c>
      <c r="Z71" s="33"/>
      <c r="AA71" s="33">
        <v>0</v>
      </c>
      <c r="AB71" s="33">
        <v>335</v>
      </c>
      <c r="AC71" s="32">
        <f t="shared" ref="AC71:AC73" si="13">+C71+F71+I71+L71+O71+R71+U71+X71+AA71</f>
        <v>4415</v>
      </c>
      <c r="AD71" s="32">
        <f t="shared" ref="AD71:AD73" si="14">+D71+G71+J71+M71+P71+S71+V71+Y71+AB71</f>
        <v>2995</v>
      </c>
      <c r="AE71" s="33"/>
      <c r="AF71" s="24">
        <v>2000</v>
      </c>
      <c r="AG71" s="58">
        <v>4000</v>
      </c>
      <c r="AH71" s="39"/>
      <c r="AI71" s="58"/>
      <c r="AJ71" s="58">
        <f>+AG71-AI71</f>
        <v>4000</v>
      </c>
      <c r="AK71" s="3"/>
    </row>
    <row r="72" spans="1:37">
      <c r="A72" s="17" t="s">
        <v>195</v>
      </c>
      <c r="B72" s="16" t="s">
        <v>196</v>
      </c>
      <c r="C72" s="33">
        <v>401</v>
      </c>
      <c r="D72" s="33">
        <v>375</v>
      </c>
      <c r="E72" s="33"/>
      <c r="F72" s="33">
        <v>275</v>
      </c>
      <c r="G72" s="33">
        <v>375</v>
      </c>
      <c r="H72" s="33"/>
      <c r="I72" s="33">
        <v>2250</v>
      </c>
      <c r="J72" s="33">
        <v>375</v>
      </c>
      <c r="K72" s="33"/>
      <c r="L72" s="33">
        <v>1595</v>
      </c>
      <c r="M72" s="33">
        <v>375</v>
      </c>
      <c r="N72" s="33"/>
      <c r="O72" s="33">
        <v>0</v>
      </c>
      <c r="P72" s="33">
        <v>375</v>
      </c>
      <c r="Q72" s="33"/>
      <c r="R72" s="33">
        <v>0</v>
      </c>
      <c r="S72" s="33">
        <v>375</v>
      </c>
      <c r="T72" s="33"/>
      <c r="U72" s="33"/>
      <c r="V72" s="33">
        <v>375</v>
      </c>
      <c r="W72" s="33"/>
      <c r="X72" s="33">
        <v>0</v>
      </c>
      <c r="Y72" s="33">
        <v>375</v>
      </c>
      <c r="Z72" s="33"/>
      <c r="AA72" s="33">
        <v>0</v>
      </c>
      <c r="AB72" s="33">
        <v>375</v>
      </c>
      <c r="AC72" s="32">
        <f t="shared" si="13"/>
        <v>4521</v>
      </c>
      <c r="AD72" s="32">
        <f t="shared" si="14"/>
        <v>3375</v>
      </c>
      <c r="AE72" s="33"/>
      <c r="AF72" s="24">
        <v>3000</v>
      </c>
      <c r="AG72" s="58">
        <v>4500</v>
      </c>
      <c r="AH72" s="39"/>
      <c r="AI72" s="58"/>
      <c r="AJ72" s="58">
        <f>+AG72-AI72</f>
        <v>4500</v>
      </c>
      <c r="AK72" s="3"/>
    </row>
    <row r="73" spans="1:37">
      <c r="A73" s="17" t="s">
        <v>197</v>
      </c>
      <c r="B73" s="16" t="s">
        <v>198</v>
      </c>
      <c r="C73" s="33"/>
      <c r="D73" s="33">
        <v>485</v>
      </c>
      <c r="E73" s="33"/>
      <c r="F73" s="33">
        <v>1104</v>
      </c>
      <c r="G73" s="33">
        <v>480</v>
      </c>
      <c r="H73" s="33"/>
      <c r="I73" s="33"/>
      <c r="J73" s="33">
        <v>485</v>
      </c>
      <c r="K73" s="33"/>
      <c r="L73" s="33">
        <v>2225</v>
      </c>
      <c r="M73" s="33">
        <v>480</v>
      </c>
      <c r="N73" s="33"/>
      <c r="O73" s="33">
        <v>2550</v>
      </c>
      <c r="P73" s="33">
        <v>485</v>
      </c>
      <c r="Q73" s="33"/>
      <c r="R73" s="33">
        <v>0</v>
      </c>
      <c r="S73" s="33">
        <v>480</v>
      </c>
      <c r="T73" s="33"/>
      <c r="U73" s="33"/>
      <c r="V73" s="33">
        <v>485</v>
      </c>
      <c r="W73" s="33"/>
      <c r="X73" s="33">
        <v>0</v>
      </c>
      <c r="Y73" s="33">
        <v>480</v>
      </c>
      <c r="Z73" s="33"/>
      <c r="AA73" s="33">
        <v>0</v>
      </c>
      <c r="AB73" s="33">
        <v>485</v>
      </c>
      <c r="AC73" s="32">
        <f t="shared" si="13"/>
        <v>5879</v>
      </c>
      <c r="AD73" s="32">
        <f t="shared" si="14"/>
        <v>4345</v>
      </c>
      <c r="AE73" s="33"/>
      <c r="AF73" s="24">
        <v>3000</v>
      </c>
      <c r="AG73" s="58">
        <v>5800</v>
      </c>
      <c r="AH73" s="39"/>
      <c r="AI73" s="58"/>
      <c r="AJ73" s="58">
        <f>+AG73-AI73</f>
        <v>5800</v>
      </c>
      <c r="AK73" s="3"/>
    </row>
    <row r="74" spans="1:37">
      <c r="A74" s="17"/>
      <c r="B74" s="16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24"/>
      <c r="AG74" s="24"/>
      <c r="AH74" s="39"/>
      <c r="AI74" s="24"/>
      <c r="AJ74" s="24"/>
      <c r="AK74" s="3"/>
    </row>
    <row r="75" spans="1:37">
      <c r="A75" s="12" t="s">
        <v>104</v>
      </c>
      <c r="B75" s="11" t="s">
        <v>199</v>
      </c>
      <c r="C75" s="34">
        <f>SUM(C71:C74)</f>
        <v>401</v>
      </c>
      <c r="D75" s="34">
        <f>SUM(D71:D74)</f>
        <v>1190</v>
      </c>
      <c r="E75" s="40"/>
      <c r="F75" s="34">
        <f>SUM(F71:F74)</f>
        <v>1379</v>
      </c>
      <c r="G75" s="34">
        <f>SUM(G71:G74)</f>
        <v>1190</v>
      </c>
      <c r="H75" s="40"/>
      <c r="I75" s="34">
        <f>SUM(I71:I74)</f>
        <v>2500</v>
      </c>
      <c r="J75" s="34">
        <f>SUM(J71:J74)</f>
        <v>1190</v>
      </c>
      <c r="K75" s="40"/>
      <c r="L75" s="34">
        <f>SUM(L71:L74)</f>
        <v>5535</v>
      </c>
      <c r="M75" s="34">
        <f>SUM(M71:M74)</f>
        <v>1190</v>
      </c>
      <c r="N75" s="40"/>
      <c r="O75" s="34">
        <f>SUM(O71:O74)</f>
        <v>3400</v>
      </c>
      <c r="P75" s="34">
        <f>SUM(P71:P74)</f>
        <v>1190</v>
      </c>
      <c r="Q75" s="40"/>
      <c r="R75" s="34">
        <f>SUM(R71:R74)</f>
        <v>1100</v>
      </c>
      <c r="S75" s="34">
        <f>SUM(S71:S74)</f>
        <v>1190</v>
      </c>
      <c r="T75" s="40"/>
      <c r="U75" s="34">
        <f>SUM(U71:U74)</f>
        <v>500</v>
      </c>
      <c r="V75" s="34">
        <f>SUM(V71:V74)</f>
        <v>1190</v>
      </c>
      <c r="W75" s="40"/>
      <c r="X75" s="34">
        <f>SUM(X71:X74)</f>
        <v>0</v>
      </c>
      <c r="Y75" s="34">
        <f>SUM(Y71:Y74)</f>
        <v>1190</v>
      </c>
      <c r="Z75" s="40"/>
      <c r="AA75" s="34">
        <f>SUM(AA71:AA74)</f>
        <v>0</v>
      </c>
      <c r="AB75" s="34">
        <f>SUM(AB71:AB74)</f>
        <v>1195</v>
      </c>
      <c r="AC75" s="55">
        <f>SUM(AC71:AC74)</f>
        <v>14815</v>
      </c>
      <c r="AD75" s="34">
        <f>SUM(AD71:AD74)</f>
        <v>10715</v>
      </c>
      <c r="AE75" s="40"/>
      <c r="AF75" s="34">
        <f>SUM(AF71:AF74)</f>
        <v>8000</v>
      </c>
      <c r="AG75" s="34">
        <f>SUM(AG71:AG74)</f>
        <v>14300</v>
      </c>
      <c r="AH75" s="39"/>
      <c r="AI75" s="34">
        <f>SUM(AI71:AI74)</f>
        <v>0</v>
      </c>
      <c r="AJ75" s="34">
        <f>SUM(AJ71:AJ74)</f>
        <v>14300</v>
      </c>
      <c r="AK75" s="3"/>
    </row>
    <row r="76" spans="1:37"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39"/>
      <c r="AI76" s="41"/>
      <c r="AJ76" s="41"/>
      <c r="AK76" s="3"/>
    </row>
    <row r="77" spans="1:37">
      <c r="A77" s="19" t="s">
        <v>200</v>
      </c>
      <c r="B77" s="18" t="s">
        <v>201</v>
      </c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1"/>
      <c r="AG77" s="41"/>
      <c r="AH77" s="39"/>
      <c r="AI77" s="41"/>
      <c r="AJ77" s="41"/>
      <c r="AK77" s="3"/>
    </row>
    <row r="78" spans="1:37">
      <c r="A78" s="17" t="s">
        <v>202</v>
      </c>
      <c r="B78" s="16" t="s">
        <v>203</v>
      </c>
      <c r="C78" s="33">
        <v>28743.07</v>
      </c>
      <c r="D78" s="33">
        <v>29170</v>
      </c>
      <c r="E78" s="33"/>
      <c r="F78" s="33">
        <v>22963.22</v>
      </c>
      <c r="G78" s="33">
        <v>29170</v>
      </c>
      <c r="H78" s="33"/>
      <c r="I78" s="33">
        <v>38583.21</v>
      </c>
      <c r="J78" s="33">
        <v>29170</v>
      </c>
      <c r="K78" s="33"/>
      <c r="L78" s="33">
        <v>31404.16</v>
      </c>
      <c r="M78" s="33">
        <v>29170</v>
      </c>
      <c r="N78" s="33"/>
      <c r="O78" s="33">
        <v>31580.99</v>
      </c>
      <c r="P78" s="33">
        <v>29170</v>
      </c>
      <c r="Q78" s="33"/>
      <c r="R78" s="33">
        <v>33087.58</v>
      </c>
      <c r="S78" s="33">
        <v>29170</v>
      </c>
      <c r="T78" s="33"/>
      <c r="U78" s="33">
        <v>32353.07</v>
      </c>
      <c r="V78" s="33">
        <v>29160</v>
      </c>
      <c r="W78" s="33"/>
      <c r="X78" s="33">
        <v>36327.94</v>
      </c>
      <c r="Y78" s="33">
        <v>29165</v>
      </c>
      <c r="Z78" s="33"/>
      <c r="AA78" s="33">
        <v>37867.660000000003</v>
      </c>
      <c r="AB78" s="33">
        <v>29160</v>
      </c>
      <c r="AC78" s="32">
        <f t="shared" ref="AC78:AC79" si="15">+C78+F78+I78+L78+O78+R78+U78+X78+AA78</f>
        <v>292910.90000000002</v>
      </c>
      <c r="AD78" s="32">
        <f t="shared" ref="AD78:AD79" si="16">+D78+G78+J78+M78+P78+S78+V78+Y78+AB78</f>
        <v>262505</v>
      </c>
      <c r="AE78" s="33"/>
      <c r="AF78" s="24">
        <v>266000</v>
      </c>
      <c r="AG78" s="58">
        <v>350000</v>
      </c>
      <c r="AH78" s="39"/>
      <c r="AI78" s="58">
        <f>+AG78</f>
        <v>350000</v>
      </c>
      <c r="AJ78" s="58">
        <v>0</v>
      </c>
      <c r="AK78" s="3"/>
    </row>
    <row r="79" spans="1:37">
      <c r="A79" s="17" t="s">
        <v>204</v>
      </c>
      <c r="B79" s="16" t="s">
        <v>201</v>
      </c>
      <c r="C79" s="33">
        <v>18472.009999999998</v>
      </c>
      <c r="D79" s="33"/>
      <c r="E79" s="33"/>
      <c r="F79" s="33">
        <v>4038.69</v>
      </c>
      <c r="G79" s="33"/>
      <c r="H79" s="33"/>
      <c r="I79" s="33">
        <v>5368.52</v>
      </c>
      <c r="J79" s="33"/>
      <c r="K79" s="33"/>
      <c r="L79" s="33">
        <v>5475.28</v>
      </c>
      <c r="M79" s="33"/>
      <c r="N79" s="33"/>
      <c r="O79" s="33">
        <v>2663.16</v>
      </c>
      <c r="P79" s="33"/>
      <c r="Q79" s="33"/>
      <c r="R79" s="33">
        <v>11374.71</v>
      </c>
      <c r="S79" s="33">
        <v>0</v>
      </c>
      <c r="T79" s="33"/>
      <c r="U79" s="33">
        <v>5680.11</v>
      </c>
      <c r="V79" s="33"/>
      <c r="W79" s="33"/>
      <c r="X79" s="33">
        <v>3167.68</v>
      </c>
      <c r="Y79" s="33">
        <v>0</v>
      </c>
      <c r="Z79" s="33"/>
      <c r="AA79" s="33">
        <v>11223.41</v>
      </c>
      <c r="AB79" s="33">
        <v>0</v>
      </c>
      <c r="AC79" s="32">
        <f t="shared" si="15"/>
        <v>67463.570000000007</v>
      </c>
      <c r="AD79" s="32">
        <f t="shared" si="16"/>
        <v>0</v>
      </c>
      <c r="AE79" s="33"/>
      <c r="AF79" s="24">
        <v>0</v>
      </c>
      <c r="AG79" s="24"/>
      <c r="AH79" s="39"/>
      <c r="AI79" s="24">
        <v>0</v>
      </c>
      <c r="AJ79" s="24">
        <v>0</v>
      </c>
      <c r="AK79" s="3"/>
    </row>
    <row r="80" spans="1:37">
      <c r="A80" s="17"/>
      <c r="B80" s="16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24">
        <v>0</v>
      </c>
      <c r="AG80" s="24"/>
      <c r="AH80" s="39"/>
      <c r="AI80" s="24"/>
      <c r="AJ80" s="24"/>
      <c r="AK80" s="3"/>
    </row>
    <row r="81" spans="1:37">
      <c r="A81" s="12" t="s">
        <v>104</v>
      </c>
      <c r="B81" s="11" t="s">
        <v>205</v>
      </c>
      <c r="C81" s="34">
        <f>SUM(C78:C80)</f>
        <v>47215.08</v>
      </c>
      <c r="D81" s="34">
        <f>SUM(D78:D80)</f>
        <v>29170</v>
      </c>
      <c r="E81" s="40"/>
      <c r="F81" s="34">
        <f>SUM(F78:F80)</f>
        <v>27001.91</v>
      </c>
      <c r="G81" s="34">
        <f>SUM(G78:G80)</f>
        <v>29170</v>
      </c>
      <c r="H81" s="40"/>
      <c r="I81" s="34">
        <f>SUM(I78:I80)</f>
        <v>43951.729999999996</v>
      </c>
      <c r="J81" s="34">
        <f>SUM(J78:J80)</f>
        <v>29170</v>
      </c>
      <c r="K81" s="40"/>
      <c r="L81" s="34">
        <f>SUM(L78:L80)</f>
        <v>36879.440000000002</v>
      </c>
      <c r="M81" s="34">
        <f>SUM(M78:M80)</f>
        <v>29170</v>
      </c>
      <c r="N81" s="40"/>
      <c r="O81" s="34">
        <f>SUM(O78:O80)</f>
        <v>34244.15</v>
      </c>
      <c r="P81" s="34">
        <f>SUM(P78:P80)</f>
        <v>29170</v>
      </c>
      <c r="Q81" s="40"/>
      <c r="R81" s="34">
        <f>SUM(R78:R80)</f>
        <v>44462.29</v>
      </c>
      <c r="S81" s="34">
        <f>SUM(S78:S80)</f>
        <v>29170</v>
      </c>
      <c r="T81" s="40"/>
      <c r="U81" s="34">
        <f>SUM(U78:U80)</f>
        <v>38033.18</v>
      </c>
      <c r="V81" s="34">
        <f>SUM(V78:V80)</f>
        <v>29160</v>
      </c>
      <c r="W81" s="40"/>
      <c r="X81" s="34">
        <f>SUM(X78:X80)</f>
        <v>39495.620000000003</v>
      </c>
      <c r="Y81" s="34">
        <f>SUM(Y78:Y80)</f>
        <v>29165</v>
      </c>
      <c r="Z81" s="40"/>
      <c r="AA81" s="34">
        <f>SUM(AA78:AA80)</f>
        <v>49091.070000000007</v>
      </c>
      <c r="AB81" s="34">
        <f>SUM(AB78:AB80)</f>
        <v>29160</v>
      </c>
      <c r="AC81" s="34">
        <f>SUM(AC78:AC80)</f>
        <v>360374.47000000003</v>
      </c>
      <c r="AD81" s="34">
        <f>SUM(AD78:AD80)</f>
        <v>262505</v>
      </c>
      <c r="AE81" s="40"/>
      <c r="AF81" s="34">
        <f>SUM(AF78:AF80)</f>
        <v>266000</v>
      </c>
      <c r="AG81" s="34">
        <f>SUM(AG78:AG80)</f>
        <v>350000</v>
      </c>
      <c r="AH81" s="39"/>
      <c r="AI81" s="34">
        <f>SUM(AI78:AI80)</f>
        <v>350000</v>
      </c>
      <c r="AJ81" s="34">
        <f>SUM(AJ78:AJ80)</f>
        <v>0</v>
      </c>
      <c r="AK81" s="3"/>
    </row>
    <row r="82" spans="1:37"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39"/>
      <c r="AI82" s="41"/>
      <c r="AJ82" s="41"/>
      <c r="AK82" s="3"/>
    </row>
    <row r="83" spans="1:37">
      <c r="A83" s="19" t="s">
        <v>206</v>
      </c>
      <c r="B83" s="18" t="s">
        <v>207</v>
      </c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1"/>
      <c r="AG83" s="41"/>
      <c r="AH83" s="39"/>
      <c r="AI83" s="41"/>
      <c r="AJ83" s="41"/>
      <c r="AK83" s="3"/>
    </row>
    <row r="84" spans="1:37">
      <c r="A84" s="17" t="s">
        <v>208</v>
      </c>
      <c r="B84" s="16" t="s">
        <v>209</v>
      </c>
      <c r="C84" s="33">
        <v>35380.83</v>
      </c>
      <c r="D84" s="33"/>
      <c r="E84" s="33"/>
      <c r="F84" s="33"/>
      <c r="G84" s="33"/>
      <c r="H84" s="33"/>
      <c r="I84" s="33"/>
      <c r="J84" s="33"/>
      <c r="K84" s="33"/>
      <c r="L84" s="33">
        <v>1077.51</v>
      </c>
      <c r="M84" s="33"/>
      <c r="N84" s="33"/>
      <c r="O84" s="33">
        <v>4152.96</v>
      </c>
      <c r="P84" s="33"/>
      <c r="Q84" s="33"/>
      <c r="R84" s="33">
        <v>-9415.4500000000007</v>
      </c>
      <c r="S84" s="33">
        <v>0</v>
      </c>
      <c r="T84" s="33"/>
      <c r="U84" s="33">
        <v>-18189.240000000002</v>
      </c>
      <c r="V84" s="33"/>
      <c r="W84" s="33"/>
      <c r="X84" s="33">
        <v>7820.43</v>
      </c>
      <c r="Y84" s="33"/>
      <c r="Z84" s="33"/>
      <c r="AA84" s="33">
        <v>-20679.23</v>
      </c>
      <c r="AB84" s="33"/>
      <c r="AC84" s="32">
        <f t="shared" ref="AC84:AC85" si="17">+C84+F84+I84+L84+O84+R84+U84+X84+AA84</f>
        <v>147.81000000000131</v>
      </c>
      <c r="AD84" s="32">
        <f t="shared" ref="AD84:AD85" si="18">+D84+G84+J84+M84+P84+S84+V84+Y84+AB84</f>
        <v>0</v>
      </c>
      <c r="AE84" s="33"/>
      <c r="AF84" s="24"/>
      <c r="AG84" s="24"/>
      <c r="AH84" s="39"/>
      <c r="AI84" s="24">
        <v>0</v>
      </c>
      <c r="AJ84" s="24">
        <v>0</v>
      </c>
      <c r="AK84" s="3"/>
    </row>
    <row r="85" spans="1:37">
      <c r="A85" s="17">
        <v>4050400</v>
      </c>
      <c r="B85" s="16" t="s">
        <v>210</v>
      </c>
      <c r="C85" s="33">
        <v>-67112.539999999994</v>
      </c>
      <c r="D85" s="33"/>
      <c r="E85" s="33"/>
      <c r="F85" s="33">
        <v>974.99</v>
      </c>
      <c r="G85" s="33"/>
      <c r="H85" s="33"/>
      <c r="I85" s="33">
        <v>3344.2</v>
      </c>
      <c r="J85" s="33"/>
      <c r="K85" s="33"/>
      <c r="L85" s="33"/>
      <c r="M85" s="33"/>
      <c r="N85" s="33"/>
      <c r="O85" s="33"/>
      <c r="P85" s="33"/>
      <c r="Q85" s="33"/>
      <c r="R85" s="33">
        <v>0</v>
      </c>
      <c r="S85" s="33">
        <v>0</v>
      </c>
      <c r="T85" s="33"/>
      <c r="U85" s="33"/>
      <c r="V85" s="33"/>
      <c r="W85" s="33"/>
      <c r="X85" s="33"/>
      <c r="Y85" s="33"/>
      <c r="Z85" s="33"/>
      <c r="AA85" s="33"/>
      <c r="AB85" s="33"/>
      <c r="AC85" s="32">
        <f t="shared" si="17"/>
        <v>-62793.349999999991</v>
      </c>
      <c r="AD85" s="32">
        <f t="shared" si="18"/>
        <v>0</v>
      </c>
      <c r="AE85" s="33"/>
      <c r="AF85" s="24"/>
      <c r="AG85" s="24"/>
      <c r="AH85" s="39"/>
      <c r="AI85" s="24"/>
      <c r="AJ85" s="24"/>
      <c r="AK85" s="3"/>
    </row>
    <row r="86" spans="1:37">
      <c r="A86" s="17"/>
      <c r="B86" s="16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24"/>
      <c r="AG86" s="24"/>
      <c r="AH86" s="39"/>
      <c r="AI86" s="24"/>
      <c r="AJ86" s="24"/>
      <c r="AK86" s="3"/>
    </row>
    <row r="87" spans="1:37">
      <c r="A87" s="12" t="s">
        <v>104</v>
      </c>
      <c r="B87" s="11" t="s">
        <v>211</v>
      </c>
      <c r="C87" s="34">
        <f>SUM(C84:C86)</f>
        <v>-31731.709999999992</v>
      </c>
      <c r="D87" s="34">
        <f>SUM(D84:D86)</f>
        <v>0</v>
      </c>
      <c r="E87" s="40"/>
      <c r="F87" s="34">
        <f>SUM(F84:F86)</f>
        <v>974.99</v>
      </c>
      <c r="G87" s="34">
        <f>SUM(G84:G86)</f>
        <v>0</v>
      </c>
      <c r="H87" s="40"/>
      <c r="I87" s="34">
        <f>SUM(I84:I86)</f>
        <v>3344.2</v>
      </c>
      <c r="J87" s="34">
        <f>SUM(J84:J86)</f>
        <v>0</v>
      </c>
      <c r="K87" s="40"/>
      <c r="L87" s="34">
        <f>SUM(L84:L86)</f>
        <v>1077.51</v>
      </c>
      <c r="M87" s="34">
        <f>SUM(M84:M86)</f>
        <v>0</v>
      </c>
      <c r="N87" s="40"/>
      <c r="O87" s="34">
        <f>SUM(O84:O86)</f>
        <v>4152.96</v>
      </c>
      <c r="P87" s="34">
        <f>SUM(P84:P86)</f>
        <v>0</v>
      </c>
      <c r="Q87" s="40"/>
      <c r="R87" s="34">
        <f>SUM(R84:R86)</f>
        <v>-9415.4500000000007</v>
      </c>
      <c r="S87" s="34">
        <f>SUM(S84:S86)</f>
        <v>0</v>
      </c>
      <c r="T87" s="40"/>
      <c r="U87" s="34">
        <f>SUM(U84:U86)</f>
        <v>-18189.240000000002</v>
      </c>
      <c r="V87" s="34">
        <f>SUM(V84:V86)</f>
        <v>0</v>
      </c>
      <c r="W87" s="40"/>
      <c r="X87" s="34">
        <f>SUM(X84:X86)</f>
        <v>7820.43</v>
      </c>
      <c r="Y87" s="34">
        <f>SUM(Y84:Y86)</f>
        <v>0</v>
      </c>
      <c r="Z87" s="40"/>
      <c r="AA87" s="34">
        <f>SUM(AA84:AA86)</f>
        <v>-20679.23</v>
      </c>
      <c r="AB87" s="34">
        <f>SUM(AB84:AB86)</f>
        <v>0</v>
      </c>
      <c r="AC87" s="34">
        <f>SUM(AC84:AC86)</f>
        <v>-62645.539999999994</v>
      </c>
      <c r="AD87" s="34">
        <f>SUM(AD84:AD86)</f>
        <v>0</v>
      </c>
      <c r="AE87" s="40"/>
      <c r="AF87" s="34">
        <f>SUM(AF84:AF86)</f>
        <v>0</v>
      </c>
      <c r="AG87" s="34">
        <f>SUM(AG84:AG86)</f>
        <v>0</v>
      </c>
      <c r="AH87" s="39"/>
      <c r="AI87" s="34">
        <f>SUM(AI84:AI86)</f>
        <v>0</v>
      </c>
      <c r="AJ87" s="34">
        <f>SUM(AJ84:AJ86)</f>
        <v>0</v>
      </c>
      <c r="AK87" s="3"/>
    </row>
    <row r="88" spans="1:37"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39"/>
      <c r="AI88" s="41"/>
      <c r="AJ88" s="41"/>
      <c r="AK88" s="3"/>
    </row>
    <row r="89" spans="1:37">
      <c r="A89" s="19" t="s">
        <v>212</v>
      </c>
      <c r="B89" s="18" t="s">
        <v>213</v>
      </c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1"/>
      <c r="AG89" s="41"/>
      <c r="AH89" s="39"/>
      <c r="AI89" s="41"/>
      <c r="AJ89" s="41"/>
      <c r="AK89" s="3"/>
    </row>
    <row r="90" spans="1:37">
      <c r="A90" s="17" t="s">
        <v>214</v>
      </c>
      <c r="B90" s="16" t="s">
        <v>215</v>
      </c>
      <c r="C90" s="33">
        <v>750</v>
      </c>
      <c r="D90" s="33">
        <v>290</v>
      </c>
      <c r="E90" s="33"/>
      <c r="F90" s="33"/>
      <c r="G90" s="33">
        <v>290</v>
      </c>
      <c r="H90" s="33"/>
      <c r="I90" s="33"/>
      <c r="J90" s="33">
        <v>290</v>
      </c>
      <c r="K90" s="33"/>
      <c r="L90" s="33">
        <v>1000</v>
      </c>
      <c r="M90" s="33">
        <v>290</v>
      </c>
      <c r="N90" s="33"/>
      <c r="O90" s="33"/>
      <c r="P90" s="33">
        <v>290</v>
      </c>
      <c r="Q90" s="33"/>
      <c r="R90" s="33">
        <v>0</v>
      </c>
      <c r="S90" s="33">
        <v>295</v>
      </c>
      <c r="T90" s="33"/>
      <c r="U90" s="33">
        <v>1750</v>
      </c>
      <c r="V90" s="33">
        <v>295</v>
      </c>
      <c r="W90" s="33"/>
      <c r="X90" s="33">
        <v>0</v>
      </c>
      <c r="Y90" s="33">
        <v>295</v>
      </c>
      <c r="Z90" s="33"/>
      <c r="AA90" s="33">
        <v>0</v>
      </c>
      <c r="AB90" s="33">
        <v>295</v>
      </c>
      <c r="AC90" s="32">
        <f t="shared" ref="AC90:AC96" si="19">+C90+F90+I90+L90+O90+R90+U90+X90+AA90</f>
        <v>3500</v>
      </c>
      <c r="AD90" s="32">
        <f t="shared" ref="AD90:AD96" si="20">+D90+G90+J90+M90+P90+S90+V90+Y90+AB90</f>
        <v>2630</v>
      </c>
      <c r="AE90" s="33"/>
      <c r="AF90" s="24">
        <v>1500</v>
      </c>
      <c r="AG90" s="61">
        <v>3500</v>
      </c>
      <c r="AH90" s="39"/>
      <c r="AI90" s="61">
        <f>+AG90</f>
        <v>3500</v>
      </c>
      <c r="AJ90" s="61"/>
      <c r="AK90" s="3"/>
    </row>
    <row r="91" spans="1:37">
      <c r="A91" s="17" t="s">
        <v>216</v>
      </c>
      <c r="B91" s="16" t="s">
        <v>217</v>
      </c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>
        <v>0</v>
      </c>
      <c r="S91" s="33">
        <v>0</v>
      </c>
      <c r="T91" s="33"/>
      <c r="U91" s="33"/>
      <c r="V91" s="33"/>
      <c r="W91" s="33"/>
      <c r="X91" s="33">
        <v>0</v>
      </c>
      <c r="Y91" s="33">
        <v>0</v>
      </c>
      <c r="Z91" s="33"/>
      <c r="AA91" s="33">
        <v>0</v>
      </c>
      <c r="AB91" s="33">
        <v>0</v>
      </c>
      <c r="AC91" s="32">
        <f t="shared" si="19"/>
        <v>0</v>
      </c>
      <c r="AD91" s="32">
        <f t="shared" si="20"/>
        <v>0</v>
      </c>
      <c r="AE91" s="33"/>
      <c r="AF91" s="24"/>
      <c r="AG91" s="24"/>
      <c r="AH91" s="39"/>
      <c r="AI91" s="24">
        <f>+AG91</f>
        <v>0</v>
      </c>
      <c r="AJ91" s="24">
        <f>+AG91</f>
        <v>0</v>
      </c>
      <c r="AK91" s="3"/>
    </row>
    <row r="92" spans="1:37">
      <c r="A92" s="17" t="s">
        <v>218</v>
      </c>
      <c r="B92" s="16" t="s">
        <v>219</v>
      </c>
      <c r="C92" s="33">
        <v>6332.73</v>
      </c>
      <c r="D92" s="33">
        <v>2080</v>
      </c>
      <c r="E92" s="33"/>
      <c r="F92" s="33">
        <v>513</v>
      </c>
      <c r="G92" s="33">
        <v>2080</v>
      </c>
      <c r="H92" s="33"/>
      <c r="I92" s="33">
        <v>1678.45</v>
      </c>
      <c r="J92" s="33">
        <v>2080</v>
      </c>
      <c r="K92" s="33"/>
      <c r="L92" s="33">
        <v>6097.75</v>
      </c>
      <c r="M92" s="33">
        <v>2080</v>
      </c>
      <c r="N92" s="33"/>
      <c r="O92" s="33">
        <v>3499.26</v>
      </c>
      <c r="P92" s="33">
        <v>2085</v>
      </c>
      <c r="Q92" s="33"/>
      <c r="R92" s="33">
        <v>2531.4499999999998</v>
      </c>
      <c r="S92" s="33">
        <v>2085</v>
      </c>
      <c r="T92" s="33"/>
      <c r="U92" s="33">
        <v>3420.15</v>
      </c>
      <c r="V92" s="33">
        <v>2085</v>
      </c>
      <c r="W92" s="33"/>
      <c r="X92" s="33">
        <v>511</v>
      </c>
      <c r="Y92" s="33">
        <v>2085</v>
      </c>
      <c r="Z92" s="33"/>
      <c r="AA92" s="33">
        <v>185</v>
      </c>
      <c r="AB92" s="33">
        <v>2085</v>
      </c>
      <c r="AC92" s="32">
        <f t="shared" si="19"/>
        <v>24768.790000000005</v>
      </c>
      <c r="AD92" s="32">
        <f t="shared" si="20"/>
        <v>18745</v>
      </c>
      <c r="AE92" s="33"/>
      <c r="AF92" s="24">
        <v>2500</v>
      </c>
      <c r="AG92" s="58">
        <v>25000</v>
      </c>
      <c r="AH92" s="39"/>
      <c r="AI92" s="58">
        <f>+AG92</f>
        <v>25000</v>
      </c>
      <c r="AJ92" s="58">
        <f>+AG92-AI92</f>
        <v>0</v>
      </c>
      <c r="AK92" s="3"/>
    </row>
    <row r="93" spans="1:37">
      <c r="A93" s="17" t="s">
        <v>220</v>
      </c>
      <c r="B93" s="16" t="s">
        <v>221</v>
      </c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>
        <v>0</v>
      </c>
      <c r="S93" s="33">
        <v>0</v>
      </c>
      <c r="T93" s="33"/>
      <c r="U93" s="33"/>
      <c r="V93" s="33"/>
      <c r="W93" s="33"/>
      <c r="X93" s="33">
        <v>0</v>
      </c>
      <c r="Y93" s="33">
        <v>0</v>
      </c>
      <c r="Z93" s="33"/>
      <c r="AA93" s="33">
        <v>0</v>
      </c>
      <c r="AB93" s="33">
        <v>0</v>
      </c>
      <c r="AC93" s="32">
        <f t="shared" si="19"/>
        <v>0</v>
      </c>
      <c r="AD93" s="32">
        <f t="shared" si="20"/>
        <v>0</v>
      </c>
      <c r="AE93" s="33"/>
      <c r="AF93" s="24">
        <v>0</v>
      </c>
      <c r="AG93" s="24">
        <v>0</v>
      </c>
      <c r="AH93" s="39"/>
      <c r="AI93" s="24">
        <f>+AG93</f>
        <v>0</v>
      </c>
      <c r="AJ93" s="24">
        <v>0</v>
      </c>
      <c r="AK93" s="3"/>
    </row>
    <row r="94" spans="1:37">
      <c r="A94" s="17" t="s">
        <v>222</v>
      </c>
      <c r="B94" s="16" t="s">
        <v>223</v>
      </c>
      <c r="C94" s="33"/>
      <c r="D94" s="33"/>
      <c r="E94" s="33"/>
      <c r="F94" s="33">
        <v>12312</v>
      </c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>
        <v>0</v>
      </c>
      <c r="S94" s="33">
        <v>0</v>
      </c>
      <c r="T94" s="33"/>
      <c r="U94" s="33">
        <v>0</v>
      </c>
      <c r="V94" s="33">
        <v>0</v>
      </c>
      <c r="W94" s="33"/>
      <c r="X94" s="33">
        <v>0</v>
      </c>
      <c r="Y94" s="33">
        <v>0</v>
      </c>
      <c r="Z94" s="33"/>
      <c r="AA94" s="33">
        <v>0</v>
      </c>
      <c r="AB94" s="33">
        <v>0</v>
      </c>
      <c r="AC94" s="32">
        <f t="shared" si="19"/>
        <v>12312</v>
      </c>
      <c r="AD94" s="32">
        <f t="shared" si="20"/>
        <v>0</v>
      </c>
      <c r="AE94" s="33"/>
      <c r="AF94" s="24">
        <v>5000000</v>
      </c>
      <c r="AG94" s="24">
        <v>5000000</v>
      </c>
      <c r="AH94" s="39"/>
      <c r="AI94" s="24">
        <v>0</v>
      </c>
      <c r="AJ94" s="24">
        <f>+AG94-AI94</f>
        <v>5000000</v>
      </c>
      <c r="AK94" s="3"/>
    </row>
    <row r="95" spans="1:37">
      <c r="A95" s="17" t="s">
        <v>224</v>
      </c>
      <c r="B95" s="16" t="s">
        <v>225</v>
      </c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>
        <v>0</v>
      </c>
      <c r="S95" s="33">
        <v>0</v>
      </c>
      <c r="T95" s="33"/>
      <c r="U95" s="33"/>
      <c r="V95" s="33"/>
      <c r="W95" s="33"/>
      <c r="X95" s="33">
        <v>0</v>
      </c>
      <c r="Y95" s="33">
        <v>0</v>
      </c>
      <c r="Z95" s="33"/>
      <c r="AA95" s="33">
        <v>0</v>
      </c>
      <c r="AB95" s="33">
        <v>0</v>
      </c>
      <c r="AC95" s="32">
        <f t="shared" si="19"/>
        <v>0</v>
      </c>
      <c r="AD95" s="32">
        <f t="shared" si="20"/>
        <v>0</v>
      </c>
      <c r="AE95" s="33"/>
      <c r="AF95" s="24"/>
      <c r="AG95" s="24"/>
      <c r="AH95" s="39"/>
      <c r="AI95" s="24">
        <f>+AG95</f>
        <v>0</v>
      </c>
      <c r="AJ95" s="24"/>
      <c r="AK95" s="3"/>
    </row>
    <row r="96" spans="1:37">
      <c r="A96" s="17" t="s">
        <v>226</v>
      </c>
      <c r="B96" s="16" t="s">
        <v>227</v>
      </c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>
        <v>0</v>
      </c>
      <c r="S96" s="33">
        <v>0</v>
      </c>
      <c r="T96" s="33"/>
      <c r="U96" s="33"/>
      <c r="V96" s="33"/>
      <c r="W96" s="33"/>
      <c r="X96" s="33">
        <v>0</v>
      </c>
      <c r="Y96" s="33">
        <v>0</v>
      </c>
      <c r="Z96" s="33"/>
      <c r="AA96" s="33">
        <v>0</v>
      </c>
      <c r="AB96" s="33">
        <v>0</v>
      </c>
      <c r="AC96" s="32">
        <f t="shared" si="19"/>
        <v>0</v>
      </c>
      <c r="AD96" s="32">
        <f t="shared" si="20"/>
        <v>0</v>
      </c>
      <c r="AE96" s="33"/>
      <c r="AF96" s="24">
        <v>50000</v>
      </c>
      <c r="AG96" s="24">
        <v>50000</v>
      </c>
      <c r="AH96" s="39"/>
      <c r="AI96" s="24">
        <f>+AG96</f>
        <v>50000</v>
      </c>
      <c r="AJ96" s="24"/>
      <c r="AK96" s="3"/>
    </row>
    <row r="97" spans="1:37">
      <c r="A97" s="15"/>
      <c r="B97" s="1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39"/>
      <c r="AI97" s="24"/>
      <c r="AJ97" s="24"/>
      <c r="AK97" s="3"/>
    </row>
    <row r="98" spans="1:37">
      <c r="A98" s="12" t="s">
        <v>104</v>
      </c>
      <c r="B98" s="11" t="s">
        <v>228</v>
      </c>
      <c r="C98" s="34">
        <f>SUM(C90:C97)</f>
        <v>7082.73</v>
      </c>
      <c r="D98" s="34">
        <f>SUM(D90:D97)</f>
        <v>2370</v>
      </c>
      <c r="E98" s="40"/>
      <c r="F98" s="34">
        <f>SUM(F90:F97)</f>
        <v>12825</v>
      </c>
      <c r="G98" s="34">
        <f>SUM(G90:G97)</f>
        <v>2370</v>
      </c>
      <c r="H98" s="40"/>
      <c r="I98" s="34">
        <f>SUM(I90:I97)</f>
        <v>1678.45</v>
      </c>
      <c r="J98" s="34">
        <f>SUM(J90:J97)</f>
        <v>2370</v>
      </c>
      <c r="K98" s="40"/>
      <c r="L98" s="34">
        <f>SUM(L90:L97)</f>
        <v>7097.75</v>
      </c>
      <c r="M98" s="34">
        <f>SUM(M90:M97)</f>
        <v>2370</v>
      </c>
      <c r="N98" s="40"/>
      <c r="O98" s="34">
        <f>SUM(O90:O97)</f>
        <v>3499.26</v>
      </c>
      <c r="P98" s="34">
        <f>SUM(P90:P97)</f>
        <v>2375</v>
      </c>
      <c r="Q98" s="40"/>
      <c r="R98" s="34">
        <f>SUM(R90:R97)</f>
        <v>2531.4499999999998</v>
      </c>
      <c r="S98" s="34">
        <f>SUM(S90:S97)</f>
        <v>2380</v>
      </c>
      <c r="T98" s="40"/>
      <c r="U98" s="34">
        <f>SUM(U90:U97)</f>
        <v>5170.1499999999996</v>
      </c>
      <c r="V98" s="34">
        <f>SUM(V90:V97)</f>
        <v>2380</v>
      </c>
      <c r="W98" s="40"/>
      <c r="X98" s="34">
        <f>SUM(X90:X97)</f>
        <v>511</v>
      </c>
      <c r="Y98" s="34">
        <f>SUM(Y90:Y97)</f>
        <v>2380</v>
      </c>
      <c r="Z98" s="40"/>
      <c r="AA98" s="34">
        <f>SUM(AA90:AA97)</f>
        <v>185</v>
      </c>
      <c r="AB98" s="34">
        <f>SUM(AB90:AB97)</f>
        <v>2380</v>
      </c>
      <c r="AC98" s="34">
        <f>SUM(AC90:AC97)</f>
        <v>40580.790000000008</v>
      </c>
      <c r="AD98" s="34">
        <f>SUM(AD90:AD97)</f>
        <v>21375</v>
      </c>
      <c r="AE98" s="40"/>
      <c r="AF98" s="34">
        <f>SUM(AF90:AF97)</f>
        <v>5054000</v>
      </c>
      <c r="AG98" s="34">
        <f>SUM(AG90:AG97)</f>
        <v>5078500</v>
      </c>
      <c r="AH98" s="39"/>
      <c r="AI98" s="34">
        <f>SUM(AI90:AI97)</f>
        <v>78500</v>
      </c>
      <c r="AJ98" s="34">
        <f>SUM(AJ90:AJ97)</f>
        <v>5000000</v>
      </c>
      <c r="AK98" s="3"/>
    </row>
    <row r="99" spans="1:37"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39"/>
      <c r="AI99" s="41"/>
      <c r="AJ99" s="41"/>
      <c r="AK99" s="3"/>
    </row>
    <row r="100" spans="1:37" ht="12" thickBot="1">
      <c r="A100" s="9"/>
      <c r="B100" s="8" t="s">
        <v>229</v>
      </c>
      <c r="C100" s="35">
        <f>+C98+C87+C81+C75+C68+C59+C45+C34+C19</f>
        <v>430696.54000000004</v>
      </c>
      <c r="D100" s="35">
        <f>+D98+D87+D81+D75+D68+D59+D45+D34+D19</f>
        <v>440670</v>
      </c>
      <c r="E100" s="40"/>
      <c r="F100" s="35">
        <f>+F98+F87+F81+F75+F68+F59+F45+F34+F19</f>
        <v>829028.17</v>
      </c>
      <c r="G100" s="35">
        <f>+G98+G87+G81+G75+G68+G59+G45+G34+G19</f>
        <v>770160</v>
      </c>
      <c r="H100" s="40"/>
      <c r="I100" s="35">
        <f>+I98+I87+I81+I75+I68+I59+I45+I34+I19</f>
        <v>619890.51</v>
      </c>
      <c r="J100" s="35">
        <f>+J98+J87+J81+J75+J68+J59+J45+J34+J19</f>
        <v>702945</v>
      </c>
      <c r="K100" s="40"/>
      <c r="L100" s="35">
        <f>+L98+L87+L81+L75+L68+L59+L45+L34+L19</f>
        <v>838597.59</v>
      </c>
      <c r="M100" s="35">
        <f>+M98+M87+M81+M75+M68+M59+M45+M34+M19</f>
        <v>711580</v>
      </c>
      <c r="N100" s="40"/>
      <c r="O100" s="35">
        <f>+O98+O87+O81+O75+O68+O59+O45+O34+O19</f>
        <v>920731.09000000008</v>
      </c>
      <c r="P100" s="35">
        <f>+P98+P87+P81+P75+P68+P59+P45+P34+P19</f>
        <v>782745</v>
      </c>
      <c r="Q100" s="40"/>
      <c r="R100" s="35">
        <f>+R98+R87+R81+R75+R68+R59+R45+R34+R19</f>
        <v>744975.53</v>
      </c>
      <c r="S100" s="35">
        <f>+S98+S87+S81+S75+S68+S59+S45+S34+S19</f>
        <v>654365</v>
      </c>
      <c r="T100" s="40"/>
      <c r="U100" s="35">
        <f>+U98+U87+U81+U75+U68+U59+U45+U34+U19</f>
        <v>1154606</v>
      </c>
      <c r="V100" s="35">
        <f>+V98+V87+V81+V75+V68+V59+V45+V34+V19</f>
        <v>1079650</v>
      </c>
      <c r="W100" s="40"/>
      <c r="X100" s="35">
        <f>+X98+X87+X81+X75+X68+X59+X45+X34+X19</f>
        <v>360277.26</v>
      </c>
      <c r="Y100" s="35">
        <f>+Y98+Y87+Y81+Y75+Y68+Y59+Y45+Y34+Y19</f>
        <v>338210</v>
      </c>
      <c r="Z100" s="40"/>
      <c r="AA100" s="35">
        <f>+AA98+AA87+AA81+AA75+AA68+AA59+AA45+AA34+AA19</f>
        <v>298042.34000000003</v>
      </c>
      <c r="AB100" s="35">
        <f>+AB98+AB87+AB81+AB75+AB68+AB59+AB45+AB34+AB19</f>
        <v>277695</v>
      </c>
      <c r="AC100" s="35">
        <f>+AC98+AC87+AC81+AC75+AC68+AC59+AC45+AC34+AC19</f>
        <v>6196845.0300000003</v>
      </c>
      <c r="AD100" s="35">
        <f>+AD98+AD87+AD81+AD75+AD68+AD59+AD45+AD34+AD19</f>
        <v>5758020</v>
      </c>
      <c r="AE100" s="40"/>
      <c r="AF100" s="35">
        <f>+AF98+AF87+AF81+AF75+AF68+AF59+AF45+AF34+AF19</f>
        <v>11092005</v>
      </c>
      <c r="AG100" s="35">
        <f>+AG98+AG87+AG81+AG75+AG68+AG59+AG45+AG34+AG19</f>
        <v>11623300</v>
      </c>
      <c r="AH100" s="39"/>
      <c r="AI100" s="35">
        <f>+AI98+AI87+AI81+AI75+AI68+AI59+AI45+AI34+AI19</f>
        <v>5667000</v>
      </c>
      <c r="AJ100" s="35">
        <f>+AJ98+AJ87+AJ81+AJ75+AJ68+AJ59+AJ45+AJ34+AJ19</f>
        <v>5956300</v>
      </c>
      <c r="AK100" s="3"/>
    </row>
    <row r="101" spans="1:37" ht="12" thickTop="1"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39"/>
      <c r="AI101" s="41"/>
      <c r="AJ101" s="41"/>
      <c r="AK101" s="3"/>
    </row>
    <row r="102" spans="1:37">
      <c r="A102" s="26" t="s">
        <v>230</v>
      </c>
      <c r="B102" s="25" t="s">
        <v>231</v>
      </c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1"/>
      <c r="AG102" s="41"/>
      <c r="AH102" s="39"/>
      <c r="AI102" s="41"/>
      <c r="AJ102" s="41"/>
      <c r="AK102" s="3"/>
    </row>
    <row r="103" spans="1:37">
      <c r="A103" s="19" t="s">
        <v>232</v>
      </c>
      <c r="B103" s="18" t="s">
        <v>233</v>
      </c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1"/>
      <c r="AG103" s="41"/>
      <c r="AH103" s="39"/>
      <c r="AI103" s="41"/>
      <c r="AJ103" s="41"/>
      <c r="AK103" s="3"/>
    </row>
    <row r="104" spans="1:37">
      <c r="A104" s="17" t="s">
        <v>234</v>
      </c>
      <c r="B104" s="16" t="s">
        <v>235</v>
      </c>
      <c r="C104" s="33">
        <v>1333.18</v>
      </c>
      <c r="D104" s="33">
        <v>5000</v>
      </c>
      <c r="E104" s="33"/>
      <c r="F104" s="33">
        <v>3822.17</v>
      </c>
      <c r="G104" s="33">
        <v>5000</v>
      </c>
      <c r="H104" s="33"/>
      <c r="I104" s="33">
        <v>15739.72</v>
      </c>
      <c r="J104" s="33">
        <v>5000</v>
      </c>
      <c r="K104" s="33"/>
      <c r="L104" s="33">
        <v>5823.2</v>
      </c>
      <c r="M104" s="33">
        <v>5000</v>
      </c>
      <c r="N104" s="33"/>
      <c r="O104" s="33">
        <v>5518.86</v>
      </c>
      <c r="P104" s="33">
        <v>5000</v>
      </c>
      <c r="Q104" s="33"/>
      <c r="R104" s="33">
        <v>2602.5100000000002</v>
      </c>
      <c r="S104" s="33">
        <v>5000</v>
      </c>
      <c r="T104" s="33"/>
      <c r="U104" s="33">
        <v>4581.32</v>
      </c>
      <c r="V104" s="33">
        <v>5000</v>
      </c>
      <c r="W104" s="33"/>
      <c r="X104" s="33">
        <v>6129.12</v>
      </c>
      <c r="Y104" s="33">
        <v>5000</v>
      </c>
      <c r="Z104" s="33"/>
      <c r="AA104" s="33">
        <v>2167.39</v>
      </c>
      <c r="AB104" s="33">
        <v>5000</v>
      </c>
      <c r="AC104" s="32">
        <f t="shared" ref="AC104:AC128" si="21">+C104+F104+I104+L104+O104+R104+U104+X104+AA104</f>
        <v>47717.47</v>
      </c>
      <c r="AD104" s="32">
        <f t="shared" ref="AD104:AD128" si="22">+D104+G104+J104+M104+P104+S104+V104+Y104+AB104</f>
        <v>45000</v>
      </c>
      <c r="AE104" s="33"/>
      <c r="AF104" s="24">
        <v>60000</v>
      </c>
      <c r="AG104" s="24">
        <v>60000</v>
      </c>
      <c r="AH104" s="39"/>
      <c r="AI104" s="24">
        <f t="shared" ref="AI104:AI116" si="23">+AG104</f>
        <v>60000</v>
      </c>
      <c r="AJ104" s="24"/>
      <c r="AK104" s="3"/>
    </row>
    <row r="105" spans="1:37">
      <c r="A105" s="17" t="s">
        <v>236</v>
      </c>
      <c r="B105" s="16" t="s">
        <v>237</v>
      </c>
      <c r="C105" s="33"/>
      <c r="D105" s="33"/>
      <c r="E105" s="33"/>
      <c r="F105" s="33">
        <v>1016.1</v>
      </c>
      <c r="G105" s="33">
        <v>630</v>
      </c>
      <c r="H105" s="33"/>
      <c r="I105" s="33">
        <v>1592.78</v>
      </c>
      <c r="J105" s="33">
        <v>770</v>
      </c>
      <c r="K105" s="33"/>
      <c r="L105" s="33">
        <v>910.73</v>
      </c>
      <c r="M105" s="33">
        <v>490</v>
      </c>
      <c r="N105" s="33"/>
      <c r="O105" s="33">
        <v>964.95</v>
      </c>
      <c r="P105" s="33">
        <v>560</v>
      </c>
      <c r="Q105" s="33"/>
      <c r="R105" s="33">
        <v>597.6</v>
      </c>
      <c r="S105" s="33">
        <v>350</v>
      </c>
      <c r="T105" s="33"/>
      <c r="U105" s="33">
        <v>776.46</v>
      </c>
      <c r="V105" s="33">
        <v>770</v>
      </c>
      <c r="W105" s="33"/>
      <c r="X105" s="33">
        <v>387</v>
      </c>
      <c r="Y105" s="33">
        <v>770</v>
      </c>
      <c r="Z105" s="33"/>
      <c r="AA105" s="33">
        <v>1150.6600000000001</v>
      </c>
      <c r="AB105" s="33">
        <v>420</v>
      </c>
      <c r="AC105" s="32">
        <f t="shared" si="21"/>
        <v>7396.2800000000007</v>
      </c>
      <c r="AD105" s="32">
        <f t="shared" si="22"/>
        <v>4760</v>
      </c>
      <c r="AE105" s="33"/>
      <c r="AF105" s="24">
        <f>+AF13*0.01</f>
        <v>5000</v>
      </c>
      <c r="AG105" s="58">
        <v>7000</v>
      </c>
      <c r="AH105" s="39"/>
      <c r="AI105" s="58">
        <f t="shared" si="23"/>
        <v>7000</v>
      </c>
      <c r="AJ105" s="58"/>
      <c r="AK105" s="3"/>
    </row>
    <row r="106" spans="1:37">
      <c r="A106" s="17" t="s">
        <v>238</v>
      </c>
      <c r="B106" s="16" t="s">
        <v>239</v>
      </c>
      <c r="C106" s="33">
        <v>1013.02</v>
      </c>
      <c r="D106" s="33"/>
      <c r="E106" s="33"/>
      <c r="F106" s="33"/>
      <c r="G106" s="33"/>
      <c r="H106" s="33"/>
      <c r="I106" s="33"/>
      <c r="J106" s="33"/>
      <c r="K106" s="33"/>
      <c r="L106" s="33">
        <v>1011.73</v>
      </c>
      <c r="M106" s="33"/>
      <c r="N106" s="33"/>
      <c r="O106" s="33"/>
      <c r="P106" s="33"/>
      <c r="Q106" s="33"/>
      <c r="R106" s="33">
        <v>0</v>
      </c>
      <c r="S106" s="33">
        <v>0</v>
      </c>
      <c r="T106" s="33"/>
      <c r="U106" s="33">
        <v>1024.06</v>
      </c>
      <c r="V106" s="33">
        <v>0</v>
      </c>
      <c r="W106" s="33"/>
      <c r="X106" s="33">
        <v>0</v>
      </c>
      <c r="Y106" s="33">
        <v>0</v>
      </c>
      <c r="Z106" s="33"/>
      <c r="AA106" s="33">
        <v>0</v>
      </c>
      <c r="AB106" s="33">
        <v>0</v>
      </c>
      <c r="AC106" s="32">
        <f t="shared" si="21"/>
        <v>3048.81</v>
      </c>
      <c r="AD106" s="32">
        <f t="shared" si="22"/>
        <v>0</v>
      </c>
      <c r="AE106" s="33"/>
      <c r="AF106" s="24"/>
      <c r="AG106" s="24"/>
      <c r="AH106" s="39"/>
      <c r="AI106" s="24">
        <f t="shared" si="23"/>
        <v>0</v>
      </c>
      <c r="AJ106" s="24"/>
      <c r="AK106" s="3"/>
    </row>
    <row r="107" spans="1:37">
      <c r="A107" s="17" t="s">
        <v>240</v>
      </c>
      <c r="B107" s="16" t="s">
        <v>241</v>
      </c>
      <c r="C107" s="33"/>
      <c r="D107" s="33"/>
      <c r="E107" s="33"/>
      <c r="F107" s="33"/>
      <c r="G107" s="33"/>
      <c r="H107" s="33"/>
      <c r="I107" s="33">
        <v>70</v>
      </c>
      <c r="J107" s="33"/>
      <c r="K107" s="33"/>
      <c r="L107" s="33">
        <v>325.25</v>
      </c>
      <c r="M107" s="33"/>
      <c r="N107" s="33"/>
      <c r="O107" s="33">
        <v>377.85</v>
      </c>
      <c r="P107" s="33"/>
      <c r="Q107" s="33"/>
      <c r="R107" s="33">
        <v>356.75</v>
      </c>
      <c r="S107" s="33">
        <v>0</v>
      </c>
      <c r="T107" s="33"/>
      <c r="U107" s="33">
        <f>1275.21-776.46</f>
        <v>498.75</v>
      </c>
      <c r="V107" s="33">
        <v>0</v>
      </c>
      <c r="W107" s="33"/>
      <c r="X107" s="33">
        <v>93.59</v>
      </c>
      <c r="Y107" s="33">
        <v>0</v>
      </c>
      <c r="Z107" s="33"/>
      <c r="AA107" s="33">
        <v>223.75</v>
      </c>
      <c r="AB107" s="33">
        <v>0</v>
      </c>
      <c r="AC107" s="32">
        <f t="shared" si="21"/>
        <v>1945.9399999999998</v>
      </c>
      <c r="AD107" s="32">
        <f t="shared" si="22"/>
        <v>0</v>
      </c>
      <c r="AE107" s="33"/>
      <c r="AF107" s="24">
        <v>0</v>
      </c>
      <c r="AG107" s="24"/>
      <c r="AH107" s="39"/>
      <c r="AI107" s="24">
        <f t="shared" si="23"/>
        <v>0</v>
      </c>
      <c r="AJ107" s="24"/>
      <c r="AK107" s="3"/>
    </row>
    <row r="108" spans="1:37">
      <c r="A108" s="17" t="s">
        <v>242</v>
      </c>
      <c r="B108" s="16" t="s">
        <v>243</v>
      </c>
      <c r="C108" s="33">
        <v>2024</v>
      </c>
      <c r="D108" s="33">
        <v>250</v>
      </c>
      <c r="E108" s="33"/>
      <c r="F108" s="33">
        <v>171.32</v>
      </c>
      <c r="G108" s="33">
        <v>250</v>
      </c>
      <c r="H108" s="33"/>
      <c r="I108" s="33"/>
      <c r="J108" s="33">
        <v>250</v>
      </c>
      <c r="K108" s="33"/>
      <c r="L108" s="33">
        <v>230</v>
      </c>
      <c r="M108" s="33">
        <v>250</v>
      </c>
      <c r="N108" s="33"/>
      <c r="O108" s="33">
        <v>251.98</v>
      </c>
      <c r="P108" s="33">
        <v>250</v>
      </c>
      <c r="Q108" s="33"/>
      <c r="R108" s="33">
        <v>85</v>
      </c>
      <c r="S108" s="33">
        <v>250</v>
      </c>
      <c r="T108" s="33"/>
      <c r="U108" s="33">
        <v>38</v>
      </c>
      <c r="V108" s="33">
        <v>250</v>
      </c>
      <c r="W108" s="33"/>
      <c r="X108" s="33">
        <v>164.88</v>
      </c>
      <c r="Y108" s="33">
        <v>250</v>
      </c>
      <c r="Z108" s="33"/>
      <c r="AA108" s="33">
        <v>375</v>
      </c>
      <c r="AB108" s="33">
        <v>250</v>
      </c>
      <c r="AC108" s="32">
        <f t="shared" si="21"/>
        <v>3340.1800000000003</v>
      </c>
      <c r="AD108" s="32">
        <f t="shared" si="22"/>
        <v>2250</v>
      </c>
      <c r="AE108" s="33"/>
      <c r="AF108" s="24">
        <v>3000</v>
      </c>
      <c r="AG108" s="24">
        <v>3000</v>
      </c>
      <c r="AH108" s="39"/>
      <c r="AI108" s="24">
        <f t="shared" si="23"/>
        <v>3000</v>
      </c>
      <c r="AJ108" s="24"/>
      <c r="AK108" s="3"/>
    </row>
    <row r="109" spans="1:37">
      <c r="A109" s="17" t="s">
        <v>244</v>
      </c>
      <c r="B109" s="16" t="s">
        <v>245</v>
      </c>
      <c r="C109" s="33"/>
      <c r="D109" s="33"/>
      <c r="E109" s="33"/>
      <c r="F109" s="33"/>
      <c r="G109" s="33"/>
      <c r="H109" s="33"/>
      <c r="I109" s="33">
        <v>239</v>
      </c>
      <c r="J109" s="33">
        <v>250</v>
      </c>
      <c r="K109" s="33"/>
      <c r="L109" s="33"/>
      <c r="M109" s="33">
        <v>0</v>
      </c>
      <c r="N109" s="33"/>
      <c r="O109" s="33"/>
      <c r="P109" s="33"/>
      <c r="Q109" s="33"/>
      <c r="R109" s="33">
        <v>0</v>
      </c>
      <c r="S109" s="33">
        <v>0</v>
      </c>
      <c r="T109" s="33"/>
      <c r="U109" s="33">
        <v>0</v>
      </c>
      <c r="V109" s="33">
        <v>0</v>
      </c>
      <c r="W109" s="33"/>
      <c r="X109" s="33">
        <v>0</v>
      </c>
      <c r="Y109" s="33">
        <v>0</v>
      </c>
      <c r="Z109" s="33"/>
      <c r="AA109" s="33">
        <v>0</v>
      </c>
      <c r="AB109" s="33">
        <v>250</v>
      </c>
      <c r="AC109" s="32">
        <f t="shared" si="21"/>
        <v>239</v>
      </c>
      <c r="AD109" s="32">
        <f t="shared" si="22"/>
        <v>500</v>
      </c>
      <c r="AE109" s="33"/>
      <c r="AF109" s="24">
        <v>5000</v>
      </c>
      <c r="AG109" s="59">
        <v>500</v>
      </c>
      <c r="AH109" s="39"/>
      <c r="AI109" s="59">
        <f t="shared" si="23"/>
        <v>500</v>
      </c>
      <c r="AJ109" s="59"/>
      <c r="AK109" s="3"/>
    </row>
    <row r="110" spans="1:37">
      <c r="A110" s="17" t="s">
        <v>246</v>
      </c>
      <c r="B110" s="16" t="s">
        <v>181</v>
      </c>
      <c r="C110" s="33"/>
      <c r="D110" s="33">
        <v>1000</v>
      </c>
      <c r="E110" s="33"/>
      <c r="F110" s="33"/>
      <c r="G110" s="33">
        <v>1000</v>
      </c>
      <c r="H110" s="33"/>
      <c r="I110" s="33"/>
      <c r="J110" s="33">
        <v>1000</v>
      </c>
      <c r="K110" s="33"/>
      <c r="L110" s="33"/>
      <c r="M110" s="33">
        <v>1000</v>
      </c>
      <c r="N110" s="33"/>
      <c r="O110" s="33"/>
      <c r="P110" s="33">
        <v>1000</v>
      </c>
      <c r="Q110" s="33"/>
      <c r="R110" s="33">
        <v>11650</v>
      </c>
      <c r="S110" s="33">
        <v>1000</v>
      </c>
      <c r="T110" s="33"/>
      <c r="U110" s="33">
        <v>0</v>
      </c>
      <c r="V110" s="33">
        <v>1000</v>
      </c>
      <c r="W110" s="33"/>
      <c r="X110" s="33">
        <v>50</v>
      </c>
      <c r="Y110" s="33">
        <v>1000</v>
      </c>
      <c r="Z110" s="33"/>
      <c r="AA110" s="33">
        <v>150</v>
      </c>
      <c r="AB110" s="33">
        <v>1000</v>
      </c>
      <c r="AC110" s="32">
        <f t="shared" si="21"/>
        <v>11850</v>
      </c>
      <c r="AD110" s="32">
        <f t="shared" si="22"/>
        <v>9000</v>
      </c>
      <c r="AE110" s="33"/>
      <c r="AF110" s="24">
        <v>5000</v>
      </c>
      <c r="AG110" s="58">
        <v>12000</v>
      </c>
      <c r="AH110" s="39"/>
      <c r="AI110" s="58">
        <f t="shared" si="23"/>
        <v>12000</v>
      </c>
      <c r="AJ110" s="58"/>
      <c r="AK110" s="3"/>
    </row>
    <row r="111" spans="1:37">
      <c r="A111" s="17" t="s">
        <v>247</v>
      </c>
      <c r="B111" s="16" t="s">
        <v>248</v>
      </c>
      <c r="C111" s="33"/>
      <c r="D111" s="33">
        <v>835</v>
      </c>
      <c r="E111" s="33"/>
      <c r="F111" s="33"/>
      <c r="G111" s="33">
        <v>830</v>
      </c>
      <c r="H111" s="33"/>
      <c r="I111" s="33">
        <v>4340</v>
      </c>
      <c r="J111" s="33">
        <v>835</v>
      </c>
      <c r="K111" s="33"/>
      <c r="L111" s="33"/>
      <c r="M111" s="33">
        <v>830</v>
      </c>
      <c r="N111" s="33"/>
      <c r="O111" s="33"/>
      <c r="P111" s="33">
        <v>835</v>
      </c>
      <c r="Q111" s="33"/>
      <c r="R111" s="33">
        <v>4600</v>
      </c>
      <c r="S111" s="33">
        <v>830</v>
      </c>
      <c r="T111" s="33"/>
      <c r="U111" s="33">
        <v>0</v>
      </c>
      <c r="V111" s="33">
        <v>835</v>
      </c>
      <c r="W111" s="33"/>
      <c r="X111" s="33">
        <v>0</v>
      </c>
      <c r="Y111" s="33">
        <v>830</v>
      </c>
      <c r="Z111" s="33"/>
      <c r="AA111" s="33">
        <v>0</v>
      </c>
      <c r="AB111" s="33">
        <v>835</v>
      </c>
      <c r="AC111" s="32">
        <f t="shared" si="21"/>
        <v>8940</v>
      </c>
      <c r="AD111" s="32">
        <f t="shared" si="22"/>
        <v>7495</v>
      </c>
      <c r="AE111" s="33"/>
      <c r="AF111" s="24">
        <v>5000</v>
      </c>
      <c r="AG111" s="58">
        <v>10000</v>
      </c>
      <c r="AH111" s="39"/>
      <c r="AI111" s="58">
        <f t="shared" si="23"/>
        <v>10000</v>
      </c>
      <c r="AJ111" s="58"/>
      <c r="AK111" s="3"/>
    </row>
    <row r="112" spans="1:37">
      <c r="A112" s="17" t="s">
        <v>249</v>
      </c>
      <c r="B112" s="16" t="s">
        <v>250</v>
      </c>
      <c r="C112" s="33">
        <v>4829</v>
      </c>
      <c r="D112" s="33">
        <v>8340</v>
      </c>
      <c r="E112" s="33"/>
      <c r="F112" s="33">
        <v>11991.25</v>
      </c>
      <c r="G112" s="33">
        <v>8330</v>
      </c>
      <c r="H112" s="33"/>
      <c r="I112" s="33">
        <v>15289.5</v>
      </c>
      <c r="J112" s="33">
        <v>8330</v>
      </c>
      <c r="K112" s="33"/>
      <c r="L112" s="33">
        <v>12302.16</v>
      </c>
      <c r="M112" s="33">
        <v>8340</v>
      </c>
      <c r="N112" s="33"/>
      <c r="O112" s="33">
        <v>4278</v>
      </c>
      <c r="P112" s="33">
        <v>8330</v>
      </c>
      <c r="Q112" s="33"/>
      <c r="R112" s="33">
        <v>4060.5</v>
      </c>
      <c r="S112" s="33">
        <v>8330</v>
      </c>
      <c r="T112" s="33"/>
      <c r="U112" s="33">
        <v>2182.5</v>
      </c>
      <c r="V112" s="33">
        <v>8330</v>
      </c>
      <c r="W112" s="33"/>
      <c r="X112" s="33">
        <v>15981.5</v>
      </c>
      <c r="Y112" s="33">
        <v>8330</v>
      </c>
      <c r="Z112" s="33"/>
      <c r="AA112" s="33">
        <v>1777.5</v>
      </c>
      <c r="AB112" s="33">
        <v>8340</v>
      </c>
      <c r="AC112" s="32">
        <f t="shared" si="21"/>
        <v>72691.91</v>
      </c>
      <c r="AD112" s="32">
        <f t="shared" si="22"/>
        <v>75000</v>
      </c>
      <c r="AE112" s="33"/>
      <c r="AF112" s="24">
        <v>100000</v>
      </c>
      <c r="AG112" s="24">
        <v>100000</v>
      </c>
      <c r="AH112" s="39"/>
      <c r="AI112" s="24">
        <f t="shared" si="23"/>
        <v>100000</v>
      </c>
      <c r="AJ112" s="24"/>
      <c r="AK112" s="3"/>
    </row>
    <row r="113" spans="1:37">
      <c r="A113" s="17" t="s">
        <v>251</v>
      </c>
      <c r="B113" s="16" t="s">
        <v>252</v>
      </c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>
        <v>0</v>
      </c>
      <c r="S113" s="33">
        <v>0</v>
      </c>
      <c r="T113" s="33"/>
      <c r="U113" s="33">
        <v>0</v>
      </c>
      <c r="V113" s="33">
        <v>0</v>
      </c>
      <c r="W113" s="33"/>
      <c r="X113" s="33">
        <v>0</v>
      </c>
      <c r="Y113" s="33">
        <v>0</v>
      </c>
      <c r="Z113" s="33"/>
      <c r="AA113" s="33">
        <v>0</v>
      </c>
      <c r="AB113" s="33">
        <v>0</v>
      </c>
      <c r="AC113" s="32">
        <f t="shared" si="21"/>
        <v>0</v>
      </c>
      <c r="AD113" s="32">
        <f t="shared" si="22"/>
        <v>0</v>
      </c>
      <c r="AE113" s="33"/>
      <c r="AF113" s="24"/>
      <c r="AG113" s="24"/>
      <c r="AH113" s="39"/>
      <c r="AI113" s="24">
        <f t="shared" si="23"/>
        <v>0</v>
      </c>
      <c r="AJ113" s="24"/>
      <c r="AK113" s="3"/>
    </row>
    <row r="114" spans="1:37">
      <c r="A114" s="17" t="s">
        <v>253</v>
      </c>
      <c r="B114" s="16" t="s">
        <v>254</v>
      </c>
      <c r="C114" s="33"/>
      <c r="D114" s="33"/>
      <c r="E114" s="33"/>
      <c r="F114" s="33">
        <v>30000</v>
      </c>
      <c r="G114" s="33"/>
      <c r="H114" s="33"/>
      <c r="I114" s="33">
        <v>3000</v>
      </c>
      <c r="J114" s="33"/>
      <c r="K114" s="33"/>
      <c r="L114" s="33">
        <v>0</v>
      </c>
      <c r="M114" s="33">
        <v>30000</v>
      </c>
      <c r="N114" s="33"/>
      <c r="O114" s="33">
        <v>34393</v>
      </c>
      <c r="P114" s="33">
        <v>30000</v>
      </c>
      <c r="Q114" s="33"/>
      <c r="R114" s="33">
        <v>0</v>
      </c>
      <c r="S114" s="33">
        <v>8000</v>
      </c>
      <c r="T114" s="33"/>
      <c r="U114" s="33">
        <v>0</v>
      </c>
      <c r="V114" s="33">
        <v>0</v>
      </c>
      <c r="W114" s="33"/>
      <c r="X114" s="33">
        <v>0</v>
      </c>
      <c r="Y114" s="33">
        <v>0</v>
      </c>
      <c r="Z114" s="33"/>
      <c r="AA114" s="33">
        <v>0</v>
      </c>
      <c r="AB114" s="33">
        <v>0</v>
      </c>
      <c r="AC114" s="32">
        <f t="shared" si="21"/>
        <v>67393</v>
      </c>
      <c r="AD114" s="32">
        <f t="shared" si="22"/>
        <v>68000</v>
      </c>
      <c r="AE114" s="33"/>
      <c r="AF114" s="24">
        <v>60000</v>
      </c>
      <c r="AG114" s="58">
        <v>68000</v>
      </c>
      <c r="AH114" s="39"/>
      <c r="AI114" s="58">
        <f t="shared" si="23"/>
        <v>68000</v>
      </c>
      <c r="AJ114" s="58"/>
      <c r="AK114" s="3"/>
    </row>
    <row r="115" spans="1:37">
      <c r="A115" s="17" t="s">
        <v>255</v>
      </c>
      <c r="B115" s="16" t="s">
        <v>256</v>
      </c>
      <c r="C115" s="33"/>
      <c r="D115" s="33">
        <v>170</v>
      </c>
      <c r="E115" s="33"/>
      <c r="F115" s="33"/>
      <c r="G115" s="33">
        <v>165</v>
      </c>
      <c r="H115" s="33"/>
      <c r="I115" s="33"/>
      <c r="J115" s="33">
        <v>170</v>
      </c>
      <c r="K115" s="33"/>
      <c r="L115" s="33"/>
      <c r="M115" s="33">
        <v>165</v>
      </c>
      <c r="N115" s="33"/>
      <c r="O115" s="33"/>
      <c r="P115" s="33">
        <v>170</v>
      </c>
      <c r="Q115" s="33"/>
      <c r="R115" s="33">
        <v>0</v>
      </c>
      <c r="S115" s="33">
        <v>165</v>
      </c>
      <c r="T115" s="33"/>
      <c r="U115" s="33">
        <v>0</v>
      </c>
      <c r="V115" s="33">
        <v>170</v>
      </c>
      <c r="W115" s="33"/>
      <c r="X115" s="33">
        <v>0</v>
      </c>
      <c r="Y115" s="33">
        <v>165</v>
      </c>
      <c r="Z115" s="33"/>
      <c r="AA115" s="33">
        <v>0</v>
      </c>
      <c r="AB115" s="33">
        <v>165</v>
      </c>
      <c r="AC115" s="32">
        <f t="shared" si="21"/>
        <v>0</v>
      </c>
      <c r="AD115" s="32">
        <f t="shared" si="22"/>
        <v>1505</v>
      </c>
      <c r="AE115" s="33"/>
      <c r="AF115" s="24">
        <v>2000</v>
      </c>
      <c r="AG115" s="24">
        <v>2000</v>
      </c>
      <c r="AH115" s="39"/>
      <c r="AI115" s="24">
        <f t="shared" si="23"/>
        <v>2000</v>
      </c>
      <c r="AJ115" s="24"/>
      <c r="AK115" s="3"/>
    </row>
    <row r="116" spans="1:37">
      <c r="A116" s="17" t="s">
        <v>257</v>
      </c>
      <c r="B116" s="16" t="s">
        <v>258</v>
      </c>
      <c r="C116" s="33"/>
      <c r="D116" s="33">
        <v>250</v>
      </c>
      <c r="E116" s="33"/>
      <c r="F116" s="33"/>
      <c r="G116" s="33">
        <v>250</v>
      </c>
      <c r="H116" s="33"/>
      <c r="I116" s="33">
        <v>750</v>
      </c>
      <c r="J116" s="33">
        <v>250</v>
      </c>
      <c r="K116" s="33"/>
      <c r="L116" s="33">
        <v>477.5</v>
      </c>
      <c r="M116" s="33">
        <v>250</v>
      </c>
      <c r="N116" s="33"/>
      <c r="O116" s="33">
        <v>1942.5</v>
      </c>
      <c r="P116" s="33">
        <v>250</v>
      </c>
      <c r="Q116" s="33"/>
      <c r="R116" s="33">
        <v>0</v>
      </c>
      <c r="S116" s="33">
        <v>250</v>
      </c>
      <c r="T116" s="33"/>
      <c r="U116" s="33">
        <v>0</v>
      </c>
      <c r="V116" s="33">
        <v>250</v>
      </c>
      <c r="W116" s="33"/>
      <c r="X116" s="33">
        <v>0</v>
      </c>
      <c r="Y116" s="33">
        <v>250</v>
      </c>
      <c r="Z116" s="33"/>
      <c r="AA116" s="33">
        <v>0</v>
      </c>
      <c r="AB116" s="33">
        <v>250</v>
      </c>
      <c r="AC116" s="32">
        <f t="shared" si="21"/>
        <v>3170</v>
      </c>
      <c r="AD116" s="32">
        <f t="shared" si="22"/>
        <v>2250</v>
      </c>
      <c r="AE116" s="33"/>
      <c r="AF116" s="24">
        <v>3000</v>
      </c>
      <c r="AG116" s="24">
        <v>3000</v>
      </c>
      <c r="AH116" s="39"/>
      <c r="AI116" s="24">
        <f t="shared" si="23"/>
        <v>3000</v>
      </c>
      <c r="AJ116" s="24"/>
      <c r="AK116" s="3"/>
    </row>
    <row r="117" spans="1:37">
      <c r="A117" s="17">
        <v>6010850</v>
      </c>
      <c r="B117" s="16" t="s">
        <v>259</v>
      </c>
      <c r="C117" s="33"/>
      <c r="D117" s="33">
        <v>415</v>
      </c>
      <c r="E117" s="33"/>
      <c r="F117" s="33">
        <v>1380</v>
      </c>
      <c r="G117" s="33">
        <v>420</v>
      </c>
      <c r="H117" s="33"/>
      <c r="I117" s="33">
        <v>2769.92</v>
      </c>
      <c r="J117" s="33">
        <v>415</v>
      </c>
      <c r="K117" s="33"/>
      <c r="L117" s="33">
        <v>3519</v>
      </c>
      <c r="M117" s="33">
        <v>420</v>
      </c>
      <c r="N117" s="33"/>
      <c r="O117" s="33"/>
      <c r="P117" s="33">
        <v>415</v>
      </c>
      <c r="Q117" s="33"/>
      <c r="R117" s="33">
        <v>0</v>
      </c>
      <c r="S117" s="33">
        <v>420</v>
      </c>
      <c r="T117" s="33"/>
      <c r="U117" s="33">
        <v>0</v>
      </c>
      <c r="V117" s="33">
        <v>415</v>
      </c>
      <c r="W117" s="33"/>
      <c r="X117" s="33"/>
      <c r="Y117" s="33">
        <v>420</v>
      </c>
      <c r="Z117" s="33"/>
      <c r="AA117" s="33">
        <v>12.74</v>
      </c>
      <c r="AB117" s="33">
        <v>415</v>
      </c>
      <c r="AC117" s="32">
        <f t="shared" si="21"/>
        <v>7681.66</v>
      </c>
      <c r="AD117" s="32">
        <f t="shared" si="22"/>
        <v>3755</v>
      </c>
      <c r="AE117" s="33"/>
      <c r="AF117" s="24">
        <f>+AF63</f>
        <v>5000</v>
      </c>
      <c r="AG117" s="24">
        <v>5000</v>
      </c>
      <c r="AH117" s="39"/>
      <c r="AI117" s="24"/>
      <c r="AJ117" s="24">
        <f>+AG117-AI117</f>
        <v>5000</v>
      </c>
      <c r="AK117" s="3"/>
    </row>
    <row r="118" spans="1:37">
      <c r="A118" s="17" t="s">
        <v>260</v>
      </c>
      <c r="B118" s="16" t="s">
        <v>261</v>
      </c>
      <c r="C118" s="33">
        <v>3959.76</v>
      </c>
      <c r="D118" s="33">
        <v>7085</v>
      </c>
      <c r="E118" s="33"/>
      <c r="F118" s="33">
        <v>3579.06</v>
      </c>
      <c r="G118" s="33">
        <v>7080</v>
      </c>
      <c r="H118" s="33"/>
      <c r="I118" s="33">
        <v>3660.35</v>
      </c>
      <c r="J118" s="33">
        <v>7080</v>
      </c>
      <c r="K118" s="33"/>
      <c r="L118" s="33">
        <v>6402.39</v>
      </c>
      <c r="M118" s="33">
        <v>7085</v>
      </c>
      <c r="N118" s="33"/>
      <c r="O118" s="33">
        <v>8804.18</v>
      </c>
      <c r="P118" s="33">
        <v>7080</v>
      </c>
      <c r="Q118" s="33"/>
      <c r="R118" s="33">
        <v>8030.86</v>
      </c>
      <c r="S118" s="33">
        <v>7080</v>
      </c>
      <c r="T118" s="33"/>
      <c r="U118" s="33">
        <v>7221.14</v>
      </c>
      <c r="V118" s="33">
        <v>7085</v>
      </c>
      <c r="W118" s="33"/>
      <c r="X118" s="33">
        <v>19287.04</v>
      </c>
      <c r="Y118" s="33">
        <v>7085</v>
      </c>
      <c r="Z118" s="33"/>
      <c r="AA118" s="33">
        <v>12119.58</v>
      </c>
      <c r="AB118" s="33">
        <v>7085</v>
      </c>
      <c r="AC118" s="32">
        <f t="shared" si="21"/>
        <v>73064.36</v>
      </c>
      <c r="AD118" s="32">
        <f t="shared" si="22"/>
        <v>63745</v>
      </c>
      <c r="AE118" s="33"/>
      <c r="AF118" s="24">
        <v>85000</v>
      </c>
      <c r="AG118" s="24">
        <v>85000</v>
      </c>
      <c r="AH118" s="39"/>
      <c r="AI118" s="24">
        <f t="shared" ref="AI118:AI128" si="24">+AG118</f>
        <v>85000</v>
      </c>
      <c r="AJ118" s="24"/>
      <c r="AK118" s="3"/>
    </row>
    <row r="119" spans="1:37">
      <c r="A119" s="17">
        <v>6010950</v>
      </c>
      <c r="B119" s="16" t="s">
        <v>262</v>
      </c>
      <c r="C119" s="33"/>
      <c r="D119" s="33">
        <v>2080</v>
      </c>
      <c r="E119" s="33"/>
      <c r="F119" s="33">
        <v>5415.35</v>
      </c>
      <c r="G119" s="33">
        <v>2080</v>
      </c>
      <c r="H119" s="33"/>
      <c r="I119" s="33">
        <v>11938.5</v>
      </c>
      <c r="J119" s="33">
        <v>2080</v>
      </c>
      <c r="K119" s="33"/>
      <c r="L119" s="33"/>
      <c r="M119" s="33">
        <v>2085</v>
      </c>
      <c r="N119" s="33"/>
      <c r="O119" s="33"/>
      <c r="P119" s="33">
        <v>2085</v>
      </c>
      <c r="Q119" s="33"/>
      <c r="R119" s="33">
        <v>599</v>
      </c>
      <c r="S119" s="33">
        <v>2085</v>
      </c>
      <c r="T119" s="33"/>
      <c r="U119" s="33">
        <v>0</v>
      </c>
      <c r="V119" s="33">
        <v>2085</v>
      </c>
      <c r="W119" s="33"/>
      <c r="X119" s="33">
        <v>49.99</v>
      </c>
      <c r="Y119" s="33">
        <v>2080</v>
      </c>
      <c r="Z119" s="33"/>
      <c r="AA119" s="33">
        <v>1917.97</v>
      </c>
      <c r="AB119" s="33">
        <v>2085</v>
      </c>
      <c r="AC119" s="32">
        <f t="shared" si="21"/>
        <v>19920.810000000001</v>
      </c>
      <c r="AD119" s="32">
        <f t="shared" si="22"/>
        <v>18745</v>
      </c>
      <c r="AE119" s="33"/>
      <c r="AF119" s="24">
        <v>50000</v>
      </c>
      <c r="AG119" s="59">
        <v>25000</v>
      </c>
      <c r="AH119" s="39"/>
      <c r="AI119" s="59">
        <f t="shared" si="24"/>
        <v>25000</v>
      </c>
      <c r="AJ119" s="59"/>
      <c r="AK119" s="3"/>
    </row>
    <row r="120" spans="1:37">
      <c r="A120" s="17" t="s">
        <v>263</v>
      </c>
      <c r="B120" s="16" t="s">
        <v>264</v>
      </c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>
        <v>0</v>
      </c>
      <c r="S120" s="33">
        <v>0</v>
      </c>
      <c r="T120" s="33"/>
      <c r="U120" s="33"/>
      <c r="V120" s="33"/>
      <c r="W120" s="33"/>
      <c r="X120" s="33">
        <v>0</v>
      </c>
      <c r="Y120" s="33">
        <v>0</v>
      </c>
      <c r="Z120" s="33"/>
      <c r="AA120" s="33">
        <v>0</v>
      </c>
      <c r="AB120" s="33">
        <v>0</v>
      </c>
      <c r="AC120" s="32">
        <f t="shared" si="21"/>
        <v>0</v>
      </c>
      <c r="AD120" s="32">
        <f t="shared" si="22"/>
        <v>0</v>
      </c>
      <c r="AE120" s="33"/>
      <c r="AF120" s="24"/>
      <c r="AG120" s="24"/>
      <c r="AH120" s="39"/>
      <c r="AI120" s="24">
        <f t="shared" si="24"/>
        <v>0</v>
      </c>
      <c r="AJ120" s="24"/>
      <c r="AK120" s="3"/>
    </row>
    <row r="121" spans="1:37">
      <c r="A121" s="17" t="s">
        <v>265</v>
      </c>
      <c r="B121" s="16" t="s">
        <v>266</v>
      </c>
      <c r="C121" s="33"/>
      <c r="D121" s="33"/>
      <c r="E121" s="33"/>
      <c r="F121" s="33"/>
      <c r="G121" s="33"/>
      <c r="H121" s="33"/>
      <c r="I121" s="33"/>
      <c r="J121" s="33"/>
      <c r="K121" s="33"/>
      <c r="L121" s="33">
        <v>0</v>
      </c>
      <c r="M121" s="33">
        <v>0</v>
      </c>
      <c r="N121" s="33"/>
      <c r="O121" s="33">
        <v>3300</v>
      </c>
      <c r="P121" s="33">
        <v>3000</v>
      </c>
      <c r="Q121" s="33"/>
      <c r="R121" s="33">
        <v>1100</v>
      </c>
      <c r="S121" s="33">
        <v>0</v>
      </c>
      <c r="T121" s="33"/>
      <c r="U121" s="33">
        <v>2000</v>
      </c>
      <c r="V121" s="33">
        <v>0</v>
      </c>
      <c r="W121" s="33"/>
      <c r="X121" s="33">
        <v>0</v>
      </c>
      <c r="Y121" s="33">
        <v>0</v>
      </c>
      <c r="Z121" s="33"/>
      <c r="AA121" s="33">
        <v>9000</v>
      </c>
      <c r="AB121" s="33">
        <v>12000</v>
      </c>
      <c r="AC121" s="32">
        <f t="shared" si="21"/>
        <v>15400</v>
      </c>
      <c r="AD121" s="32">
        <f t="shared" si="22"/>
        <v>15000</v>
      </c>
      <c r="AE121" s="33"/>
      <c r="AF121" s="24">
        <v>15000</v>
      </c>
      <c r="AG121" s="24">
        <v>15000</v>
      </c>
      <c r="AH121" s="39"/>
      <c r="AI121" s="24">
        <f t="shared" si="24"/>
        <v>15000</v>
      </c>
      <c r="AJ121" s="24"/>
      <c r="AK121" s="3"/>
    </row>
    <row r="122" spans="1:37">
      <c r="A122" s="17" t="s">
        <v>267</v>
      </c>
      <c r="B122" s="16" t="s">
        <v>268</v>
      </c>
      <c r="C122" s="33">
        <v>382.43</v>
      </c>
      <c r="D122" s="33">
        <v>1085</v>
      </c>
      <c r="E122" s="33"/>
      <c r="F122" s="33">
        <v>630.61</v>
      </c>
      <c r="G122" s="33">
        <v>1080</v>
      </c>
      <c r="H122" s="33"/>
      <c r="I122" s="33">
        <v>5373.78</v>
      </c>
      <c r="J122" s="33">
        <v>1080</v>
      </c>
      <c r="K122" s="33"/>
      <c r="L122" s="33">
        <v>1002.5</v>
      </c>
      <c r="M122" s="33">
        <v>1085</v>
      </c>
      <c r="N122" s="33"/>
      <c r="O122" s="33">
        <v>1455.03</v>
      </c>
      <c r="P122" s="33">
        <v>1085</v>
      </c>
      <c r="Q122" s="33"/>
      <c r="R122" s="33">
        <f>+-4734.49+2.48</f>
        <v>-4732.01</v>
      </c>
      <c r="S122" s="33">
        <v>1085</v>
      </c>
      <c r="T122" s="33"/>
      <c r="U122" s="33">
        <f>5787.12-2.48</f>
        <v>5784.64</v>
      </c>
      <c r="V122" s="33">
        <v>1080</v>
      </c>
      <c r="W122" s="33"/>
      <c r="X122" s="33">
        <v>395.42</v>
      </c>
      <c r="Y122" s="33">
        <v>1080</v>
      </c>
      <c r="Z122" s="33"/>
      <c r="AA122" s="33">
        <v>460.18</v>
      </c>
      <c r="AB122" s="33">
        <v>1085</v>
      </c>
      <c r="AC122" s="32">
        <f t="shared" si="21"/>
        <v>10752.58</v>
      </c>
      <c r="AD122" s="32">
        <f t="shared" si="22"/>
        <v>9745</v>
      </c>
      <c r="AE122" s="33"/>
      <c r="AF122" s="24">
        <v>9000</v>
      </c>
      <c r="AG122" s="58">
        <v>13000</v>
      </c>
      <c r="AH122" s="39"/>
      <c r="AI122" s="58">
        <f t="shared" si="24"/>
        <v>13000</v>
      </c>
      <c r="AJ122" s="58"/>
      <c r="AK122" s="3"/>
    </row>
    <row r="123" spans="1:37">
      <c r="A123" s="17" t="s">
        <v>269</v>
      </c>
      <c r="B123" s="16" t="s">
        <v>270</v>
      </c>
      <c r="C123" s="33"/>
      <c r="D123" s="33">
        <v>540</v>
      </c>
      <c r="E123" s="33"/>
      <c r="F123" s="33"/>
      <c r="G123" s="33">
        <v>545</v>
      </c>
      <c r="H123" s="33"/>
      <c r="I123" s="33">
        <v>300</v>
      </c>
      <c r="J123" s="33">
        <v>545</v>
      </c>
      <c r="K123" s="33"/>
      <c r="L123" s="33"/>
      <c r="M123" s="33">
        <v>540</v>
      </c>
      <c r="N123" s="33"/>
      <c r="O123" s="33">
        <v>250</v>
      </c>
      <c r="P123" s="33">
        <v>540</v>
      </c>
      <c r="Q123" s="33"/>
      <c r="R123" s="33">
        <v>1575</v>
      </c>
      <c r="S123" s="33">
        <v>545</v>
      </c>
      <c r="T123" s="33"/>
      <c r="U123" s="33">
        <v>0</v>
      </c>
      <c r="V123" s="33">
        <v>545</v>
      </c>
      <c r="W123" s="33"/>
      <c r="X123" s="33">
        <v>0</v>
      </c>
      <c r="Y123" s="33">
        <v>540</v>
      </c>
      <c r="Z123" s="33"/>
      <c r="AA123" s="33">
        <v>125</v>
      </c>
      <c r="AB123" s="33">
        <v>540</v>
      </c>
      <c r="AC123" s="32">
        <f t="shared" si="21"/>
        <v>2250</v>
      </c>
      <c r="AD123" s="32">
        <f t="shared" si="22"/>
        <v>4880</v>
      </c>
      <c r="AE123" s="33"/>
      <c r="AF123" s="24">
        <v>6500</v>
      </c>
      <c r="AG123" s="24">
        <v>6500</v>
      </c>
      <c r="AH123" s="39"/>
      <c r="AI123" s="24">
        <f t="shared" si="24"/>
        <v>6500</v>
      </c>
      <c r="AJ123" s="24"/>
      <c r="AK123" s="3"/>
    </row>
    <row r="124" spans="1:37">
      <c r="A124" s="17" t="s">
        <v>271</v>
      </c>
      <c r="B124" s="16" t="s">
        <v>272</v>
      </c>
      <c r="C124" s="33"/>
      <c r="D124" s="33">
        <v>625</v>
      </c>
      <c r="E124" s="33"/>
      <c r="F124" s="33">
        <v>-1931.08</v>
      </c>
      <c r="G124" s="33">
        <v>625</v>
      </c>
      <c r="H124" s="33"/>
      <c r="I124" s="33">
        <v>396.48</v>
      </c>
      <c r="J124" s="33">
        <v>625</v>
      </c>
      <c r="K124" s="33"/>
      <c r="L124" s="33">
        <v>204.12</v>
      </c>
      <c r="M124" s="33">
        <v>625</v>
      </c>
      <c r="N124" s="33"/>
      <c r="O124" s="33">
        <v>176.76</v>
      </c>
      <c r="P124" s="33">
        <v>625</v>
      </c>
      <c r="Q124" s="33"/>
      <c r="R124" s="33">
        <v>155.52000000000001</v>
      </c>
      <c r="S124" s="33">
        <v>625</v>
      </c>
      <c r="T124" s="33"/>
      <c r="U124" s="33">
        <v>0</v>
      </c>
      <c r="V124" s="33">
        <v>625</v>
      </c>
      <c r="W124" s="33"/>
      <c r="X124" s="33">
        <v>1108.6300000000001</v>
      </c>
      <c r="Y124" s="33">
        <v>625</v>
      </c>
      <c r="Z124" s="33"/>
      <c r="AA124" s="33">
        <v>1480.63</v>
      </c>
      <c r="AB124" s="33">
        <v>625</v>
      </c>
      <c r="AC124" s="32">
        <f t="shared" si="21"/>
        <v>1591.0600000000002</v>
      </c>
      <c r="AD124" s="32">
        <f t="shared" si="22"/>
        <v>5625</v>
      </c>
      <c r="AE124" s="33"/>
      <c r="AF124" s="24">
        <v>7500</v>
      </c>
      <c r="AG124" s="24">
        <v>7500</v>
      </c>
      <c r="AH124" s="39"/>
      <c r="AI124" s="24">
        <f t="shared" si="24"/>
        <v>7500</v>
      </c>
      <c r="AJ124" s="24"/>
      <c r="AK124" s="3"/>
    </row>
    <row r="125" spans="1:37">
      <c r="A125" s="17" t="s">
        <v>273</v>
      </c>
      <c r="B125" s="16" t="s">
        <v>274</v>
      </c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>
        <v>0</v>
      </c>
      <c r="S125" s="33">
        <v>0</v>
      </c>
      <c r="T125" s="33"/>
      <c r="U125" s="33">
        <v>0</v>
      </c>
      <c r="V125" s="33">
        <v>0</v>
      </c>
      <c r="W125" s="33"/>
      <c r="X125" s="33"/>
      <c r="Y125" s="33">
        <v>0</v>
      </c>
      <c r="Z125" s="33"/>
      <c r="AA125" s="33"/>
      <c r="AB125" s="33">
        <v>0</v>
      </c>
      <c r="AC125" s="32">
        <f t="shared" si="21"/>
        <v>0</v>
      </c>
      <c r="AD125" s="32">
        <f t="shared" si="22"/>
        <v>0</v>
      </c>
      <c r="AE125" s="33"/>
      <c r="AF125" s="24"/>
      <c r="AG125" s="24"/>
      <c r="AH125" s="39"/>
      <c r="AI125" s="24">
        <f t="shared" si="24"/>
        <v>0</v>
      </c>
      <c r="AJ125" s="24"/>
      <c r="AK125" s="3"/>
    </row>
    <row r="126" spans="1:37">
      <c r="A126" s="17" t="s">
        <v>275</v>
      </c>
      <c r="B126" s="16" t="s">
        <v>276</v>
      </c>
      <c r="C126" s="33">
        <v>53441.09</v>
      </c>
      <c r="D126" s="33"/>
      <c r="E126" s="33"/>
      <c r="F126" s="33">
        <v>-4677.75</v>
      </c>
      <c r="G126" s="33"/>
      <c r="H126" s="33"/>
      <c r="I126" s="33">
        <v>19902.689999999999</v>
      </c>
      <c r="J126" s="33"/>
      <c r="K126" s="33"/>
      <c r="L126" s="33">
        <v>-6865.5</v>
      </c>
      <c r="M126" s="33"/>
      <c r="N126" s="33"/>
      <c r="O126" s="33">
        <v>-3230.29</v>
      </c>
      <c r="P126" s="33"/>
      <c r="Q126" s="33"/>
      <c r="R126" s="33">
        <v>-11238.27</v>
      </c>
      <c r="S126" s="33">
        <v>0</v>
      </c>
      <c r="T126" s="33"/>
      <c r="U126" s="33">
        <v>2796.32</v>
      </c>
      <c r="V126" s="33"/>
      <c r="W126" s="33"/>
      <c r="X126" s="33">
        <v>845.74</v>
      </c>
      <c r="Y126" s="33"/>
      <c r="Z126" s="33"/>
      <c r="AA126" s="33">
        <v>-4952.09</v>
      </c>
      <c r="AB126" s="33"/>
      <c r="AC126" s="32">
        <f t="shared" si="21"/>
        <v>46021.94</v>
      </c>
      <c r="AD126" s="32">
        <f t="shared" si="22"/>
        <v>0</v>
      </c>
      <c r="AE126" s="33"/>
      <c r="AF126" s="24"/>
      <c r="AG126" s="24"/>
      <c r="AH126" s="39"/>
      <c r="AI126" s="24">
        <f t="shared" si="24"/>
        <v>0</v>
      </c>
      <c r="AJ126" s="24"/>
      <c r="AK126" s="3"/>
    </row>
    <row r="127" spans="1:37">
      <c r="A127" s="17" t="s">
        <v>277</v>
      </c>
      <c r="B127" s="16" t="s">
        <v>278</v>
      </c>
      <c r="C127" s="33">
        <v>5800</v>
      </c>
      <c r="D127" s="33">
        <v>2920</v>
      </c>
      <c r="E127" s="33"/>
      <c r="F127" s="33">
        <v>5193.6400000000003</v>
      </c>
      <c r="G127" s="33">
        <v>2920</v>
      </c>
      <c r="H127" s="33"/>
      <c r="I127" s="33">
        <v>642.23</v>
      </c>
      <c r="J127" s="33">
        <v>2920</v>
      </c>
      <c r="K127" s="33"/>
      <c r="L127" s="33">
        <v>850</v>
      </c>
      <c r="M127" s="33">
        <v>2920</v>
      </c>
      <c r="N127" s="33"/>
      <c r="O127" s="33">
        <v>2137.4699999999998</v>
      </c>
      <c r="P127" s="33">
        <v>2915</v>
      </c>
      <c r="Q127" s="33"/>
      <c r="R127" s="33">
        <v>67.2</v>
      </c>
      <c r="S127" s="33">
        <v>2915</v>
      </c>
      <c r="T127" s="33"/>
      <c r="U127" s="33">
        <v>8.8000000000000007</v>
      </c>
      <c r="V127" s="33">
        <v>2915</v>
      </c>
      <c r="W127" s="33"/>
      <c r="X127" s="33">
        <v>61.87</v>
      </c>
      <c r="Y127" s="33">
        <v>2915</v>
      </c>
      <c r="Z127" s="33"/>
      <c r="AA127" s="33">
        <v>1155.57</v>
      </c>
      <c r="AB127" s="33">
        <v>2915</v>
      </c>
      <c r="AC127" s="32">
        <f t="shared" si="21"/>
        <v>15916.779999999999</v>
      </c>
      <c r="AD127" s="32">
        <f t="shared" si="22"/>
        <v>26255</v>
      </c>
      <c r="AE127" s="33"/>
      <c r="AF127" s="24">
        <v>35000</v>
      </c>
      <c r="AG127" s="24">
        <v>35000</v>
      </c>
      <c r="AH127" s="39"/>
      <c r="AI127" s="24">
        <f t="shared" si="24"/>
        <v>35000</v>
      </c>
      <c r="AJ127" s="24"/>
      <c r="AK127" s="3"/>
    </row>
    <row r="128" spans="1:37">
      <c r="A128" s="17" t="s">
        <v>279</v>
      </c>
      <c r="B128" s="16" t="s">
        <v>280</v>
      </c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>
        <v>0</v>
      </c>
      <c r="S128" s="33">
        <v>0</v>
      </c>
      <c r="T128" s="33"/>
      <c r="U128" s="33"/>
      <c r="V128" s="33"/>
      <c r="W128" s="33"/>
      <c r="X128" s="33">
        <v>0</v>
      </c>
      <c r="Y128" s="33">
        <v>0</v>
      </c>
      <c r="Z128" s="33"/>
      <c r="AA128" s="33">
        <v>0</v>
      </c>
      <c r="AB128" s="33">
        <v>0</v>
      </c>
      <c r="AC128" s="32">
        <f t="shared" si="21"/>
        <v>0</v>
      </c>
      <c r="AD128" s="32">
        <f t="shared" si="22"/>
        <v>0</v>
      </c>
      <c r="AE128" s="33"/>
      <c r="AF128" s="24"/>
      <c r="AG128" s="24"/>
      <c r="AH128" s="39"/>
      <c r="AI128" s="24">
        <f t="shared" si="24"/>
        <v>0</v>
      </c>
      <c r="AJ128" s="24"/>
      <c r="AK128" s="3"/>
    </row>
    <row r="129" spans="1:38">
      <c r="A129" s="17"/>
      <c r="B129" s="16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24"/>
      <c r="AG129" s="24"/>
      <c r="AH129" s="39"/>
      <c r="AI129" s="24"/>
      <c r="AJ129" s="24"/>
      <c r="AK129" s="3"/>
    </row>
    <row r="130" spans="1:38" s="22" customFormat="1">
      <c r="A130" s="21"/>
      <c r="B130" s="20" t="s">
        <v>281</v>
      </c>
      <c r="C130" s="36">
        <f>SUM(C104:C128)</f>
        <v>72782.48</v>
      </c>
      <c r="D130" s="36">
        <f>SUM(D104:D128)</f>
        <v>30595</v>
      </c>
      <c r="E130" s="40"/>
      <c r="F130" s="36">
        <f>SUM(F104:F128)</f>
        <v>56590.669999999991</v>
      </c>
      <c r="G130" s="36">
        <f>SUM(G104:G128)</f>
        <v>31205</v>
      </c>
      <c r="H130" s="40"/>
      <c r="I130" s="36">
        <f>SUM(I104:I128)</f>
        <v>86004.95</v>
      </c>
      <c r="J130" s="36">
        <f>SUM(J104:J128)</f>
        <v>31600</v>
      </c>
      <c r="K130" s="40"/>
      <c r="L130" s="36">
        <f>SUM(L104:L128)</f>
        <v>26193.079999999998</v>
      </c>
      <c r="M130" s="36">
        <f>SUM(M104:M128)</f>
        <v>61085</v>
      </c>
      <c r="N130" s="40"/>
      <c r="O130" s="36">
        <f>SUM(O104:O128)</f>
        <v>60620.29</v>
      </c>
      <c r="P130" s="36">
        <f>SUM(P104:P128)</f>
        <v>64140</v>
      </c>
      <c r="Q130" s="40"/>
      <c r="R130" s="36">
        <f>SUM(R104:R128)</f>
        <v>19509.66</v>
      </c>
      <c r="S130" s="36">
        <f>SUM(S104:S128)</f>
        <v>38930</v>
      </c>
      <c r="T130" s="40"/>
      <c r="U130" s="36">
        <f>SUM(U104:U128)</f>
        <v>26911.989999999998</v>
      </c>
      <c r="V130" s="36">
        <f>SUM(V104:V128)</f>
        <v>31355</v>
      </c>
      <c r="W130" s="40"/>
      <c r="X130" s="36">
        <f>SUM(X104:X128)</f>
        <v>44554.78</v>
      </c>
      <c r="Y130" s="36">
        <f>SUM(Y104:Y128)</f>
        <v>31340</v>
      </c>
      <c r="Z130" s="40"/>
      <c r="AA130" s="36">
        <f>SUM(AA104:AA128)</f>
        <v>27163.88</v>
      </c>
      <c r="AB130" s="36">
        <f>SUM(AB104:AB128)</f>
        <v>43260</v>
      </c>
      <c r="AC130" s="54">
        <f>SUM(AC104:AC128)</f>
        <v>420331.78</v>
      </c>
      <c r="AD130" s="36">
        <f>SUM(AD104:AD128)</f>
        <v>363510</v>
      </c>
      <c r="AE130" s="40"/>
      <c r="AF130" s="36">
        <f>SUM(AF104:AF128)</f>
        <v>461000</v>
      </c>
      <c r="AG130" s="36">
        <f>SUM(AG104:AG128)</f>
        <v>457500</v>
      </c>
      <c r="AH130" s="44"/>
      <c r="AI130" s="36">
        <f>SUM(AI104:AI128)</f>
        <v>452500</v>
      </c>
      <c r="AJ130" s="36">
        <f>SUM(AJ104:AJ128)</f>
        <v>5000</v>
      </c>
      <c r="AK130" s="23"/>
    </row>
    <row r="131" spans="1:38" s="22" customFormat="1">
      <c r="A131" s="21"/>
      <c r="B131" s="2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37"/>
      <c r="AG131" s="37"/>
      <c r="AH131" s="45"/>
      <c r="AI131" s="37"/>
      <c r="AJ131" s="37"/>
      <c r="AK131" s="23"/>
    </row>
    <row r="132" spans="1:38">
      <c r="A132" s="17" t="s">
        <v>282</v>
      </c>
      <c r="B132" s="16" t="s">
        <v>283</v>
      </c>
      <c r="C132" s="33">
        <v>-11447.82</v>
      </c>
      <c r="D132" s="33">
        <v>29385</v>
      </c>
      <c r="E132" s="33"/>
      <c r="F132" s="33">
        <v>27578.19</v>
      </c>
      <c r="G132" s="33">
        <v>29385</v>
      </c>
      <c r="H132" s="33"/>
      <c r="I132" s="33">
        <v>31668.06</v>
      </c>
      <c r="J132" s="33">
        <v>29385</v>
      </c>
      <c r="K132" s="33"/>
      <c r="L132" s="33">
        <v>30847.19</v>
      </c>
      <c r="M132" s="33">
        <v>29385</v>
      </c>
      <c r="N132" s="33"/>
      <c r="O132" s="33">
        <v>44992.32</v>
      </c>
      <c r="P132" s="33">
        <v>44075</v>
      </c>
      <c r="Q132" s="33"/>
      <c r="R132" s="33">
        <v>29430.39</v>
      </c>
      <c r="S132" s="33">
        <v>29385</v>
      </c>
      <c r="T132" s="33"/>
      <c r="U132" s="33">
        <v>29172.7</v>
      </c>
      <c r="V132" s="33">
        <v>29385</v>
      </c>
      <c r="W132" s="33"/>
      <c r="X132" s="33">
        <v>29336.2</v>
      </c>
      <c r="Y132" s="33">
        <v>29385</v>
      </c>
      <c r="Z132" s="33"/>
      <c r="AA132" s="33">
        <v>27777.94</v>
      </c>
      <c r="AB132" s="33">
        <v>29385</v>
      </c>
      <c r="AC132" s="32">
        <f t="shared" ref="AC132:AC153" si="25">+C132+F132+I132+L132+O132+R132+U132+X132+AA132</f>
        <v>239355.17000000004</v>
      </c>
      <c r="AD132" s="32">
        <f t="shared" ref="AD132:AD153" si="26">+D132+G132+J132+M132+P132+S132+V132+Y132+AB132</f>
        <v>279155</v>
      </c>
      <c r="AE132" s="33"/>
      <c r="AF132" s="24">
        <v>381989</v>
      </c>
      <c r="AG132" s="24">
        <v>381989</v>
      </c>
      <c r="AH132" s="39"/>
      <c r="AI132" s="24">
        <f t="shared" ref="AI132:AI145" si="27">+AG132</f>
        <v>381989</v>
      </c>
      <c r="AJ132" s="24"/>
      <c r="AK132" s="3"/>
    </row>
    <row r="133" spans="1:38">
      <c r="A133" s="17" t="s">
        <v>284</v>
      </c>
      <c r="B133" s="16" t="s">
        <v>285</v>
      </c>
      <c r="C133" s="33">
        <v>2327.7800000000002</v>
      </c>
      <c r="D133" s="33">
        <v>2350</v>
      </c>
      <c r="E133" s="33"/>
      <c r="F133" s="33">
        <v>2303.35</v>
      </c>
      <c r="G133" s="33">
        <v>2350</v>
      </c>
      <c r="H133" s="33"/>
      <c r="I133" s="33">
        <v>1595.97</v>
      </c>
      <c r="J133" s="33">
        <v>2350</v>
      </c>
      <c r="K133" s="33"/>
      <c r="L133" s="33">
        <v>2225.89</v>
      </c>
      <c r="M133" s="33">
        <v>2350</v>
      </c>
      <c r="N133" s="33"/>
      <c r="O133" s="33">
        <v>3406.98</v>
      </c>
      <c r="P133" s="33">
        <v>3525</v>
      </c>
      <c r="Q133" s="33"/>
      <c r="R133" s="33">
        <v>2183.0500000000002</v>
      </c>
      <c r="S133" s="33">
        <v>2350</v>
      </c>
      <c r="T133" s="33"/>
      <c r="U133" s="33">
        <v>2311.59</v>
      </c>
      <c r="V133" s="33">
        <v>2350</v>
      </c>
      <c r="W133" s="33"/>
      <c r="X133" s="33">
        <v>2591.69</v>
      </c>
      <c r="Y133" s="33">
        <v>2350</v>
      </c>
      <c r="Z133" s="33"/>
      <c r="AA133" s="33">
        <v>2329.5500000000002</v>
      </c>
      <c r="AB133" s="33">
        <v>2350</v>
      </c>
      <c r="AC133" s="32">
        <f t="shared" si="25"/>
        <v>21275.85</v>
      </c>
      <c r="AD133" s="32">
        <f t="shared" si="26"/>
        <v>22325</v>
      </c>
      <c r="AE133" s="33"/>
      <c r="AF133" s="24">
        <v>30559</v>
      </c>
      <c r="AG133" s="24">
        <v>30559</v>
      </c>
      <c r="AH133" s="39"/>
      <c r="AI133" s="24">
        <f t="shared" si="27"/>
        <v>30559</v>
      </c>
      <c r="AJ133" s="24"/>
      <c r="AK133" s="3"/>
    </row>
    <row r="134" spans="1:38">
      <c r="A134" s="17" t="s">
        <v>286</v>
      </c>
      <c r="B134" s="16" t="s">
        <v>287</v>
      </c>
      <c r="C134" s="33">
        <v>5359.99</v>
      </c>
      <c r="D134" s="33">
        <v>6031</v>
      </c>
      <c r="E134" s="33"/>
      <c r="F134" s="33">
        <v>5462.13</v>
      </c>
      <c r="G134" s="33">
        <v>6031</v>
      </c>
      <c r="H134" s="33"/>
      <c r="I134" s="33">
        <v>5535.05</v>
      </c>
      <c r="J134" s="33">
        <v>6031</v>
      </c>
      <c r="K134" s="33"/>
      <c r="L134" s="33">
        <v>6820.07</v>
      </c>
      <c r="M134" s="33">
        <v>6031</v>
      </c>
      <c r="N134" s="33"/>
      <c r="O134" s="33">
        <v>6978.02</v>
      </c>
      <c r="P134" s="33">
        <v>6032</v>
      </c>
      <c r="Q134" s="33"/>
      <c r="R134" s="33">
        <v>6978.04</v>
      </c>
      <c r="S134" s="33">
        <v>6032</v>
      </c>
      <c r="T134" s="33"/>
      <c r="U134" s="33">
        <v>6978.04</v>
      </c>
      <c r="V134" s="33">
        <v>6032</v>
      </c>
      <c r="W134" s="33"/>
      <c r="X134" s="33">
        <v>6978.04</v>
      </c>
      <c r="Y134" s="33">
        <v>6032</v>
      </c>
      <c r="Z134" s="33"/>
      <c r="AA134" s="33">
        <v>6964.74</v>
      </c>
      <c r="AB134" s="33">
        <v>6032</v>
      </c>
      <c r="AC134" s="32">
        <f t="shared" si="25"/>
        <v>58054.119999999995</v>
      </c>
      <c r="AD134" s="32">
        <f t="shared" si="26"/>
        <v>54284</v>
      </c>
      <c r="AE134" s="33"/>
      <c r="AF134" s="24">
        <f>67402+3616+1226+136</f>
        <v>72380</v>
      </c>
      <c r="AG134" s="24">
        <f>67402+3616+1226+136</f>
        <v>72380</v>
      </c>
      <c r="AH134" s="39"/>
      <c r="AI134" s="24">
        <f t="shared" si="27"/>
        <v>72380</v>
      </c>
      <c r="AJ134" s="24"/>
      <c r="AK134" s="3"/>
    </row>
    <row r="135" spans="1:38">
      <c r="A135" s="17" t="s">
        <v>288</v>
      </c>
      <c r="B135" s="16" t="s">
        <v>289</v>
      </c>
      <c r="C135" s="33">
        <v>312.52</v>
      </c>
      <c r="D135" s="33">
        <v>316</v>
      </c>
      <c r="E135" s="33"/>
      <c r="F135" s="33">
        <v>307.35000000000002</v>
      </c>
      <c r="G135" s="33">
        <v>316</v>
      </c>
      <c r="H135" s="33"/>
      <c r="I135" s="33">
        <v>307.33999999999997</v>
      </c>
      <c r="J135" s="33">
        <v>316</v>
      </c>
      <c r="K135" s="33"/>
      <c r="L135" s="33">
        <v>315.97000000000003</v>
      </c>
      <c r="M135" s="33">
        <v>316</v>
      </c>
      <c r="N135" s="33"/>
      <c r="O135" s="33">
        <v>468.66</v>
      </c>
      <c r="P135" s="33">
        <v>476</v>
      </c>
      <c r="Q135" s="33"/>
      <c r="R135" s="33">
        <v>315.51</v>
      </c>
      <c r="S135" s="33">
        <v>316</v>
      </c>
      <c r="T135" s="33"/>
      <c r="U135" s="33">
        <v>313.58999999999997</v>
      </c>
      <c r="V135" s="33">
        <v>316</v>
      </c>
      <c r="W135" s="33"/>
      <c r="X135" s="33">
        <v>318.44</v>
      </c>
      <c r="Y135" s="33">
        <v>316</v>
      </c>
      <c r="Z135" s="33"/>
      <c r="AA135" s="33">
        <v>309.14999999999998</v>
      </c>
      <c r="AB135" s="33">
        <v>316</v>
      </c>
      <c r="AC135" s="32">
        <f t="shared" si="25"/>
        <v>2968.53</v>
      </c>
      <c r="AD135" s="32">
        <f t="shared" si="26"/>
        <v>3004</v>
      </c>
      <c r="AE135" s="33"/>
      <c r="AF135" s="24">
        <v>4112</v>
      </c>
      <c r="AG135" s="24">
        <v>4112</v>
      </c>
      <c r="AH135" s="39"/>
      <c r="AI135" s="24">
        <f t="shared" si="27"/>
        <v>4112</v>
      </c>
      <c r="AJ135" s="24"/>
      <c r="AK135" s="3"/>
    </row>
    <row r="136" spans="1:38">
      <c r="A136" s="17" t="s">
        <v>290</v>
      </c>
      <c r="B136" s="16" t="s">
        <v>291</v>
      </c>
      <c r="C136" s="33">
        <v>1206.79</v>
      </c>
      <c r="D136" s="33">
        <v>41</v>
      </c>
      <c r="E136" s="33"/>
      <c r="F136" s="33">
        <v>1206.79</v>
      </c>
      <c r="G136" s="33">
        <v>42</v>
      </c>
      <c r="H136" s="33"/>
      <c r="I136" s="33">
        <v>1206.79</v>
      </c>
      <c r="J136" s="33">
        <v>42</v>
      </c>
      <c r="K136" s="33"/>
      <c r="L136" s="33">
        <v>1206.79</v>
      </c>
      <c r="M136" s="33">
        <v>41</v>
      </c>
      <c r="N136" s="33"/>
      <c r="O136" s="33">
        <v>1206.79</v>
      </c>
      <c r="P136" s="33">
        <v>41</v>
      </c>
      <c r="Q136" s="33"/>
      <c r="R136" s="33">
        <v>40.44</v>
      </c>
      <c r="S136" s="33">
        <v>41</v>
      </c>
      <c r="T136" s="33"/>
      <c r="U136" s="33">
        <v>100.42</v>
      </c>
      <c r="V136" s="33">
        <v>42</v>
      </c>
      <c r="W136" s="33"/>
      <c r="X136" s="33">
        <v>40.44</v>
      </c>
      <c r="Y136" s="33">
        <v>41</v>
      </c>
      <c r="Z136" s="33"/>
      <c r="AA136" s="33">
        <v>40.44</v>
      </c>
      <c r="AB136" s="33">
        <v>41</v>
      </c>
      <c r="AC136" s="32">
        <f t="shared" si="25"/>
        <v>6255.6899999999987</v>
      </c>
      <c r="AD136" s="32">
        <f t="shared" si="26"/>
        <v>372</v>
      </c>
      <c r="AE136" s="33"/>
      <c r="AF136" s="24">
        <v>496</v>
      </c>
      <c r="AG136" s="24">
        <v>496</v>
      </c>
      <c r="AH136" s="39"/>
      <c r="AI136" s="24">
        <f t="shared" si="27"/>
        <v>496</v>
      </c>
      <c r="AJ136" s="24"/>
      <c r="AK136" s="3"/>
      <c r="AL136" s="3"/>
    </row>
    <row r="137" spans="1:38">
      <c r="A137" s="17" t="s">
        <v>292</v>
      </c>
      <c r="B137" s="16" t="s">
        <v>293</v>
      </c>
      <c r="C137" s="33">
        <v>183.2</v>
      </c>
      <c r="D137" s="33">
        <v>555</v>
      </c>
      <c r="E137" s="33"/>
      <c r="F137" s="33">
        <v>335.84</v>
      </c>
      <c r="G137" s="33"/>
      <c r="H137" s="33"/>
      <c r="I137" s="33">
        <v>612.32000000000005</v>
      </c>
      <c r="J137" s="33">
        <v>1115</v>
      </c>
      <c r="K137" s="33"/>
      <c r="L137" s="33">
        <v>738.88</v>
      </c>
      <c r="M137" s="33">
        <v>1115</v>
      </c>
      <c r="N137" s="33"/>
      <c r="O137" s="33">
        <v>961.6</v>
      </c>
      <c r="P137" s="33">
        <v>1660</v>
      </c>
      <c r="Q137" s="33"/>
      <c r="R137" s="33">
        <v>545.12</v>
      </c>
      <c r="S137" s="33">
        <v>555</v>
      </c>
      <c r="T137" s="33"/>
      <c r="U137" s="33">
        <v>0</v>
      </c>
      <c r="V137" s="33">
        <v>0</v>
      </c>
      <c r="W137" s="33"/>
      <c r="X137" s="33">
        <v>0</v>
      </c>
      <c r="Y137" s="33">
        <v>0</v>
      </c>
      <c r="Z137" s="33"/>
      <c r="AA137" s="33">
        <v>0</v>
      </c>
      <c r="AB137" s="33">
        <v>0</v>
      </c>
      <c r="AC137" s="32">
        <f t="shared" si="25"/>
        <v>3376.96</v>
      </c>
      <c r="AD137" s="32">
        <f t="shared" si="26"/>
        <v>5000</v>
      </c>
      <c r="AE137" s="33"/>
      <c r="AF137" s="24">
        <v>5000</v>
      </c>
      <c r="AG137" s="24">
        <v>5000</v>
      </c>
      <c r="AH137" s="39"/>
      <c r="AI137" s="24">
        <f t="shared" si="27"/>
        <v>5000</v>
      </c>
      <c r="AJ137" s="24"/>
      <c r="AK137" s="3"/>
    </row>
    <row r="138" spans="1:38">
      <c r="A138" s="17" t="s">
        <v>294</v>
      </c>
      <c r="B138" s="16" t="s">
        <v>295</v>
      </c>
      <c r="C138" s="33">
        <v>16.21</v>
      </c>
      <c r="D138" s="33">
        <v>50</v>
      </c>
      <c r="E138" s="33"/>
      <c r="F138" s="33">
        <v>17.45</v>
      </c>
      <c r="G138" s="33"/>
      <c r="H138" s="33"/>
      <c r="I138" s="33">
        <v>48.46</v>
      </c>
      <c r="J138" s="33">
        <v>100</v>
      </c>
      <c r="K138" s="33"/>
      <c r="L138" s="33">
        <v>65.38</v>
      </c>
      <c r="M138" s="33">
        <v>100</v>
      </c>
      <c r="N138" s="33"/>
      <c r="O138" s="33">
        <v>99.36</v>
      </c>
      <c r="P138" s="33">
        <v>150</v>
      </c>
      <c r="Q138" s="33"/>
      <c r="R138" s="33">
        <v>46.32</v>
      </c>
      <c r="S138" s="33">
        <v>50</v>
      </c>
      <c r="T138" s="33"/>
      <c r="U138" s="33">
        <v>0</v>
      </c>
      <c r="V138" s="33">
        <v>0</v>
      </c>
      <c r="W138" s="33"/>
      <c r="X138" s="33">
        <v>0</v>
      </c>
      <c r="Y138" s="33">
        <v>0</v>
      </c>
      <c r="Z138" s="33"/>
      <c r="AA138" s="33">
        <v>0</v>
      </c>
      <c r="AB138" s="33">
        <v>0</v>
      </c>
      <c r="AC138" s="32">
        <f t="shared" si="25"/>
        <v>293.18</v>
      </c>
      <c r="AD138" s="32">
        <f t="shared" si="26"/>
        <v>450</v>
      </c>
      <c r="AE138" s="33"/>
      <c r="AF138" s="24">
        <v>450</v>
      </c>
      <c r="AG138" s="24">
        <v>450</v>
      </c>
      <c r="AH138" s="39"/>
      <c r="AI138" s="24">
        <f t="shared" si="27"/>
        <v>450</v>
      </c>
      <c r="AJ138" s="24"/>
      <c r="AK138" s="3"/>
    </row>
    <row r="139" spans="1:38">
      <c r="A139" s="17" t="s">
        <v>296</v>
      </c>
      <c r="B139" s="16" t="s">
        <v>297</v>
      </c>
      <c r="C139" s="33">
        <v>-48.94</v>
      </c>
      <c r="D139" s="33">
        <v>1</v>
      </c>
      <c r="E139" s="33"/>
      <c r="F139" s="33">
        <v>-48.94</v>
      </c>
      <c r="G139" s="33">
        <v>1</v>
      </c>
      <c r="H139" s="33"/>
      <c r="I139" s="33">
        <v>-48.94</v>
      </c>
      <c r="J139" s="33">
        <v>1</v>
      </c>
      <c r="K139" s="33"/>
      <c r="L139" s="33">
        <v>-48.94</v>
      </c>
      <c r="M139" s="33">
        <v>1</v>
      </c>
      <c r="N139" s="33"/>
      <c r="O139" s="33">
        <v>-48.94</v>
      </c>
      <c r="P139" s="33">
        <v>2</v>
      </c>
      <c r="Q139" s="33"/>
      <c r="R139" s="33">
        <v>1.22</v>
      </c>
      <c r="S139" s="33">
        <v>1</v>
      </c>
      <c r="T139" s="33"/>
      <c r="U139" s="33">
        <v>3.05</v>
      </c>
      <c r="V139" s="33">
        <v>2</v>
      </c>
      <c r="W139" s="33"/>
      <c r="X139" s="33">
        <v>1.22</v>
      </c>
      <c r="Y139" s="33">
        <v>1</v>
      </c>
      <c r="Z139" s="33"/>
      <c r="AA139" s="33">
        <v>1.22</v>
      </c>
      <c r="AB139" s="33">
        <v>1</v>
      </c>
      <c r="AC139" s="32">
        <f t="shared" si="25"/>
        <v>-237.98999999999998</v>
      </c>
      <c r="AD139" s="32">
        <f t="shared" si="26"/>
        <v>11</v>
      </c>
      <c r="AE139" s="33"/>
      <c r="AF139" s="24">
        <v>15</v>
      </c>
      <c r="AG139" s="24">
        <v>15</v>
      </c>
      <c r="AH139" s="39"/>
      <c r="AI139" s="24">
        <f t="shared" si="27"/>
        <v>15</v>
      </c>
      <c r="AJ139" s="24"/>
      <c r="AK139" s="3"/>
      <c r="AL139" s="3"/>
    </row>
    <row r="140" spans="1:38">
      <c r="A140" s="17" t="s">
        <v>298</v>
      </c>
      <c r="B140" s="16" t="s">
        <v>299</v>
      </c>
      <c r="C140" s="33">
        <v>2319.94</v>
      </c>
      <c r="D140" s="33">
        <v>2500</v>
      </c>
      <c r="E140" s="33"/>
      <c r="F140" s="33">
        <v>2956.65</v>
      </c>
      <c r="G140" s="33">
        <v>2500</v>
      </c>
      <c r="H140" s="33"/>
      <c r="I140" s="33">
        <v>2874.3</v>
      </c>
      <c r="J140" s="33">
        <v>2500</v>
      </c>
      <c r="K140" s="33"/>
      <c r="L140" s="33">
        <v>2466.91</v>
      </c>
      <c r="M140" s="33">
        <v>2500</v>
      </c>
      <c r="N140" s="33"/>
      <c r="O140" s="33">
        <v>3793.87</v>
      </c>
      <c r="P140" s="33">
        <v>2500</v>
      </c>
      <c r="Q140" s="33"/>
      <c r="R140" s="33">
        <v>2646.19</v>
      </c>
      <c r="S140" s="33">
        <v>2500</v>
      </c>
      <c r="T140" s="33"/>
      <c r="U140" s="33">
        <v>2477.33</v>
      </c>
      <c r="V140" s="33">
        <v>2500</v>
      </c>
      <c r="W140" s="33"/>
      <c r="X140" s="33">
        <v>2421.39</v>
      </c>
      <c r="Y140" s="33">
        <v>2500</v>
      </c>
      <c r="Z140" s="33"/>
      <c r="AA140" s="33">
        <v>2333.71</v>
      </c>
      <c r="AB140" s="33">
        <v>2500</v>
      </c>
      <c r="AC140" s="32">
        <f t="shared" si="25"/>
        <v>24290.289999999994</v>
      </c>
      <c r="AD140" s="32">
        <f t="shared" si="26"/>
        <v>22500</v>
      </c>
      <c r="AE140" s="33"/>
      <c r="AF140" s="24">
        <v>30000</v>
      </c>
      <c r="AG140" s="24">
        <v>30000</v>
      </c>
      <c r="AH140" s="39"/>
      <c r="AI140" s="24">
        <f t="shared" si="27"/>
        <v>30000</v>
      </c>
      <c r="AJ140" s="24"/>
      <c r="AK140" s="3"/>
    </row>
    <row r="141" spans="1:38">
      <c r="A141" s="17" t="s">
        <v>300</v>
      </c>
      <c r="B141" s="16" t="s">
        <v>301</v>
      </c>
      <c r="C141" s="33">
        <v>600</v>
      </c>
      <c r="D141" s="33">
        <v>500</v>
      </c>
      <c r="E141" s="33"/>
      <c r="F141" s="33"/>
      <c r="G141" s="33">
        <v>500</v>
      </c>
      <c r="H141" s="33"/>
      <c r="I141" s="33">
        <v>815</v>
      </c>
      <c r="J141" s="33">
        <v>500</v>
      </c>
      <c r="K141" s="33"/>
      <c r="L141" s="33">
        <v>600</v>
      </c>
      <c r="M141" s="33">
        <v>500</v>
      </c>
      <c r="N141" s="33"/>
      <c r="O141" s="33"/>
      <c r="P141" s="33">
        <v>500</v>
      </c>
      <c r="Q141" s="33"/>
      <c r="R141" s="33">
        <v>659</v>
      </c>
      <c r="S141" s="33">
        <v>500</v>
      </c>
      <c r="T141" s="33"/>
      <c r="U141" s="33">
        <v>0</v>
      </c>
      <c r="V141" s="33">
        <v>500</v>
      </c>
      <c r="W141" s="33"/>
      <c r="X141" s="33">
        <v>600</v>
      </c>
      <c r="Y141" s="33">
        <v>500</v>
      </c>
      <c r="Z141" s="33"/>
      <c r="AA141" s="33">
        <v>460</v>
      </c>
      <c r="AB141" s="33">
        <v>500</v>
      </c>
      <c r="AC141" s="32">
        <f t="shared" si="25"/>
        <v>3734</v>
      </c>
      <c r="AD141" s="32">
        <f t="shared" si="26"/>
        <v>4500</v>
      </c>
      <c r="AE141" s="33"/>
      <c r="AF141" s="24">
        <v>2900</v>
      </c>
      <c r="AG141" s="59">
        <v>6000</v>
      </c>
      <c r="AH141" s="39"/>
      <c r="AI141" s="59">
        <f t="shared" si="27"/>
        <v>6000</v>
      </c>
      <c r="AJ141" s="59"/>
      <c r="AK141" s="3"/>
    </row>
    <row r="142" spans="1:38">
      <c r="A142" s="17" t="s">
        <v>302</v>
      </c>
      <c r="B142" s="16" t="s">
        <v>303</v>
      </c>
      <c r="C142" s="33"/>
      <c r="D142" s="33"/>
      <c r="E142" s="33"/>
      <c r="F142" s="33"/>
      <c r="G142" s="33"/>
      <c r="H142" s="33"/>
      <c r="I142" s="33">
        <v>441</v>
      </c>
      <c r="J142" s="33">
        <v>250</v>
      </c>
      <c r="K142" s="33"/>
      <c r="L142" s="33"/>
      <c r="M142" s="33"/>
      <c r="N142" s="33"/>
      <c r="O142" s="33"/>
      <c r="P142" s="33"/>
      <c r="Q142" s="33"/>
      <c r="R142" s="33">
        <v>0</v>
      </c>
      <c r="S142" s="33">
        <v>0</v>
      </c>
      <c r="T142" s="33"/>
      <c r="U142" s="33">
        <v>0</v>
      </c>
      <c r="V142" s="33">
        <v>0</v>
      </c>
      <c r="W142" s="33"/>
      <c r="X142" s="33">
        <v>0</v>
      </c>
      <c r="Y142" s="33">
        <v>250</v>
      </c>
      <c r="Z142" s="33"/>
      <c r="AA142" s="33">
        <v>0</v>
      </c>
      <c r="AB142" s="33">
        <v>0</v>
      </c>
      <c r="AC142" s="32">
        <f t="shared" si="25"/>
        <v>441</v>
      </c>
      <c r="AD142" s="32">
        <f t="shared" si="26"/>
        <v>500</v>
      </c>
      <c r="AE142" s="33"/>
      <c r="AF142" s="24">
        <v>500</v>
      </c>
      <c r="AG142" s="24">
        <v>500</v>
      </c>
      <c r="AH142" s="39"/>
      <c r="AI142" s="24">
        <f t="shared" si="27"/>
        <v>500</v>
      </c>
      <c r="AJ142" s="24"/>
      <c r="AK142" s="3"/>
    </row>
    <row r="143" spans="1:38">
      <c r="A143" s="17" t="s">
        <v>304</v>
      </c>
      <c r="B143" s="16" t="s">
        <v>305</v>
      </c>
      <c r="C143" s="33">
        <v>99.52</v>
      </c>
      <c r="D143" s="33">
        <v>210</v>
      </c>
      <c r="E143" s="33"/>
      <c r="F143" s="33">
        <v>543.65</v>
      </c>
      <c r="G143" s="33">
        <v>200</v>
      </c>
      <c r="H143" s="33"/>
      <c r="I143" s="33">
        <v>1356</v>
      </c>
      <c r="J143" s="33">
        <v>210</v>
      </c>
      <c r="K143" s="33"/>
      <c r="L143" s="33">
        <v>984.6</v>
      </c>
      <c r="M143" s="33">
        <v>210</v>
      </c>
      <c r="N143" s="33"/>
      <c r="O143" s="33">
        <v>150</v>
      </c>
      <c r="P143" s="33">
        <v>200</v>
      </c>
      <c r="Q143" s="33"/>
      <c r="R143" s="33">
        <v>251.06</v>
      </c>
      <c r="S143" s="33">
        <v>210</v>
      </c>
      <c r="T143" s="33"/>
      <c r="U143" s="33">
        <v>590</v>
      </c>
      <c r="V143" s="33">
        <v>210</v>
      </c>
      <c r="W143" s="33"/>
      <c r="X143" s="33">
        <v>16.41</v>
      </c>
      <c r="Y143" s="33">
        <v>210</v>
      </c>
      <c r="Z143" s="33"/>
      <c r="AA143" s="33">
        <v>22.26</v>
      </c>
      <c r="AB143" s="33">
        <v>210</v>
      </c>
      <c r="AC143" s="32">
        <f t="shared" si="25"/>
        <v>4013.5</v>
      </c>
      <c r="AD143" s="32">
        <f t="shared" si="26"/>
        <v>1870</v>
      </c>
      <c r="AE143" s="33"/>
      <c r="AF143" s="24">
        <v>2500</v>
      </c>
      <c r="AG143" s="24">
        <v>2500</v>
      </c>
      <c r="AH143" s="39"/>
      <c r="AI143" s="24">
        <f t="shared" si="27"/>
        <v>2500</v>
      </c>
      <c r="AJ143" s="24"/>
      <c r="AK143" s="3"/>
    </row>
    <row r="144" spans="1:38">
      <c r="A144" s="17" t="s">
        <v>306</v>
      </c>
      <c r="B144" s="16" t="s">
        <v>307</v>
      </c>
      <c r="C144" s="33">
        <v>415</v>
      </c>
      <c r="D144" s="33">
        <v>580</v>
      </c>
      <c r="E144" s="33"/>
      <c r="F144" s="33">
        <v>415</v>
      </c>
      <c r="G144" s="33">
        <v>585</v>
      </c>
      <c r="H144" s="33"/>
      <c r="I144" s="33">
        <v>580.58000000000004</v>
      </c>
      <c r="J144" s="33">
        <v>580</v>
      </c>
      <c r="K144" s="33"/>
      <c r="L144" s="33">
        <v>415</v>
      </c>
      <c r="M144" s="33">
        <v>585</v>
      </c>
      <c r="N144" s="33"/>
      <c r="O144" s="33">
        <v>622.5</v>
      </c>
      <c r="P144" s="33">
        <v>580</v>
      </c>
      <c r="Q144" s="33"/>
      <c r="R144" s="33">
        <v>415</v>
      </c>
      <c r="S144" s="33">
        <v>585</v>
      </c>
      <c r="T144" s="33"/>
      <c r="U144" s="33">
        <v>415</v>
      </c>
      <c r="V144" s="33">
        <v>580</v>
      </c>
      <c r="W144" s="33"/>
      <c r="X144" s="33">
        <v>415</v>
      </c>
      <c r="Y144" s="33">
        <v>585</v>
      </c>
      <c r="Z144" s="33"/>
      <c r="AA144" s="33">
        <v>415</v>
      </c>
      <c r="AB144" s="33">
        <v>585</v>
      </c>
      <c r="AC144" s="32">
        <f t="shared" si="25"/>
        <v>4108.08</v>
      </c>
      <c r="AD144" s="32">
        <f t="shared" si="26"/>
        <v>5245</v>
      </c>
      <c r="AE144" s="33"/>
      <c r="AF144" s="24">
        <v>7000</v>
      </c>
      <c r="AG144" s="24">
        <v>7000</v>
      </c>
      <c r="AH144" s="39"/>
      <c r="AI144" s="24">
        <f t="shared" si="27"/>
        <v>7000</v>
      </c>
      <c r="AJ144" s="24"/>
      <c r="AK144" s="3"/>
    </row>
    <row r="145" spans="1:37">
      <c r="A145" s="17" t="s">
        <v>308</v>
      </c>
      <c r="B145" s="16" t="s">
        <v>309</v>
      </c>
      <c r="C145" s="33">
        <v>2116.65</v>
      </c>
      <c r="D145" s="33">
        <v>1000</v>
      </c>
      <c r="E145" s="33"/>
      <c r="F145" s="33">
        <v>798.36</v>
      </c>
      <c r="G145" s="33">
        <v>1000</v>
      </c>
      <c r="H145" s="33"/>
      <c r="I145" s="33">
        <v>413.06</v>
      </c>
      <c r="J145" s="33">
        <v>1000</v>
      </c>
      <c r="K145" s="33"/>
      <c r="L145" s="33">
        <v>1009.75</v>
      </c>
      <c r="M145" s="33">
        <v>1000</v>
      </c>
      <c r="N145" s="33"/>
      <c r="O145" s="33">
        <v>2219.75</v>
      </c>
      <c r="P145" s="33">
        <v>1000</v>
      </c>
      <c r="Q145" s="33"/>
      <c r="R145" s="33">
        <v>121.37</v>
      </c>
      <c r="S145" s="33">
        <v>1000</v>
      </c>
      <c r="T145" s="33"/>
      <c r="U145" s="33">
        <v>2024.75</v>
      </c>
      <c r="V145" s="33">
        <v>1000</v>
      </c>
      <c r="W145" s="33"/>
      <c r="X145" s="33">
        <v>204.68</v>
      </c>
      <c r="Y145" s="33">
        <v>1000</v>
      </c>
      <c r="Z145" s="33"/>
      <c r="AA145" s="33">
        <v>2024.75</v>
      </c>
      <c r="AB145" s="33">
        <v>1000</v>
      </c>
      <c r="AC145" s="32">
        <f t="shared" si="25"/>
        <v>10933.119999999999</v>
      </c>
      <c r="AD145" s="32">
        <f t="shared" si="26"/>
        <v>9000</v>
      </c>
      <c r="AE145" s="33"/>
      <c r="AF145" s="24">
        <v>12000</v>
      </c>
      <c r="AG145" s="24">
        <v>12000</v>
      </c>
      <c r="AH145" s="39"/>
      <c r="AI145" s="24">
        <f t="shared" si="27"/>
        <v>12000</v>
      </c>
      <c r="AJ145" s="24"/>
      <c r="AK145" s="3"/>
    </row>
    <row r="146" spans="1:37">
      <c r="A146" s="17" t="s">
        <v>310</v>
      </c>
      <c r="B146" s="16" t="s">
        <v>311</v>
      </c>
      <c r="C146" s="33">
        <v>5550.65</v>
      </c>
      <c r="D146" s="33">
        <v>12500</v>
      </c>
      <c r="E146" s="33"/>
      <c r="F146" s="33">
        <v>4051.9</v>
      </c>
      <c r="G146" s="33">
        <v>12500</v>
      </c>
      <c r="H146" s="33"/>
      <c r="I146" s="33">
        <v>3917.09</v>
      </c>
      <c r="J146" s="33">
        <v>12500</v>
      </c>
      <c r="K146" s="33"/>
      <c r="L146" s="33">
        <v>4021.9</v>
      </c>
      <c r="M146" s="33">
        <v>12500</v>
      </c>
      <c r="N146" s="33"/>
      <c r="O146" s="33">
        <v>4837.8999999999996</v>
      </c>
      <c r="P146" s="33">
        <v>12500</v>
      </c>
      <c r="Q146" s="33"/>
      <c r="R146" s="33">
        <v>3651.15</v>
      </c>
      <c r="S146" s="33">
        <v>12500</v>
      </c>
      <c r="T146" s="33"/>
      <c r="U146" s="33">
        <v>5739.4</v>
      </c>
      <c r="V146" s="33">
        <v>12500</v>
      </c>
      <c r="W146" s="33"/>
      <c r="X146" s="33">
        <v>3583.15</v>
      </c>
      <c r="Y146" s="33">
        <v>12500</v>
      </c>
      <c r="Z146" s="33"/>
      <c r="AA146" s="33">
        <v>6711.01</v>
      </c>
      <c r="AB146" s="33">
        <v>12500</v>
      </c>
      <c r="AC146" s="32">
        <f t="shared" si="25"/>
        <v>42064.150000000009</v>
      </c>
      <c r="AD146" s="32">
        <f t="shared" si="26"/>
        <v>112500</v>
      </c>
      <c r="AE146" s="33"/>
      <c r="AF146" s="24">
        <v>150000</v>
      </c>
      <c r="AG146" s="24">
        <v>150000</v>
      </c>
      <c r="AH146" s="39"/>
      <c r="AI146" s="24">
        <v>75000</v>
      </c>
      <c r="AJ146" s="24">
        <f>+AG146-AI146</f>
        <v>75000</v>
      </c>
      <c r="AK146" s="3"/>
    </row>
    <row r="147" spans="1:37">
      <c r="A147" s="17" t="s">
        <v>312</v>
      </c>
      <c r="B147" s="16" t="s">
        <v>313</v>
      </c>
      <c r="C147" s="33">
        <v>5517.76</v>
      </c>
      <c r="D147" s="33">
        <v>5850</v>
      </c>
      <c r="E147" s="33"/>
      <c r="F147" s="33">
        <v>7232.11</v>
      </c>
      <c r="G147" s="33">
        <v>5825</v>
      </c>
      <c r="H147" s="33"/>
      <c r="I147" s="33">
        <v>5517.76</v>
      </c>
      <c r="J147" s="33">
        <v>5850</v>
      </c>
      <c r="K147" s="33"/>
      <c r="L147" s="33">
        <v>5517.76</v>
      </c>
      <c r="M147" s="33">
        <v>5825</v>
      </c>
      <c r="N147" s="33"/>
      <c r="O147" s="33">
        <v>5517.76</v>
      </c>
      <c r="P147" s="33">
        <v>5850</v>
      </c>
      <c r="Q147" s="33"/>
      <c r="R147" s="33">
        <v>5517.76</v>
      </c>
      <c r="S147" s="33">
        <v>5825</v>
      </c>
      <c r="T147" s="33"/>
      <c r="U147" s="33">
        <v>5517.76</v>
      </c>
      <c r="V147" s="33">
        <v>5850</v>
      </c>
      <c r="W147" s="33"/>
      <c r="X147" s="33">
        <v>5517.76</v>
      </c>
      <c r="Y147" s="33">
        <v>5825</v>
      </c>
      <c r="Z147" s="33"/>
      <c r="AA147" s="33">
        <v>5517.76</v>
      </c>
      <c r="AB147" s="33">
        <v>5825</v>
      </c>
      <c r="AC147" s="32">
        <f t="shared" si="25"/>
        <v>51374.19000000001</v>
      </c>
      <c r="AD147" s="32">
        <f t="shared" si="26"/>
        <v>52525</v>
      </c>
      <c r="AE147" s="33"/>
      <c r="AF147" s="24">
        <v>70000</v>
      </c>
      <c r="AG147" s="24">
        <v>70000</v>
      </c>
      <c r="AH147" s="39"/>
      <c r="AI147" s="24">
        <f t="shared" ref="AI147:AI152" si="28">+AG147</f>
        <v>70000</v>
      </c>
      <c r="AJ147" s="24"/>
      <c r="AK147" s="3"/>
    </row>
    <row r="148" spans="1:37">
      <c r="A148" s="17" t="s">
        <v>314</v>
      </c>
      <c r="B148" s="16" t="s">
        <v>315</v>
      </c>
      <c r="C148" s="33">
        <v>2563</v>
      </c>
      <c r="D148" s="33">
        <v>210</v>
      </c>
      <c r="E148" s="33"/>
      <c r="F148" s="33">
        <v>179</v>
      </c>
      <c r="G148" s="33">
        <v>210</v>
      </c>
      <c r="H148" s="33"/>
      <c r="I148" s="33"/>
      <c r="J148" s="33">
        <v>210</v>
      </c>
      <c r="K148" s="33"/>
      <c r="L148" s="33"/>
      <c r="M148" s="33">
        <v>200</v>
      </c>
      <c r="N148" s="33"/>
      <c r="O148" s="33"/>
      <c r="P148" s="33">
        <v>200</v>
      </c>
      <c r="Q148" s="33"/>
      <c r="R148" s="33">
        <v>0</v>
      </c>
      <c r="S148" s="33">
        <v>210</v>
      </c>
      <c r="T148" s="33"/>
      <c r="U148" s="33">
        <v>0</v>
      </c>
      <c r="V148" s="33">
        <v>210</v>
      </c>
      <c r="W148" s="33"/>
      <c r="X148" s="33">
        <v>0</v>
      </c>
      <c r="Y148" s="33">
        <v>210</v>
      </c>
      <c r="Z148" s="33"/>
      <c r="AA148" s="33">
        <v>309</v>
      </c>
      <c r="AB148" s="33">
        <v>210</v>
      </c>
      <c r="AC148" s="32">
        <f t="shared" si="25"/>
        <v>3051</v>
      </c>
      <c r="AD148" s="32">
        <f t="shared" si="26"/>
        <v>1870</v>
      </c>
      <c r="AE148" s="33"/>
      <c r="AF148" s="24">
        <v>2500</v>
      </c>
      <c r="AG148" s="24">
        <v>2500</v>
      </c>
      <c r="AH148" s="39"/>
      <c r="AI148" s="24">
        <f t="shared" si="28"/>
        <v>2500</v>
      </c>
      <c r="AJ148" s="24"/>
      <c r="AK148" s="3"/>
    </row>
    <row r="149" spans="1:37">
      <c r="A149" s="17" t="s">
        <v>316</v>
      </c>
      <c r="B149" s="16" t="s">
        <v>317</v>
      </c>
      <c r="C149" s="33">
        <v>370</v>
      </c>
      <c r="D149" s="33">
        <v>625</v>
      </c>
      <c r="E149" s="33"/>
      <c r="F149" s="33">
        <v>1341.62</v>
      </c>
      <c r="G149" s="33">
        <v>625</v>
      </c>
      <c r="H149" s="33"/>
      <c r="I149" s="33">
        <v>173</v>
      </c>
      <c r="J149" s="33">
        <v>625</v>
      </c>
      <c r="K149" s="33"/>
      <c r="L149" s="33"/>
      <c r="M149" s="33">
        <v>625</v>
      </c>
      <c r="N149" s="33"/>
      <c r="O149" s="33">
        <v>659</v>
      </c>
      <c r="P149" s="33">
        <v>625</v>
      </c>
      <c r="Q149" s="33"/>
      <c r="R149" s="33">
        <v>605.98</v>
      </c>
      <c r="S149" s="33">
        <v>625</v>
      </c>
      <c r="T149" s="33"/>
      <c r="U149" s="33">
        <v>0</v>
      </c>
      <c r="V149" s="33">
        <v>625</v>
      </c>
      <c r="W149" s="33"/>
      <c r="X149" s="33">
        <v>0</v>
      </c>
      <c r="Y149" s="33">
        <v>625</v>
      </c>
      <c r="Z149" s="33"/>
      <c r="AA149" s="33">
        <v>96.31</v>
      </c>
      <c r="AB149" s="33">
        <v>625</v>
      </c>
      <c r="AC149" s="32">
        <f t="shared" si="25"/>
        <v>3245.91</v>
      </c>
      <c r="AD149" s="32">
        <f t="shared" si="26"/>
        <v>5625</v>
      </c>
      <c r="AE149" s="33"/>
      <c r="AF149" s="24">
        <v>7500</v>
      </c>
      <c r="AG149" s="24">
        <v>7500</v>
      </c>
      <c r="AH149" s="39"/>
      <c r="AI149" s="24">
        <f t="shared" si="28"/>
        <v>7500</v>
      </c>
      <c r="AJ149" s="24"/>
      <c r="AK149" s="3"/>
    </row>
    <row r="150" spans="1:37">
      <c r="A150" s="17" t="s">
        <v>318</v>
      </c>
      <c r="B150" s="16" t="s">
        <v>319</v>
      </c>
      <c r="C150" s="33">
        <v>665.85</v>
      </c>
      <c r="D150" s="33">
        <v>835</v>
      </c>
      <c r="E150" s="33"/>
      <c r="F150" s="33">
        <v>1218.07</v>
      </c>
      <c r="G150" s="33">
        <v>830</v>
      </c>
      <c r="H150" s="33"/>
      <c r="I150" s="33">
        <v>883.1</v>
      </c>
      <c r="J150" s="33">
        <v>835</v>
      </c>
      <c r="K150" s="33"/>
      <c r="L150" s="33">
        <v>370.77</v>
      </c>
      <c r="M150" s="33">
        <v>830</v>
      </c>
      <c r="N150" s="33"/>
      <c r="O150" s="33">
        <v>2104.59</v>
      </c>
      <c r="P150" s="33">
        <v>835</v>
      </c>
      <c r="Q150" s="33"/>
      <c r="R150" s="33">
        <v>3083.93</v>
      </c>
      <c r="S150" s="33">
        <v>830</v>
      </c>
      <c r="T150" s="33"/>
      <c r="U150" s="33">
        <v>267.02999999999997</v>
      </c>
      <c r="V150" s="33">
        <v>835</v>
      </c>
      <c r="W150" s="33"/>
      <c r="X150" s="33">
        <v>663.66</v>
      </c>
      <c r="Y150" s="33">
        <v>830</v>
      </c>
      <c r="Z150" s="33"/>
      <c r="AA150" s="33">
        <v>1637.2</v>
      </c>
      <c r="AB150" s="33">
        <v>835</v>
      </c>
      <c r="AC150" s="32">
        <f t="shared" si="25"/>
        <v>10894.2</v>
      </c>
      <c r="AD150" s="32">
        <f t="shared" si="26"/>
        <v>7495</v>
      </c>
      <c r="AE150" s="33"/>
      <c r="AF150" s="24">
        <v>10000</v>
      </c>
      <c r="AG150" s="24">
        <v>10000</v>
      </c>
      <c r="AH150" s="39"/>
      <c r="AI150" s="24">
        <f t="shared" si="28"/>
        <v>10000</v>
      </c>
      <c r="AJ150" s="24"/>
      <c r="AK150" s="3"/>
    </row>
    <row r="151" spans="1:37">
      <c r="A151" s="17" t="s">
        <v>320</v>
      </c>
      <c r="B151" s="16" t="s">
        <v>321</v>
      </c>
      <c r="C151" s="33"/>
      <c r="D151" s="33">
        <v>170</v>
      </c>
      <c r="E151" s="33"/>
      <c r="F151" s="33"/>
      <c r="G151" s="33">
        <v>165</v>
      </c>
      <c r="H151" s="33"/>
      <c r="I151" s="33"/>
      <c r="J151" s="33">
        <v>170</v>
      </c>
      <c r="K151" s="33"/>
      <c r="L151" s="33"/>
      <c r="M151" s="33">
        <v>165</v>
      </c>
      <c r="N151" s="33"/>
      <c r="O151" s="33"/>
      <c r="P151" s="33">
        <v>170</v>
      </c>
      <c r="Q151" s="33"/>
      <c r="R151" s="33">
        <v>0</v>
      </c>
      <c r="S151" s="33">
        <v>165</v>
      </c>
      <c r="T151" s="33"/>
      <c r="U151" s="33">
        <v>0</v>
      </c>
      <c r="V151" s="33">
        <v>170</v>
      </c>
      <c r="W151" s="33"/>
      <c r="X151" s="33">
        <v>0</v>
      </c>
      <c r="Y151" s="33">
        <v>165</v>
      </c>
      <c r="Z151" s="33"/>
      <c r="AA151" s="33">
        <v>0</v>
      </c>
      <c r="AB151" s="33">
        <v>165</v>
      </c>
      <c r="AC151" s="32">
        <f t="shared" si="25"/>
        <v>0</v>
      </c>
      <c r="AD151" s="32">
        <f t="shared" si="26"/>
        <v>1505</v>
      </c>
      <c r="AE151" s="33"/>
      <c r="AF151" s="24">
        <v>2000</v>
      </c>
      <c r="AG151" s="24">
        <v>2000</v>
      </c>
      <c r="AH151" s="39"/>
      <c r="AI151" s="24">
        <f t="shared" si="28"/>
        <v>2000</v>
      </c>
      <c r="AJ151" s="24"/>
      <c r="AK151" s="3"/>
    </row>
    <row r="152" spans="1:37">
      <c r="A152" s="17" t="s">
        <v>322</v>
      </c>
      <c r="B152" s="16" t="s">
        <v>219</v>
      </c>
      <c r="C152" s="33">
        <v>198.48</v>
      </c>
      <c r="D152" s="33">
        <v>415</v>
      </c>
      <c r="E152" s="33"/>
      <c r="F152" s="33">
        <v>100</v>
      </c>
      <c r="G152" s="33">
        <v>420</v>
      </c>
      <c r="H152" s="33"/>
      <c r="I152" s="33">
        <v>997.27</v>
      </c>
      <c r="J152" s="33">
        <v>415</v>
      </c>
      <c r="K152" s="33"/>
      <c r="L152" s="33"/>
      <c r="M152" s="33">
        <v>420</v>
      </c>
      <c r="N152" s="33"/>
      <c r="O152" s="33">
        <v>2</v>
      </c>
      <c r="P152" s="33">
        <v>415</v>
      </c>
      <c r="Q152" s="33"/>
      <c r="R152" s="33">
        <v>20.95</v>
      </c>
      <c r="S152" s="33">
        <v>420</v>
      </c>
      <c r="T152" s="33"/>
      <c r="U152" s="33">
        <v>0</v>
      </c>
      <c r="V152" s="33">
        <v>415</v>
      </c>
      <c r="W152" s="33"/>
      <c r="X152" s="33">
        <v>171.99</v>
      </c>
      <c r="Y152" s="33">
        <v>420</v>
      </c>
      <c r="Z152" s="33"/>
      <c r="AA152" s="33">
        <v>1527.94</v>
      </c>
      <c r="AB152" s="33">
        <v>415</v>
      </c>
      <c r="AC152" s="32">
        <f t="shared" si="25"/>
        <v>3018.63</v>
      </c>
      <c r="AD152" s="32">
        <f t="shared" si="26"/>
        <v>3755</v>
      </c>
      <c r="AE152" s="33"/>
      <c r="AF152" s="24">
        <v>5000</v>
      </c>
      <c r="AG152" s="24">
        <v>5000</v>
      </c>
      <c r="AH152" s="39"/>
      <c r="AI152" s="24">
        <f t="shared" si="28"/>
        <v>5000</v>
      </c>
      <c r="AJ152" s="24"/>
      <c r="AK152" s="3"/>
    </row>
    <row r="153" spans="1:37">
      <c r="A153" s="17">
        <v>6022050</v>
      </c>
      <c r="B153" s="16" t="s">
        <v>323</v>
      </c>
      <c r="C153" s="33">
        <v>35169.39</v>
      </c>
      <c r="D153" s="33">
        <v>35000</v>
      </c>
      <c r="E153" s="33"/>
      <c r="F153" s="33">
        <v>32968.589999999997</v>
      </c>
      <c r="G153" s="33">
        <v>33000</v>
      </c>
      <c r="H153" s="33"/>
      <c r="I153" s="33">
        <v>33719.120000000003</v>
      </c>
      <c r="J153" s="33">
        <v>34000</v>
      </c>
      <c r="K153" s="33"/>
      <c r="L153" s="33">
        <v>37740.870000000003</v>
      </c>
      <c r="M153" s="33">
        <v>38000</v>
      </c>
      <c r="N153" s="33"/>
      <c r="O153" s="33">
        <v>17859.2</v>
      </c>
      <c r="P153" s="33">
        <v>18000</v>
      </c>
      <c r="Q153" s="33"/>
      <c r="R153" s="33">
        <v>14744.34</v>
      </c>
      <c r="S153" s="33">
        <v>15000</v>
      </c>
      <c r="T153" s="33"/>
      <c r="U153" s="33">
        <v>10947.05</v>
      </c>
      <c r="V153" s="33">
        <v>11000</v>
      </c>
      <c r="W153" s="33"/>
      <c r="X153" s="33">
        <v>18737.84</v>
      </c>
      <c r="Y153" s="33">
        <v>19000</v>
      </c>
      <c r="Z153" s="33"/>
      <c r="AA153" s="33">
        <v>11884.35</v>
      </c>
      <c r="AB153" s="33">
        <v>11000</v>
      </c>
      <c r="AC153" s="32">
        <f t="shared" si="25"/>
        <v>213770.75</v>
      </c>
      <c r="AD153" s="32">
        <f t="shared" si="26"/>
        <v>214000</v>
      </c>
      <c r="AE153" s="33"/>
      <c r="AF153" s="24"/>
      <c r="AG153" s="59">
        <v>5000000</v>
      </c>
      <c r="AH153" s="39"/>
      <c r="AI153" s="59">
        <v>0</v>
      </c>
      <c r="AJ153" s="59">
        <f>+AG153-AI153</f>
        <v>5000000</v>
      </c>
      <c r="AK153" s="3"/>
    </row>
    <row r="154" spans="1:37">
      <c r="A154" s="17"/>
      <c r="B154" s="16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24"/>
      <c r="AG154" s="24"/>
      <c r="AH154" s="39"/>
      <c r="AI154" s="24"/>
      <c r="AJ154" s="24"/>
      <c r="AK154" s="3"/>
    </row>
    <row r="155" spans="1:37">
      <c r="A155" s="21"/>
      <c r="B155" s="20" t="s">
        <v>33</v>
      </c>
      <c r="C155" s="36">
        <f>SUM(C132:C153)</f>
        <v>53495.97</v>
      </c>
      <c r="D155" s="36">
        <f>SUM(D132:D153)</f>
        <v>99124</v>
      </c>
      <c r="E155" s="40"/>
      <c r="F155" s="36">
        <f>SUM(F132:F153)</f>
        <v>88967.109999999986</v>
      </c>
      <c r="G155" s="36">
        <f>SUM(G132:G153)</f>
        <v>96485</v>
      </c>
      <c r="H155" s="40"/>
      <c r="I155" s="36">
        <f>SUM(I132:I153)</f>
        <v>92612.33</v>
      </c>
      <c r="J155" s="36">
        <f>SUM(J132:J153)</f>
        <v>98985</v>
      </c>
      <c r="K155" s="40"/>
      <c r="L155" s="36">
        <f>SUM(L132:L153)</f>
        <v>95298.790000000008</v>
      </c>
      <c r="M155" s="36">
        <f>SUM(M132:M153)</f>
        <v>102699</v>
      </c>
      <c r="N155" s="40"/>
      <c r="O155" s="36">
        <f>SUM(O132:O153)</f>
        <v>95831.360000000001</v>
      </c>
      <c r="P155" s="36">
        <f>SUM(P132:P153)</f>
        <v>99336</v>
      </c>
      <c r="Q155" s="40"/>
      <c r="R155" s="36">
        <f>SUM(R132:R153)</f>
        <v>71256.820000000007</v>
      </c>
      <c r="S155" s="36">
        <f>SUM(S132:S153)</f>
        <v>79100</v>
      </c>
      <c r="T155" s="40"/>
      <c r="U155" s="36">
        <f>SUM(U132:U153)</f>
        <v>66857.710000000006</v>
      </c>
      <c r="V155" s="36">
        <f>SUM(V132:V153)</f>
        <v>74522</v>
      </c>
      <c r="W155" s="40"/>
      <c r="X155" s="36">
        <f>SUM(X132:X153)</f>
        <v>71597.910000000018</v>
      </c>
      <c r="Y155" s="36">
        <f>SUM(Y132:Y153)</f>
        <v>82745</v>
      </c>
      <c r="Z155" s="40"/>
      <c r="AA155" s="36">
        <f>SUM(AA132:AA153)</f>
        <v>70362.33</v>
      </c>
      <c r="AB155" s="36">
        <f>SUM(AB132:AB153)</f>
        <v>74495</v>
      </c>
      <c r="AC155" s="36">
        <f>SUM(AC132:AC153)</f>
        <v>706280.33000000007</v>
      </c>
      <c r="AD155" s="36">
        <f>SUM(AD132:AD153)</f>
        <v>807491</v>
      </c>
      <c r="AE155" s="40"/>
      <c r="AF155" s="36">
        <f>SUM(AF132:AF153)</f>
        <v>796901</v>
      </c>
      <c r="AG155" s="36">
        <f>SUM(AG132:AG153)</f>
        <v>5800001</v>
      </c>
      <c r="AH155" s="44"/>
      <c r="AI155" s="36">
        <f>SUM(AI132:AI153)</f>
        <v>725001</v>
      </c>
      <c r="AJ155" s="36">
        <f>SUM(AJ132:AJ153)</f>
        <v>5075000</v>
      </c>
      <c r="AK155" s="3"/>
    </row>
    <row r="156" spans="1:37">
      <c r="A156" s="21"/>
      <c r="B156" s="2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37"/>
      <c r="AG156" s="37"/>
      <c r="AH156" s="45"/>
      <c r="AI156" s="37"/>
      <c r="AJ156" s="37"/>
      <c r="AK156" s="3"/>
    </row>
    <row r="157" spans="1:37">
      <c r="A157" s="17" t="s">
        <v>324</v>
      </c>
      <c r="B157" s="16" t="s">
        <v>283</v>
      </c>
      <c r="C157" s="33">
        <v>5972.88</v>
      </c>
      <c r="D157" s="33">
        <v>5685</v>
      </c>
      <c r="E157" s="33"/>
      <c r="F157" s="33">
        <v>6459.46</v>
      </c>
      <c r="G157" s="33">
        <v>5685</v>
      </c>
      <c r="H157" s="33"/>
      <c r="I157" s="33">
        <v>5716.59</v>
      </c>
      <c r="J157" s="33">
        <v>5685</v>
      </c>
      <c r="K157" s="33"/>
      <c r="L157" s="33">
        <v>6419.16</v>
      </c>
      <c r="M157" s="33">
        <v>5685</v>
      </c>
      <c r="N157" s="33"/>
      <c r="O157" s="33">
        <v>9773.69</v>
      </c>
      <c r="P157" s="33">
        <v>8542</v>
      </c>
      <c r="Q157" s="33"/>
      <c r="R157" s="33">
        <v>7291.99</v>
      </c>
      <c r="S157" s="33">
        <v>5685</v>
      </c>
      <c r="T157" s="33"/>
      <c r="U157" s="33">
        <v>6042.44</v>
      </c>
      <c r="V157" s="33">
        <v>5685</v>
      </c>
      <c r="W157" s="33"/>
      <c r="X157" s="33">
        <v>5268.04</v>
      </c>
      <c r="Y157" s="33">
        <v>5685</v>
      </c>
      <c r="Z157" s="33"/>
      <c r="AA157" s="33">
        <v>3876.55</v>
      </c>
      <c r="AB157" s="33">
        <v>5685</v>
      </c>
      <c r="AC157" s="32">
        <f t="shared" ref="AC157:AC180" si="29">+C157+F157+I157+L157+O157+R157+U157+X157+AA157</f>
        <v>56820.800000000003</v>
      </c>
      <c r="AD157" s="32">
        <f t="shared" ref="AD157:AD180" si="30">+D157+G157+J157+M157+P157+S157+V157+Y157+AB157</f>
        <v>54022</v>
      </c>
      <c r="AE157" s="33"/>
      <c r="AF157" s="24">
        <v>73917</v>
      </c>
      <c r="AG157" s="24">
        <v>73917</v>
      </c>
      <c r="AH157" s="39"/>
      <c r="AI157" s="24">
        <f t="shared" ref="AI157:AI178" si="31">+AG157</f>
        <v>73917</v>
      </c>
      <c r="AJ157" s="24"/>
      <c r="AK157" s="3"/>
    </row>
    <row r="158" spans="1:37">
      <c r="A158" s="17" t="s">
        <v>325</v>
      </c>
      <c r="B158" s="16" t="s">
        <v>285</v>
      </c>
      <c r="C158" s="33">
        <v>449.05</v>
      </c>
      <c r="D158" s="33">
        <v>455</v>
      </c>
      <c r="E158" s="33"/>
      <c r="F158" s="33">
        <v>520.12</v>
      </c>
      <c r="G158" s="33">
        <v>455</v>
      </c>
      <c r="H158" s="33"/>
      <c r="I158" s="33">
        <v>488.13</v>
      </c>
      <c r="J158" s="33">
        <v>455</v>
      </c>
      <c r="K158" s="33"/>
      <c r="L158" s="33">
        <v>470.42</v>
      </c>
      <c r="M158" s="33">
        <v>455</v>
      </c>
      <c r="N158" s="33"/>
      <c r="O158" s="33">
        <v>740.65</v>
      </c>
      <c r="P158" s="33">
        <v>682</v>
      </c>
      <c r="Q158" s="33"/>
      <c r="R158" s="33">
        <v>526.9</v>
      </c>
      <c r="S158" s="33">
        <v>455</v>
      </c>
      <c r="T158" s="33"/>
      <c r="U158" s="33">
        <v>458.81</v>
      </c>
      <c r="V158" s="33">
        <v>455</v>
      </c>
      <c r="W158" s="33"/>
      <c r="X158" s="33">
        <v>457.14</v>
      </c>
      <c r="Y158" s="33">
        <v>455</v>
      </c>
      <c r="Z158" s="33"/>
      <c r="AA158" s="33">
        <v>468.89</v>
      </c>
      <c r="AB158" s="33">
        <v>455</v>
      </c>
      <c r="AC158" s="32">
        <f t="shared" si="29"/>
        <v>4580.1100000000006</v>
      </c>
      <c r="AD158" s="32">
        <f t="shared" si="30"/>
        <v>4322</v>
      </c>
      <c r="AE158" s="33"/>
      <c r="AF158" s="24">
        <f>539+5374</f>
        <v>5913</v>
      </c>
      <c r="AG158" s="24">
        <f>539+5374</f>
        <v>5913</v>
      </c>
      <c r="AH158" s="39"/>
      <c r="AI158" s="24">
        <f t="shared" si="31"/>
        <v>5913</v>
      </c>
      <c r="AJ158" s="24"/>
      <c r="AK158" s="3"/>
    </row>
    <row r="159" spans="1:37">
      <c r="A159" s="17" t="s">
        <v>326</v>
      </c>
      <c r="B159" s="16" t="s">
        <v>287</v>
      </c>
      <c r="C159" s="33">
        <v>2735.58</v>
      </c>
      <c r="D159" s="33">
        <v>3060</v>
      </c>
      <c r="E159" s="33"/>
      <c r="F159" s="33">
        <v>2769.52</v>
      </c>
      <c r="G159" s="33">
        <v>3060</v>
      </c>
      <c r="H159" s="33"/>
      <c r="I159" s="33">
        <v>2806.7</v>
      </c>
      <c r="J159" s="33">
        <v>3060</v>
      </c>
      <c r="K159" s="33"/>
      <c r="L159" s="33">
        <v>3462.66</v>
      </c>
      <c r="M159" s="33">
        <v>3060</v>
      </c>
      <c r="N159" s="33"/>
      <c r="O159" s="33">
        <v>3462.62</v>
      </c>
      <c r="P159" s="33">
        <v>3064</v>
      </c>
      <c r="Q159" s="33"/>
      <c r="R159" s="33">
        <v>3462.64</v>
      </c>
      <c r="S159" s="33">
        <v>3064</v>
      </c>
      <c r="T159" s="33"/>
      <c r="U159" s="33">
        <v>3462.64</v>
      </c>
      <c r="V159" s="33">
        <v>3064</v>
      </c>
      <c r="W159" s="33"/>
      <c r="X159" s="33">
        <v>3462.64</v>
      </c>
      <c r="Y159" s="33">
        <v>3064</v>
      </c>
      <c r="Z159" s="33"/>
      <c r="AA159" s="33">
        <v>3462.64</v>
      </c>
      <c r="AB159" s="33">
        <v>3065</v>
      </c>
      <c r="AC159" s="32">
        <f t="shared" si="29"/>
        <v>29087.639999999996</v>
      </c>
      <c r="AD159" s="32">
        <f t="shared" si="30"/>
        <v>27561</v>
      </c>
      <c r="AE159" s="33"/>
      <c r="AF159" s="24">
        <f>34404+1502+407+443</f>
        <v>36756</v>
      </c>
      <c r="AG159" s="24">
        <f>34404+1502+407+443</f>
        <v>36756</v>
      </c>
      <c r="AH159" s="39"/>
      <c r="AI159" s="24">
        <f t="shared" si="31"/>
        <v>36756</v>
      </c>
      <c r="AJ159" s="24"/>
      <c r="AK159" s="3"/>
    </row>
    <row r="160" spans="1:37">
      <c r="A160" s="17" t="s">
        <v>327</v>
      </c>
      <c r="B160" s="16" t="s">
        <v>289</v>
      </c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>
        <v>0</v>
      </c>
      <c r="S160" s="33"/>
      <c r="T160" s="33"/>
      <c r="U160" s="33">
        <v>0</v>
      </c>
      <c r="V160" s="33">
        <v>0</v>
      </c>
      <c r="W160" s="33"/>
      <c r="X160" s="33">
        <v>0</v>
      </c>
      <c r="Y160" s="33"/>
      <c r="Z160" s="33"/>
      <c r="AA160" s="33">
        <v>0</v>
      </c>
      <c r="AB160" s="33"/>
      <c r="AC160" s="32">
        <f t="shared" si="29"/>
        <v>0</v>
      </c>
      <c r="AD160" s="32">
        <f t="shared" si="30"/>
        <v>0</v>
      </c>
      <c r="AE160" s="33"/>
      <c r="AF160" s="24"/>
      <c r="AG160" s="24"/>
      <c r="AH160" s="39"/>
      <c r="AI160" s="24">
        <f t="shared" si="31"/>
        <v>0</v>
      </c>
      <c r="AJ160" s="24"/>
      <c r="AK160" s="3"/>
    </row>
    <row r="161" spans="1:38">
      <c r="A161" s="17" t="s">
        <v>328</v>
      </c>
      <c r="B161" s="16" t="s">
        <v>329</v>
      </c>
      <c r="C161" s="33">
        <v>284.5</v>
      </c>
      <c r="D161" s="33">
        <v>40</v>
      </c>
      <c r="E161" s="33"/>
      <c r="F161" s="33"/>
      <c r="G161" s="33">
        <v>42</v>
      </c>
      <c r="H161" s="33"/>
      <c r="I161" s="33"/>
      <c r="J161" s="33">
        <v>40</v>
      </c>
      <c r="K161" s="33"/>
      <c r="L161" s="33"/>
      <c r="M161" s="33">
        <v>42</v>
      </c>
      <c r="N161" s="33"/>
      <c r="O161" s="33"/>
      <c r="P161" s="33">
        <v>42</v>
      </c>
      <c r="Q161" s="33"/>
      <c r="R161" s="33"/>
      <c r="S161" s="33">
        <v>42</v>
      </c>
      <c r="T161" s="33"/>
      <c r="U161" s="33">
        <v>0</v>
      </c>
      <c r="V161" s="33">
        <v>42</v>
      </c>
      <c r="W161" s="33"/>
      <c r="X161" s="33">
        <v>0</v>
      </c>
      <c r="Y161" s="33">
        <v>42</v>
      </c>
      <c r="Z161" s="33"/>
      <c r="AA161" s="33">
        <v>0</v>
      </c>
      <c r="AB161" s="33">
        <v>42</v>
      </c>
      <c r="AC161" s="32">
        <f t="shared" si="29"/>
        <v>284.5</v>
      </c>
      <c r="AD161" s="32">
        <f t="shared" si="30"/>
        <v>374</v>
      </c>
      <c r="AE161" s="33"/>
      <c r="AF161" s="24">
        <v>500</v>
      </c>
      <c r="AG161" s="24">
        <v>500</v>
      </c>
      <c r="AH161" s="39"/>
      <c r="AI161" s="24">
        <f t="shared" si="31"/>
        <v>500</v>
      </c>
      <c r="AJ161" s="24"/>
      <c r="AK161" s="3"/>
    </row>
    <row r="162" spans="1:38">
      <c r="A162" s="17" t="s">
        <v>330</v>
      </c>
      <c r="B162" s="16" t="s">
        <v>291</v>
      </c>
      <c r="C162" s="33">
        <v>162.01</v>
      </c>
      <c r="D162" s="33">
        <v>27</v>
      </c>
      <c r="E162" s="33"/>
      <c r="F162" s="33">
        <v>162.01</v>
      </c>
      <c r="G162" s="33">
        <v>27</v>
      </c>
      <c r="H162" s="33"/>
      <c r="I162" s="33">
        <v>162.01</v>
      </c>
      <c r="J162" s="33">
        <v>27</v>
      </c>
      <c r="K162" s="33"/>
      <c r="L162" s="33">
        <v>162.01</v>
      </c>
      <c r="M162" s="33">
        <v>27</v>
      </c>
      <c r="N162" s="33"/>
      <c r="O162" s="33">
        <v>162.01</v>
      </c>
      <c r="P162" s="33">
        <v>27</v>
      </c>
      <c r="Q162" s="33"/>
      <c r="R162" s="33">
        <v>26.49</v>
      </c>
      <c r="S162" s="33">
        <v>27</v>
      </c>
      <c r="T162" s="33"/>
      <c r="U162" s="33">
        <v>66.25</v>
      </c>
      <c r="V162" s="33">
        <v>27</v>
      </c>
      <c r="W162" s="33"/>
      <c r="X162" s="33">
        <v>26.49</v>
      </c>
      <c r="Y162" s="33">
        <v>27</v>
      </c>
      <c r="Z162" s="33"/>
      <c r="AA162" s="33">
        <v>26.49</v>
      </c>
      <c r="AB162" s="33">
        <v>28</v>
      </c>
      <c r="AC162" s="32">
        <f t="shared" si="29"/>
        <v>955.77</v>
      </c>
      <c r="AD162" s="32">
        <f t="shared" si="30"/>
        <v>244</v>
      </c>
      <c r="AE162" s="33"/>
      <c r="AF162" s="24">
        <f>296+30</f>
        <v>326</v>
      </c>
      <c r="AG162" s="24">
        <f>296+30</f>
        <v>326</v>
      </c>
      <c r="AH162" s="39"/>
      <c r="AI162" s="24">
        <f t="shared" si="31"/>
        <v>326</v>
      </c>
      <c r="AJ162" s="24"/>
      <c r="AK162" s="3"/>
      <c r="AL162" s="3"/>
    </row>
    <row r="163" spans="1:38">
      <c r="A163" s="17" t="s">
        <v>331</v>
      </c>
      <c r="B163" s="16" t="s">
        <v>293</v>
      </c>
      <c r="C163" s="33"/>
      <c r="D163" s="33"/>
      <c r="E163" s="33"/>
      <c r="F163" s="33">
        <v>3683.21</v>
      </c>
      <c r="G163" s="33">
        <v>8325</v>
      </c>
      <c r="H163" s="33"/>
      <c r="I163" s="33">
        <v>19675.48</v>
      </c>
      <c r="J163" s="33">
        <v>16650</v>
      </c>
      <c r="K163" s="33"/>
      <c r="L163" s="33">
        <v>21149.07</v>
      </c>
      <c r="M163" s="33">
        <v>16650</v>
      </c>
      <c r="N163" s="33"/>
      <c r="O163" s="33">
        <v>33084.36</v>
      </c>
      <c r="P163" s="33">
        <v>24975</v>
      </c>
      <c r="Q163" s="33"/>
      <c r="R163" s="33">
        <v>13386.21</v>
      </c>
      <c r="S163" s="33">
        <v>16650</v>
      </c>
      <c r="T163" s="33"/>
      <c r="U163" s="33">
        <v>75.08</v>
      </c>
      <c r="V163" s="33">
        <v>0</v>
      </c>
      <c r="W163" s="33"/>
      <c r="X163" s="33">
        <v>0</v>
      </c>
      <c r="Y163" s="33">
        <v>0</v>
      </c>
      <c r="Z163" s="33"/>
      <c r="AA163" s="33">
        <v>0</v>
      </c>
      <c r="AB163" s="33">
        <v>0</v>
      </c>
      <c r="AC163" s="32">
        <f t="shared" si="29"/>
        <v>91053.409999999989</v>
      </c>
      <c r="AD163" s="32">
        <f t="shared" si="30"/>
        <v>83250</v>
      </c>
      <c r="AE163" s="33"/>
      <c r="AF163" s="24">
        <v>83250</v>
      </c>
      <c r="AG163" s="24">
        <v>83250</v>
      </c>
      <c r="AH163" s="39"/>
      <c r="AI163" s="24">
        <f t="shared" si="31"/>
        <v>83250</v>
      </c>
      <c r="AJ163" s="24"/>
      <c r="AK163" s="3"/>
    </row>
    <row r="164" spans="1:38">
      <c r="A164" s="17" t="s">
        <v>332</v>
      </c>
      <c r="B164" s="16" t="s">
        <v>295</v>
      </c>
      <c r="C164" s="33"/>
      <c r="D164" s="33"/>
      <c r="E164" s="33"/>
      <c r="F164" s="33">
        <v>338.24</v>
      </c>
      <c r="G164" s="33">
        <v>833</v>
      </c>
      <c r="H164" s="33"/>
      <c r="I164" s="33">
        <v>1748.93</v>
      </c>
      <c r="J164" s="33">
        <v>1665</v>
      </c>
      <c r="K164" s="33"/>
      <c r="L164" s="33">
        <v>1635.22</v>
      </c>
      <c r="M164" s="33">
        <v>1665</v>
      </c>
      <c r="N164" s="33"/>
      <c r="O164" s="33">
        <v>2495.7399999999998</v>
      </c>
      <c r="P164" s="33">
        <v>2497</v>
      </c>
      <c r="Q164" s="33"/>
      <c r="R164" s="33">
        <v>585.66</v>
      </c>
      <c r="S164" s="33">
        <v>1665</v>
      </c>
      <c r="T164" s="33"/>
      <c r="U164" s="33">
        <v>5.75</v>
      </c>
      <c r="V164" s="33">
        <v>0</v>
      </c>
      <c r="W164" s="33"/>
      <c r="X164" s="33">
        <v>0</v>
      </c>
      <c r="Y164" s="33">
        <v>0</v>
      </c>
      <c r="Z164" s="33"/>
      <c r="AA164" s="33">
        <v>0</v>
      </c>
      <c r="AB164" s="33">
        <v>0</v>
      </c>
      <c r="AC164" s="32">
        <f t="shared" si="29"/>
        <v>6809.54</v>
      </c>
      <c r="AD164" s="32">
        <f t="shared" si="30"/>
        <v>8325</v>
      </c>
      <c r="AE164" s="33"/>
      <c r="AF164" s="24">
        <v>8325</v>
      </c>
      <c r="AG164" s="24">
        <v>8325</v>
      </c>
      <c r="AH164" s="39"/>
      <c r="AI164" s="24">
        <f t="shared" si="31"/>
        <v>8325</v>
      </c>
      <c r="AJ164" s="24"/>
      <c r="AK164" s="3"/>
    </row>
    <row r="165" spans="1:38">
      <c r="A165" s="17" t="s">
        <v>333</v>
      </c>
      <c r="B165" s="16" t="s">
        <v>334</v>
      </c>
      <c r="C165" s="33">
        <v>2874.49</v>
      </c>
      <c r="D165" s="33">
        <v>3000</v>
      </c>
      <c r="E165" s="33"/>
      <c r="F165" s="33">
        <v>84</v>
      </c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>
        <v>0</v>
      </c>
      <c r="S165" s="33">
        <v>0</v>
      </c>
      <c r="T165" s="33"/>
      <c r="U165" s="33">
        <v>0</v>
      </c>
      <c r="V165" s="33">
        <v>0</v>
      </c>
      <c r="W165" s="33"/>
      <c r="X165" s="33">
        <v>0</v>
      </c>
      <c r="Y165" s="33">
        <v>0</v>
      </c>
      <c r="Z165" s="33"/>
      <c r="AA165" s="33">
        <v>0</v>
      </c>
      <c r="AB165" s="33">
        <v>0</v>
      </c>
      <c r="AC165" s="32">
        <f t="shared" si="29"/>
        <v>2958.49</v>
      </c>
      <c r="AD165" s="32">
        <f t="shared" si="30"/>
        <v>3000</v>
      </c>
      <c r="AE165" s="33"/>
      <c r="AF165" s="24">
        <v>3000</v>
      </c>
      <c r="AG165" s="24">
        <v>3000</v>
      </c>
      <c r="AH165" s="39"/>
      <c r="AI165" s="24">
        <f t="shared" si="31"/>
        <v>3000</v>
      </c>
      <c r="AJ165" s="24"/>
      <c r="AK165" s="3"/>
    </row>
    <row r="166" spans="1:38">
      <c r="A166" s="17" t="s">
        <v>335</v>
      </c>
      <c r="B166" s="16" t="s">
        <v>297</v>
      </c>
      <c r="C166" s="33">
        <v>-492.7</v>
      </c>
      <c r="D166" s="33">
        <v>31</v>
      </c>
      <c r="E166" s="33"/>
      <c r="F166" s="33">
        <v>-492.7</v>
      </c>
      <c r="G166" s="33">
        <v>31</v>
      </c>
      <c r="H166" s="33"/>
      <c r="I166" s="33">
        <v>-492.7</v>
      </c>
      <c r="J166" s="33">
        <v>30</v>
      </c>
      <c r="K166" s="33"/>
      <c r="L166" s="33">
        <v>-492.7</v>
      </c>
      <c r="M166" s="33">
        <v>30</v>
      </c>
      <c r="N166" s="33"/>
      <c r="O166" s="33">
        <v>-492.7</v>
      </c>
      <c r="P166" s="33">
        <v>31</v>
      </c>
      <c r="Q166" s="33"/>
      <c r="R166" s="33">
        <v>29.86</v>
      </c>
      <c r="S166" s="33">
        <v>30</v>
      </c>
      <c r="T166" s="33"/>
      <c r="U166" s="33">
        <v>74.53</v>
      </c>
      <c r="V166" s="33">
        <v>31</v>
      </c>
      <c r="W166" s="33"/>
      <c r="X166" s="33">
        <v>29.86</v>
      </c>
      <c r="Y166" s="33">
        <v>30</v>
      </c>
      <c r="Z166" s="33"/>
      <c r="AA166" s="33">
        <v>29.86</v>
      </c>
      <c r="AB166" s="33">
        <v>31</v>
      </c>
      <c r="AC166" s="32">
        <f t="shared" si="29"/>
        <v>-2299.3899999999994</v>
      </c>
      <c r="AD166" s="32">
        <f t="shared" si="30"/>
        <v>275</v>
      </c>
      <c r="AE166" s="33"/>
      <c r="AF166" s="24">
        <v>366.3</v>
      </c>
      <c r="AG166" s="24">
        <v>366</v>
      </c>
      <c r="AH166" s="39"/>
      <c r="AI166" s="24">
        <f t="shared" si="31"/>
        <v>366</v>
      </c>
      <c r="AJ166" s="24"/>
      <c r="AK166" s="3"/>
      <c r="AL166" s="3"/>
    </row>
    <row r="167" spans="1:38">
      <c r="A167" s="17" t="s">
        <v>336</v>
      </c>
      <c r="B167" s="16" t="s">
        <v>299</v>
      </c>
      <c r="C167" s="33">
        <v>810.93</v>
      </c>
      <c r="D167" s="33">
        <v>927</v>
      </c>
      <c r="E167" s="33"/>
      <c r="F167" s="33">
        <v>1067.77</v>
      </c>
      <c r="G167" s="33">
        <v>928</v>
      </c>
      <c r="H167" s="33"/>
      <c r="I167" s="33">
        <v>447.54</v>
      </c>
      <c r="J167" s="33">
        <v>927</v>
      </c>
      <c r="K167" s="33"/>
      <c r="L167" s="33">
        <v>1055.21</v>
      </c>
      <c r="M167" s="33">
        <v>928</v>
      </c>
      <c r="N167" s="33"/>
      <c r="O167" s="33">
        <v>767.89</v>
      </c>
      <c r="P167" s="33">
        <v>927</v>
      </c>
      <c r="Q167" s="33"/>
      <c r="R167" s="33">
        <v>1091.73</v>
      </c>
      <c r="S167" s="33">
        <v>928</v>
      </c>
      <c r="T167" s="33"/>
      <c r="U167" s="33">
        <v>429.55</v>
      </c>
      <c r="V167" s="33">
        <v>927</v>
      </c>
      <c r="W167" s="33"/>
      <c r="X167" s="33">
        <v>729.64</v>
      </c>
      <c r="Y167" s="33">
        <v>928</v>
      </c>
      <c r="Z167" s="33"/>
      <c r="AA167" s="33">
        <v>2131.61</v>
      </c>
      <c r="AB167" s="33">
        <v>927</v>
      </c>
      <c r="AC167" s="32">
        <f t="shared" si="29"/>
        <v>8531.8700000000008</v>
      </c>
      <c r="AD167" s="32">
        <f t="shared" si="30"/>
        <v>8347</v>
      </c>
      <c r="AE167" s="33"/>
      <c r="AF167" s="24">
        <v>11130</v>
      </c>
      <c r="AG167" s="24">
        <v>11130</v>
      </c>
      <c r="AH167" s="39"/>
      <c r="AI167" s="24">
        <f t="shared" si="31"/>
        <v>11130</v>
      </c>
      <c r="AJ167" s="24"/>
      <c r="AK167" s="3"/>
    </row>
    <row r="168" spans="1:38">
      <c r="A168" s="17" t="s">
        <v>337</v>
      </c>
      <c r="B168" s="16" t="s">
        <v>301</v>
      </c>
      <c r="C168" s="33">
        <v>300</v>
      </c>
      <c r="D168" s="33">
        <v>240</v>
      </c>
      <c r="E168" s="33"/>
      <c r="F168" s="33"/>
      <c r="G168" s="33">
        <v>240</v>
      </c>
      <c r="H168" s="33"/>
      <c r="I168" s="33">
        <v>415</v>
      </c>
      <c r="J168" s="33">
        <v>240</v>
      </c>
      <c r="K168" s="33"/>
      <c r="L168" s="33">
        <v>300</v>
      </c>
      <c r="M168" s="33">
        <v>240</v>
      </c>
      <c r="N168" s="33"/>
      <c r="O168" s="33"/>
      <c r="P168" s="33">
        <v>240</v>
      </c>
      <c r="Q168" s="33"/>
      <c r="R168" s="33">
        <v>513</v>
      </c>
      <c r="S168" s="33">
        <v>240</v>
      </c>
      <c r="T168" s="33"/>
      <c r="U168" s="33">
        <v>0</v>
      </c>
      <c r="V168" s="33">
        <v>240</v>
      </c>
      <c r="W168" s="33"/>
      <c r="X168" s="33">
        <v>280</v>
      </c>
      <c r="Y168" s="33">
        <v>240</v>
      </c>
      <c r="Z168" s="33"/>
      <c r="AA168" s="33">
        <v>120</v>
      </c>
      <c r="AB168" s="33">
        <v>240</v>
      </c>
      <c r="AC168" s="32">
        <f t="shared" si="29"/>
        <v>1928</v>
      </c>
      <c r="AD168" s="32">
        <f t="shared" si="30"/>
        <v>2160</v>
      </c>
      <c r="AE168" s="33"/>
      <c r="AF168" s="24">
        <v>2880</v>
      </c>
      <c r="AG168" s="24">
        <v>2880</v>
      </c>
      <c r="AH168" s="39"/>
      <c r="AI168" s="24">
        <f t="shared" si="31"/>
        <v>2880</v>
      </c>
      <c r="AJ168" s="24"/>
      <c r="AK168" s="3"/>
    </row>
    <row r="169" spans="1:38">
      <c r="A169" s="17" t="s">
        <v>338</v>
      </c>
      <c r="B169" s="16" t="s">
        <v>303</v>
      </c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>
        <v>0</v>
      </c>
      <c r="S169" s="33">
        <v>0</v>
      </c>
      <c r="T169" s="33"/>
      <c r="U169" s="33">
        <v>0</v>
      </c>
      <c r="V169" s="33">
        <v>0</v>
      </c>
      <c r="W169" s="33"/>
      <c r="X169" s="33">
        <v>0</v>
      </c>
      <c r="Y169" s="33">
        <v>0</v>
      </c>
      <c r="Z169" s="33"/>
      <c r="AA169" s="33">
        <v>0</v>
      </c>
      <c r="AB169" s="33">
        <v>0</v>
      </c>
      <c r="AC169" s="32">
        <f t="shared" si="29"/>
        <v>0</v>
      </c>
      <c r="AD169" s="32">
        <f t="shared" si="30"/>
        <v>0</v>
      </c>
      <c r="AE169" s="33"/>
      <c r="AF169" s="24"/>
      <c r="AG169" s="24"/>
      <c r="AH169" s="39"/>
      <c r="AI169" s="24">
        <f t="shared" si="31"/>
        <v>0</v>
      </c>
      <c r="AJ169" s="24"/>
      <c r="AK169" s="3"/>
    </row>
    <row r="170" spans="1:38">
      <c r="A170" s="17" t="s">
        <v>339</v>
      </c>
      <c r="B170" s="16" t="s">
        <v>305</v>
      </c>
      <c r="C170" s="33"/>
      <c r="D170" s="33"/>
      <c r="E170" s="33"/>
      <c r="F170" s="33">
        <v>1658</v>
      </c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>
        <v>0</v>
      </c>
      <c r="S170" s="33">
        <v>0</v>
      </c>
      <c r="T170" s="33"/>
      <c r="U170" s="33">
        <v>6</v>
      </c>
      <c r="V170" s="33">
        <v>0</v>
      </c>
      <c r="W170" s="33"/>
      <c r="X170" s="33">
        <v>428.15</v>
      </c>
      <c r="Y170" s="33">
        <v>0</v>
      </c>
      <c r="Z170" s="33"/>
      <c r="AA170" s="33">
        <v>0</v>
      </c>
      <c r="AB170" s="33">
        <v>0</v>
      </c>
      <c r="AC170" s="32">
        <f t="shared" si="29"/>
        <v>2092.15</v>
      </c>
      <c r="AD170" s="32">
        <f t="shared" si="30"/>
        <v>0</v>
      </c>
      <c r="AE170" s="33"/>
      <c r="AF170" s="24"/>
      <c r="AG170" s="24"/>
      <c r="AH170" s="39"/>
      <c r="AI170" s="24">
        <f t="shared" si="31"/>
        <v>0</v>
      </c>
      <c r="AJ170" s="24"/>
      <c r="AK170" s="3"/>
    </row>
    <row r="171" spans="1:38">
      <c r="A171" s="17" t="s">
        <v>340</v>
      </c>
      <c r="B171" s="16" t="s">
        <v>341</v>
      </c>
      <c r="C171" s="33"/>
      <c r="D171" s="33">
        <v>16</v>
      </c>
      <c r="E171" s="33"/>
      <c r="F171" s="33"/>
      <c r="G171" s="33">
        <v>16</v>
      </c>
      <c r="H171" s="33"/>
      <c r="I171" s="33"/>
      <c r="J171" s="33">
        <v>16</v>
      </c>
      <c r="K171" s="33"/>
      <c r="L171" s="33"/>
      <c r="M171" s="33">
        <v>16</v>
      </c>
      <c r="N171" s="33"/>
      <c r="O171" s="33">
        <v>26.53</v>
      </c>
      <c r="P171" s="33">
        <v>17</v>
      </c>
      <c r="Q171" s="33"/>
      <c r="R171" s="33">
        <v>19.59</v>
      </c>
      <c r="S171" s="33">
        <v>17</v>
      </c>
      <c r="T171" s="33"/>
      <c r="U171" s="33">
        <v>0</v>
      </c>
      <c r="V171" s="33">
        <v>17</v>
      </c>
      <c r="W171" s="33"/>
      <c r="X171" s="33">
        <v>0</v>
      </c>
      <c r="Y171" s="33">
        <v>17</v>
      </c>
      <c r="Z171" s="33"/>
      <c r="AA171" s="33">
        <v>0</v>
      </c>
      <c r="AB171" s="33">
        <v>17</v>
      </c>
      <c r="AC171" s="32">
        <f t="shared" si="29"/>
        <v>46.120000000000005</v>
      </c>
      <c r="AD171" s="32">
        <f t="shared" si="30"/>
        <v>149</v>
      </c>
      <c r="AE171" s="33"/>
      <c r="AF171" s="24">
        <v>200</v>
      </c>
      <c r="AG171" s="24">
        <v>200</v>
      </c>
      <c r="AH171" s="39"/>
      <c r="AI171" s="24">
        <f t="shared" si="31"/>
        <v>200</v>
      </c>
      <c r="AJ171" s="24"/>
      <c r="AK171" s="3"/>
    </row>
    <row r="172" spans="1:38">
      <c r="A172" s="17" t="s">
        <v>342</v>
      </c>
      <c r="B172" s="16" t="s">
        <v>343</v>
      </c>
      <c r="C172" s="33"/>
      <c r="D172" s="33">
        <v>200</v>
      </c>
      <c r="E172" s="33"/>
      <c r="F172" s="33"/>
      <c r="G172" s="33">
        <v>210</v>
      </c>
      <c r="H172" s="33"/>
      <c r="I172" s="33"/>
      <c r="J172" s="33">
        <v>200</v>
      </c>
      <c r="K172" s="33"/>
      <c r="L172" s="33">
        <v>167.95</v>
      </c>
      <c r="M172" s="33">
        <v>210</v>
      </c>
      <c r="N172" s="33"/>
      <c r="O172" s="33">
        <v>216.35</v>
      </c>
      <c r="P172" s="33">
        <v>210</v>
      </c>
      <c r="Q172" s="33"/>
      <c r="R172" s="33">
        <v>0</v>
      </c>
      <c r="S172" s="33">
        <v>210</v>
      </c>
      <c r="T172" s="33"/>
      <c r="U172" s="33">
        <v>0</v>
      </c>
      <c r="V172" s="33">
        <v>210</v>
      </c>
      <c r="W172" s="33"/>
      <c r="X172" s="33">
        <v>0</v>
      </c>
      <c r="Y172" s="33">
        <v>210</v>
      </c>
      <c r="Z172" s="33"/>
      <c r="AA172" s="33">
        <v>0</v>
      </c>
      <c r="AB172" s="33">
        <v>210</v>
      </c>
      <c r="AC172" s="32">
        <f t="shared" si="29"/>
        <v>384.29999999999995</v>
      </c>
      <c r="AD172" s="32">
        <f t="shared" si="30"/>
        <v>1870</v>
      </c>
      <c r="AE172" s="33"/>
      <c r="AF172" s="24">
        <v>2500</v>
      </c>
      <c r="AG172" s="24">
        <v>2500</v>
      </c>
      <c r="AH172" s="39"/>
      <c r="AI172" s="24">
        <f t="shared" si="31"/>
        <v>2500</v>
      </c>
      <c r="AJ172" s="24"/>
      <c r="AK172" s="3"/>
    </row>
    <row r="173" spans="1:38">
      <c r="A173" s="17" t="s">
        <v>344</v>
      </c>
      <c r="B173" s="16" t="s">
        <v>311</v>
      </c>
      <c r="C173" s="33">
        <v>53.78</v>
      </c>
      <c r="D173" s="33">
        <v>40</v>
      </c>
      <c r="E173" s="33"/>
      <c r="F173" s="33">
        <v>26.89</v>
      </c>
      <c r="G173" s="33">
        <v>42</v>
      </c>
      <c r="H173" s="33"/>
      <c r="I173" s="33"/>
      <c r="J173" s="33">
        <v>40</v>
      </c>
      <c r="K173" s="33"/>
      <c r="L173" s="33"/>
      <c r="M173" s="33">
        <v>42</v>
      </c>
      <c r="N173" s="33"/>
      <c r="O173" s="33">
        <v>53.78</v>
      </c>
      <c r="P173" s="33">
        <v>42</v>
      </c>
      <c r="Q173" s="33"/>
      <c r="R173" s="33">
        <v>101.89</v>
      </c>
      <c r="S173" s="33">
        <v>42</v>
      </c>
      <c r="T173" s="33"/>
      <c r="U173" s="33">
        <v>0</v>
      </c>
      <c r="V173" s="33">
        <v>42</v>
      </c>
      <c r="W173" s="33"/>
      <c r="X173" s="33">
        <v>128.78</v>
      </c>
      <c r="Y173" s="33">
        <v>42</v>
      </c>
      <c r="Z173" s="33"/>
      <c r="AA173" s="33">
        <v>101.89</v>
      </c>
      <c r="AB173" s="33">
        <v>42</v>
      </c>
      <c r="AC173" s="32">
        <f t="shared" si="29"/>
        <v>467.01</v>
      </c>
      <c r="AD173" s="32">
        <f t="shared" si="30"/>
        <v>374</v>
      </c>
      <c r="AE173" s="33"/>
      <c r="AF173" s="24">
        <v>500</v>
      </c>
      <c r="AG173" s="24">
        <v>500</v>
      </c>
      <c r="AH173" s="39"/>
      <c r="AI173" s="24">
        <f t="shared" si="31"/>
        <v>500</v>
      </c>
      <c r="AJ173" s="24"/>
      <c r="AK173" s="3"/>
    </row>
    <row r="174" spans="1:38">
      <c r="A174" s="17" t="s">
        <v>345</v>
      </c>
      <c r="B174" s="16" t="s">
        <v>315</v>
      </c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>
        <v>0</v>
      </c>
      <c r="S174" s="33">
        <v>0</v>
      </c>
      <c r="T174" s="33"/>
      <c r="U174" s="33">
        <v>0</v>
      </c>
      <c r="V174" s="33">
        <v>0</v>
      </c>
      <c r="W174" s="33"/>
      <c r="X174" s="33">
        <v>0</v>
      </c>
      <c r="Y174" s="33">
        <v>0</v>
      </c>
      <c r="Z174" s="33"/>
      <c r="AA174" s="33">
        <v>0</v>
      </c>
      <c r="AB174" s="33">
        <v>0</v>
      </c>
      <c r="AC174" s="32">
        <f t="shared" si="29"/>
        <v>0</v>
      </c>
      <c r="AD174" s="32">
        <f t="shared" si="30"/>
        <v>0</v>
      </c>
      <c r="AE174" s="33"/>
      <c r="AF174" s="24"/>
      <c r="AG174" s="24"/>
      <c r="AH174" s="39"/>
      <c r="AI174" s="24">
        <f t="shared" si="31"/>
        <v>0</v>
      </c>
      <c r="AJ174" s="24"/>
      <c r="AK174" s="3"/>
    </row>
    <row r="175" spans="1:38">
      <c r="A175" s="17" t="s">
        <v>346</v>
      </c>
      <c r="B175" s="16" t="s">
        <v>317</v>
      </c>
      <c r="C175" s="33"/>
      <c r="D175" s="33">
        <v>80</v>
      </c>
      <c r="E175" s="33"/>
      <c r="F175" s="33"/>
      <c r="G175" s="33">
        <v>84</v>
      </c>
      <c r="H175" s="33"/>
      <c r="I175" s="33"/>
      <c r="J175" s="33">
        <v>80</v>
      </c>
      <c r="K175" s="33"/>
      <c r="L175" s="33"/>
      <c r="M175" s="33">
        <v>84</v>
      </c>
      <c r="N175" s="33"/>
      <c r="O175" s="33"/>
      <c r="P175" s="33">
        <v>84</v>
      </c>
      <c r="Q175" s="33"/>
      <c r="R175" s="33">
        <v>0</v>
      </c>
      <c r="S175" s="33">
        <v>84</v>
      </c>
      <c r="T175" s="33"/>
      <c r="U175" s="33">
        <v>0</v>
      </c>
      <c r="V175" s="33">
        <v>84</v>
      </c>
      <c r="W175" s="33"/>
      <c r="X175" s="33">
        <v>0</v>
      </c>
      <c r="Y175" s="33">
        <v>84</v>
      </c>
      <c r="Z175" s="33"/>
      <c r="AA175" s="33">
        <v>0</v>
      </c>
      <c r="AB175" s="33">
        <v>84</v>
      </c>
      <c r="AC175" s="32">
        <f t="shared" si="29"/>
        <v>0</v>
      </c>
      <c r="AD175" s="32">
        <f t="shared" si="30"/>
        <v>748</v>
      </c>
      <c r="AE175" s="33"/>
      <c r="AF175" s="24">
        <v>1000</v>
      </c>
      <c r="AG175" s="24">
        <v>1000</v>
      </c>
      <c r="AH175" s="39"/>
      <c r="AI175" s="24">
        <f t="shared" si="31"/>
        <v>1000</v>
      </c>
      <c r="AJ175" s="24"/>
      <c r="AK175" s="3"/>
    </row>
    <row r="176" spans="1:38">
      <c r="A176" s="17" t="s">
        <v>347</v>
      </c>
      <c r="B176" s="16" t="s">
        <v>319</v>
      </c>
      <c r="C176" s="33">
        <v>588.28</v>
      </c>
      <c r="D176" s="33">
        <v>583</v>
      </c>
      <c r="E176" s="33"/>
      <c r="F176" s="33">
        <v>320.19</v>
      </c>
      <c r="G176" s="33">
        <v>583</v>
      </c>
      <c r="H176" s="33"/>
      <c r="I176" s="33">
        <v>109.37</v>
      </c>
      <c r="J176" s="33">
        <v>583</v>
      </c>
      <c r="K176" s="33"/>
      <c r="L176" s="33">
        <v>24.9</v>
      </c>
      <c r="M176" s="33">
        <v>584</v>
      </c>
      <c r="N176" s="33"/>
      <c r="O176" s="33">
        <v>250.65</v>
      </c>
      <c r="P176" s="33">
        <v>583</v>
      </c>
      <c r="Q176" s="33"/>
      <c r="R176" s="33">
        <v>174.89</v>
      </c>
      <c r="S176" s="33">
        <v>583</v>
      </c>
      <c r="T176" s="33"/>
      <c r="U176" s="33">
        <v>2</v>
      </c>
      <c r="V176" s="33">
        <v>583</v>
      </c>
      <c r="W176" s="33"/>
      <c r="X176" s="33">
        <v>181.46</v>
      </c>
      <c r="Y176" s="33">
        <v>584</v>
      </c>
      <c r="Z176" s="33"/>
      <c r="AA176" s="33">
        <v>2</v>
      </c>
      <c r="AB176" s="33">
        <v>583</v>
      </c>
      <c r="AC176" s="32">
        <f t="shared" si="29"/>
        <v>1653.7400000000002</v>
      </c>
      <c r="AD176" s="32">
        <f t="shared" si="30"/>
        <v>5249</v>
      </c>
      <c r="AE176" s="33"/>
      <c r="AF176" s="24">
        <v>7000</v>
      </c>
      <c r="AG176" s="24">
        <v>7000</v>
      </c>
      <c r="AH176" s="39"/>
      <c r="AI176" s="24">
        <f t="shared" si="31"/>
        <v>7000</v>
      </c>
      <c r="AJ176" s="24"/>
      <c r="AK176" s="3"/>
    </row>
    <row r="177" spans="1:38">
      <c r="A177" s="17" t="s">
        <v>348</v>
      </c>
      <c r="B177" s="16" t="s">
        <v>219</v>
      </c>
      <c r="C177" s="33">
        <v>14.99</v>
      </c>
      <c r="D177" s="33">
        <v>125</v>
      </c>
      <c r="E177" s="33"/>
      <c r="F177" s="33"/>
      <c r="G177" s="33">
        <v>125</v>
      </c>
      <c r="H177" s="33"/>
      <c r="I177" s="33"/>
      <c r="J177" s="33">
        <v>125</v>
      </c>
      <c r="K177" s="33"/>
      <c r="L177" s="33">
        <v>29.95</v>
      </c>
      <c r="M177" s="33">
        <v>125</v>
      </c>
      <c r="N177" s="33"/>
      <c r="O177" s="33">
        <v>217.11</v>
      </c>
      <c r="P177" s="33">
        <v>125</v>
      </c>
      <c r="Q177" s="33"/>
      <c r="R177" s="33">
        <v>185.84</v>
      </c>
      <c r="S177" s="33">
        <v>125</v>
      </c>
      <c r="T177" s="33"/>
      <c r="U177" s="33">
        <v>0</v>
      </c>
      <c r="V177" s="33">
        <v>125</v>
      </c>
      <c r="W177" s="33"/>
      <c r="X177" s="33">
        <v>0</v>
      </c>
      <c r="Y177" s="33">
        <v>125</v>
      </c>
      <c r="Z177" s="33"/>
      <c r="AA177" s="33">
        <v>0</v>
      </c>
      <c r="AB177" s="33">
        <v>125</v>
      </c>
      <c r="AC177" s="32">
        <f t="shared" si="29"/>
        <v>447.89</v>
      </c>
      <c r="AD177" s="32">
        <f t="shared" si="30"/>
        <v>1125</v>
      </c>
      <c r="AE177" s="33"/>
      <c r="AF177" s="24">
        <v>1500</v>
      </c>
      <c r="AG177" s="24">
        <v>1500</v>
      </c>
      <c r="AH177" s="39"/>
      <c r="AI177" s="24">
        <f t="shared" si="31"/>
        <v>1500</v>
      </c>
      <c r="AJ177" s="24"/>
      <c r="AK177" s="3"/>
    </row>
    <row r="178" spans="1:38">
      <c r="A178" s="17" t="s">
        <v>349</v>
      </c>
      <c r="B178" s="16" t="s">
        <v>350</v>
      </c>
      <c r="C178" s="33">
        <v>350</v>
      </c>
      <c r="D178" s="33">
        <v>125</v>
      </c>
      <c r="E178" s="33"/>
      <c r="F178" s="33">
        <v>60</v>
      </c>
      <c r="G178" s="33">
        <v>125</v>
      </c>
      <c r="H178" s="33"/>
      <c r="I178" s="33">
        <v>233</v>
      </c>
      <c r="J178" s="33">
        <v>125</v>
      </c>
      <c r="K178" s="33"/>
      <c r="L178" s="33">
        <v>40</v>
      </c>
      <c r="M178" s="33">
        <v>125</v>
      </c>
      <c r="N178" s="33"/>
      <c r="O178" s="33"/>
      <c r="P178" s="33">
        <v>125</v>
      </c>
      <c r="Q178" s="33"/>
      <c r="R178" s="33">
        <v>20</v>
      </c>
      <c r="S178" s="33">
        <v>125</v>
      </c>
      <c r="T178" s="33"/>
      <c r="U178" s="33">
        <v>0</v>
      </c>
      <c r="V178" s="33">
        <v>125</v>
      </c>
      <c r="W178" s="33"/>
      <c r="X178" s="33">
        <v>0</v>
      </c>
      <c r="Y178" s="33">
        <v>125</v>
      </c>
      <c r="Z178" s="33"/>
      <c r="AA178" s="33">
        <v>0</v>
      </c>
      <c r="AB178" s="33">
        <v>125</v>
      </c>
      <c r="AC178" s="32">
        <f t="shared" si="29"/>
        <v>703</v>
      </c>
      <c r="AD178" s="32">
        <f t="shared" si="30"/>
        <v>1125</v>
      </c>
      <c r="AE178" s="33"/>
      <c r="AF178" s="24">
        <v>1500</v>
      </c>
      <c r="AG178" s="24">
        <v>1500</v>
      </c>
      <c r="AH178" s="39"/>
      <c r="AI178" s="24">
        <f t="shared" si="31"/>
        <v>1500</v>
      </c>
      <c r="AJ178" s="24"/>
      <c r="AK178" s="3"/>
    </row>
    <row r="179" spans="1:38">
      <c r="A179" s="17">
        <v>6052000</v>
      </c>
      <c r="B179" s="16" t="s">
        <v>351</v>
      </c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>
        <v>0</v>
      </c>
      <c r="S179" s="33">
        <v>0</v>
      </c>
      <c r="T179" s="33"/>
      <c r="U179" s="33"/>
      <c r="V179" s="33"/>
      <c r="W179" s="33"/>
      <c r="X179" s="33">
        <v>0</v>
      </c>
      <c r="Y179" s="33">
        <v>0</v>
      </c>
      <c r="Z179" s="33"/>
      <c r="AA179" s="33">
        <v>0</v>
      </c>
      <c r="AB179" s="33">
        <v>0</v>
      </c>
      <c r="AC179" s="32">
        <f t="shared" si="29"/>
        <v>0</v>
      </c>
      <c r="AD179" s="32">
        <f t="shared" si="30"/>
        <v>0</v>
      </c>
      <c r="AE179" s="33"/>
      <c r="AF179" s="24"/>
      <c r="AG179" s="24"/>
      <c r="AH179" s="39"/>
      <c r="AI179" s="24">
        <v>0</v>
      </c>
      <c r="AJ179" s="24"/>
      <c r="AK179" s="3"/>
    </row>
    <row r="180" spans="1:38">
      <c r="A180" s="17">
        <v>6052050</v>
      </c>
      <c r="B180" s="16" t="s">
        <v>323</v>
      </c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>
        <v>0</v>
      </c>
      <c r="S180" s="33">
        <v>0</v>
      </c>
      <c r="T180" s="33"/>
      <c r="U180" s="33"/>
      <c r="V180" s="33"/>
      <c r="W180" s="33"/>
      <c r="X180" s="33">
        <v>0</v>
      </c>
      <c r="Y180" s="33">
        <v>0</v>
      </c>
      <c r="Z180" s="33"/>
      <c r="AA180" s="33">
        <v>0</v>
      </c>
      <c r="AB180" s="33">
        <v>0</v>
      </c>
      <c r="AC180" s="32">
        <f t="shared" si="29"/>
        <v>0</v>
      </c>
      <c r="AD180" s="32">
        <f t="shared" si="30"/>
        <v>0</v>
      </c>
      <c r="AE180" s="33"/>
      <c r="AF180" s="24"/>
      <c r="AG180" s="24"/>
      <c r="AH180" s="39"/>
      <c r="AI180" s="24"/>
      <c r="AJ180" s="24"/>
      <c r="AK180" s="3"/>
    </row>
    <row r="181" spans="1:38">
      <c r="A181" s="17"/>
      <c r="B181" s="16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24"/>
      <c r="AG181" s="24"/>
      <c r="AH181" s="39"/>
      <c r="AI181" s="24"/>
      <c r="AJ181" s="24"/>
      <c r="AK181" s="3"/>
    </row>
    <row r="182" spans="1:38">
      <c r="A182" s="21"/>
      <c r="B182" s="20" t="s">
        <v>352</v>
      </c>
      <c r="C182" s="36">
        <f>SUM(C157:C179)</f>
        <v>14103.79</v>
      </c>
      <c r="D182" s="36">
        <f>SUM(D157:D179)</f>
        <v>14634</v>
      </c>
      <c r="E182" s="40"/>
      <c r="F182" s="36">
        <f>SUM(F157:F179)</f>
        <v>16656.71</v>
      </c>
      <c r="G182" s="36">
        <f>SUM(G157:G179)</f>
        <v>20811</v>
      </c>
      <c r="H182" s="40"/>
      <c r="I182" s="36">
        <f>SUM(I157:I179)</f>
        <v>31310.05</v>
      </c>
      <c r="J182" s="36">
        <f>SUM(J157:J179)</f>
        <v>29948</v>
      </c>
      <c r="K182" s="40"/>
      <c r="L182" s="36">
        <f>SUM(L157:L179)</f>
        <v>34423.85</v>
      </c>
      <c r="M182" s="36">
        <f>SUM(M157:M179)</f>
        <v>29968</v>
      </c>
      <c r="N182" s="40"/>
      <c r="O182" s="36">
        <f>SUM(O157:O179)</f>
        <v>50758.68</v>
      </c>
      <c r="P182" s="36">
        <f>SUM(P157:P179)</f>
        <v>42213</v>
      </c>
      <c r="Q182" s="40"/>
      <c r="R182" s="36">
        <f>SUM(R157:R180)</f>
        <v>27416.689999999995</v>
      </c>
      <c r="S182" s="36">
        <f>SUM(S157:S180)</f>
        <v>29972</v>
      </c>
      <c r="T182" s="40"/>
      <c r="U182" s="36">
        <f>SUM(U157:U180)</f>
        <v>10623.05</v>
      </c>
      <c r="V182" s="36">
        <f>SUM(V157:V180)</f>
        <v>11657</v>
      </c>
      <c r="W182" s="40"/>
      <c r="X182" s="36">
        <f>SUM(X157:X180)</f>
        <v>10992.199999999999</v>
      </c>
      <c r="Y182" s="36">
        <f>SUM(Y157:Y180)</f>
        <v>11658</v>
      </c>
      <c r="Z182" s="40"/>
      <c r="AA182" s="36">
        <f>SUM(AA157:AA180)</f>
        <v>10219.929999999998</v>
      </c>
      <c r="AB182" s="36">
        <f>SUM(AB157:AB180)</f>
        <v>11659</v>
      </c>
      <c r="AC182" s="36">
        <f>SUM(AC157:AC180)</f>
        <v>206504.94999999998</v>
      </c>
      <c r="AD182" s="36">
        <f>SUM(AD157:AD180)</f>
        <v>202520</v>
      </c>
      <c r="AE182" s="40"/>
      <c r="AF182" s="36">
        <f>SUM(AF157:AF179)</f>
        <v>240563.3</v>
      </c>
      <c r="AG182" s="36">
        <f>SUM(AG157:AG179)</f>
        <v>240563</v>
      </c>
      <c r="AH182" s="44"/>
      <c r="AI182" s="36">
        <f>SUM(AI157:AI179)</f>
        <v>240563</v>
      </c>
      <c r="AJ182" s="36">
        <f>SUM(AJ157:AJ179)</f>
        <v>0</v>
      </c>
      <c r="AK182" s="3"/>
    </row>
    <row r="183" spans="1:38">
      <c r="A183" s="21"/>
      <c r="B183" s="2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37"/>
      <c r="AG183" s="37"/>
      <c r="AH183" s="45"/>
      <c r="AI183" s="37"/>
      <c r="AJ183" s="37"/>
      <c r="AK183" s="3"/>
    </row>
    <row r="184" spans="1:38">
      <c r="A184" s="17" t="s">
        <v>353</v>
      </c>
      <c r="B184" s="16" t="s">
        <v>283</v>
      </c>
      <c r="C184" s="33">
        <v>7813.28</v>
      </c>
      <c r="D184" s="33">
        <v>8505</v>
      </c>
      <c r="E184" s="33"/>
      <c r="F184" s="33">
        <v>7409.51</v>
      </c>
      <c r="G184" s="33">
        <v>8505</v>
      </c>
      <c r="H184" s="33"/>
      <c r="I184" s="33">
        <v>8547.4500000000007</v>
      </c>
      <c r="J184" s="33">
        <v>8505</v>
      </c>
      <c r="K184" s="33"/>
      <c r="L184" s="33">
        <v>8730.84</v>
      </c>
      <c r="M184" s="33">
        <v>8505</v>
      </c>
      <c r="N184" s="33"/>
      <c r="O184" s="33">
        <v>11737.85</v>
      </c>
      <c r="P184" s="33">
        <v>12769</v>
      </c>
      <c r="Q184" s="33"/>
      <c r="R184" s="33">
        <v>8892.14</v>
      </c>
      <c r="S184" s="33">
        <v>8505</v>
      </c>
      <c r="T184" s="33"/>
      <c r="U184" s="33">
        <v>6891.13</v>
      </c>
      <c r="V184" s="33">
        <v>8505</v>
      </c>
      <c r="W184" s="33"/>
      <c r="X184" s="33">
        <v>7055.2</v>
      </c>
      <c r="Y184" s="33">
        <v>8505</v>
      </c>
      <c r="Z184" s="33"/>
      <c r="AA184" s="33">
        <v>6813.5</v>
      </c>
      <c r="AB184" s="33">
        <v>8505</v>
      </c>
      <c r="AC184" s="32">
        <f t="shared" ref="AC184:AC196" si="32">+C184+F184+I184+L184+O184+R184+U184+X184+AA184</f>
        <v>73890.899999999994</v>
      </c>
      <c r="AD184" s="32">
        <f t="shared" ref="AD184:AD196" si="33">+D184+G184+J184+M184+P184+S184+V184+Y184+AB184</f>
        <v>80809</v>
      </c>
      <c r="AE184" s="33"/>
      <c r="AF184" s="24">
        <v>110589</v>
      </c>
      <c r="AG184" s="24">
        <v>110589</v>
      </c>
      <c r="AH184" s="39"/>
      <c r="AI184" s="24">
        <f t="shared" ref="AI184:AI196" si="34">+AG184</f>
        <v>110589</v>
      </c>
      <c r="AJ184" s="24"/>
      <c r="AK184" s="3"/>
    </row>
    <row r="185" spans="1:38">
      <c r="A185" s="17" t="s">
        <v>354</v>
      </c>
      <c r="B185" s="16" t="s">
        <v>285</v>
      </c>
      <c r="C185" s="33">
        <v>532.96</v>
      </c>
      <c r="D185" s="33">
        <v>680</v>
      </c>
      <c r="E185" s="33"/>
      <c r="F185" s="33">
        <v>545.96</v>
      </c>
      <c r="G185" s="33">
        <v>681</v>
      </c>
      <c r="H185" s="33"/>
      <c r="I185" s="33">
        <v>633.20000000000005</v>
      </c>
      <c r="J185" s="33">
        <v>680</v>
      </c>
      <c r="K185" s="33"/>
      <c r="L185" s="33">
        <v>641.09</v>
      </c>
      <c r="M185" s="33">
        <v>681</v>
      </c>
      <c r="N185" s="33"/>
      <c r="O185" s="33">
        <v>881.6</v>
      </c>
      <c r="P185" s="33">
        <v>1021</v>
      </c>
      <c r="Q185" s="33"/>
      <c r="R185" s="33">
        <v>646.69000000000005</v>
      </c>
      <c r="S185" s="33">
        <v>681</v>
      </c>
      <c r="T185" s="33"/>
      <c r="U185" s="33">
        <v>637.13</v>
      </c>
      <c r="V185" s="33">
        <v>680</v>
      </c>
      <c r="W185" s="33"/>
      <c r="X185" s="33">
        <v>114.18</v>
      </c>
      <c r="Y185" s="33">
        <v>680</v>
      </c>
      <c r="Z185" s="33"/>
      <c r="AA185" s="33">
        <v>650.51</v>
      </c>
      <c r="AB185" s="33">
        <v>680</v>
      </c>
      <c r="AC185" s="32">
        <f t="shared" si="32"/>
        <v>5283.3200000000006</v>
      </c>
      <c r="AD185" s="32">
        <f t="shared" si="33"/>
        <v>6464</v>
      </c>
      <c r="AE185" s="33"/>
      <c r="AF185" s="24">
        <v>8847</v>
      </c>
      <c r="AG185" s="24">
        <v>8847</v>
      </c>
      <c r="AH185" s="39"/>
      <c r="AI185" s="24">
        <f t="shared" si="34"/>
        <v>8847</v>
      </c>
      <c r="AJ185" s="24"/>
      <c r="AK185" s="3"/>
    </row>
    <row r="186" spans="1:38">
      <c r="A186" s="17" t="s">
        <v>355</v>
      </c>
      <c r="B186" s="16" t="s">
        <v>287</v>
      </c>
      <c r="C186" s="33">
        <v>1192.1300000000001</v>
      </c>
      <c r="D186" s="33">
        <v>1324</v>
      </c>
      <c r="E186" s="33"/>
      <c r="F186" s="33">
        <v>1212.77</v>
      </c>
      <c r="G186" s="33">
        <v>1324</v>
      </c>
      <c r="H186" s="33"/>
      <c r="I186" s="33">
        <v>1227.1300000000001</v>
      </c>
      <c r="J186" s="33">
        <v>1324</v>
      </c>
      <c r="K186" s="33"/>
      <c r="L186" s="33">
        <v>1479.95</v>
      </c>
      <c r="M186" s="33">
        <v>1325</v>
      </c>
      <c r="N186" s="33"/>
      <c r="O186" s="33">
        <v>1479.95</v>
      </c>
      <c r="P186" s="33">
        <v>1324</v>
      </c>
      <c r="Q186" s="33"/>
      <c r="R186" s="33">
        <v>1479.95</v>
      </c>
      <c r="S186" s="33">
        <v>1324</v>
      </c>
      <c r="T186" s="33"/>
      <c r="U186" s="33">
        <v>1479.95</v>
      </c>
      <c r="V186" s="33">
        <v>1324</v>
      </c>
      <c r="W186" s="33"/>
      <c r="X186" s="33">
        <v>1479.95</v>
      </c>
      <c r="Y186" s="33">
        <v>1325</v>
      </c>
      <c r="Z186" s="33"/>
      <c r="AA186" s="33">
        <v>1479.95</v>
      </c>
      <c r="AB186" s="33">
        <v>1324</v>
      </c>
      <c r="AC186" s="32">
        <f t="shared" si="32"/>
        <v>12511.730000000001</v>
      </c>
      <c r="AD186" s="32">
        <f t="shared" si="33"/>
        <v>11918</v>
      </c>
      <c r="AE186" s="33"/>
      <c r="AF186" s="24">
        <v>15891</v>
      </c>
      <c r="AG186" s="24">
        <v>15891</v>
      </c>
      <c r="AH186" s="39"/>
      <c r="AI186" s="24">
        <f t="shared" si="34"/>
        <v>15891</v>
      </c>
      <c r="AJ186" s="24"/>
      <c r="AK186" s="3"/>
    </row>
    <row r="187" spans="1:38">
      <c r="A187" s="17" t="s">
        <v>356</v>
      </c>
      <c r="B187" s="16" t="s">
        <v>289</v>
      </c>
      <c r="C187" s="33">
        <v>147.36000000000001</v>
      </c>
      <c r="D187" s="33">
        <v>150</v>
      </c>
      <c r="E187" s="33"/>
      <c r="F187" s="33">
        <v>150</v>
      </c>
      <c r="G187" s="33">
        <v>150</v>
      </c>
      <c r="H187" s="33"/>
      <c r="I187" s="33">
        <v>150</v>
      </c>
      <c r="J187" s="33">
        <v>150</v>
      </c>
      <c r="K187" s="33"/>
      <c r="L187" s="33">
        <v>150</v>
      </c>
      <c r="M187" s="33">
        <v>150</v>
      </c>
      <c r="N187" s="33"/>
      <c r="O187" s="33">
        <v>225</v>
      </c>
      <c r="P187" s="33">
        <v>225</v>
      </c>
      <c r="Q187" s="33"/>
      <c r="R187" s="33">
        <v>150</v>
      </c>
      <c r="S187" s="33">
        <v>150</v>
      </c>
      <c r="T187" s="33"/>
      <c r="U187" s="33">
        <v>150</v>
      </c>
      <c r="V187" s="33">
        <v>150</v>
      </c>
      <c r="W187" s="33"/>
      <c r="X187" s="33">
        <v>150</v>
      </c>
      <c r="Y187" s="33">
        <v>150</v>
      </c>
      <c r="Z187" s="33"/>
      <c r="AA187" s="33">
        <v>150</v>
      </c>
      <c r="AB187" s="33">
        <v>150</v>
      </c>
      <c r="AC187" s="32">
        <f t="shared" si="32"/>
        <v>1422.3600000000001</v>
      </c>
      <c r="AD187" s="32">
        <f t="shared" si="33"/>
        <v>1425</v>
      </c>
      <c r="AE187" s="33"/>
      <c r="AF187" s="24">
        <v>1950</v>
      </c>
      <c r="AG187" s="24">
        <v>1950</v>
      </c>
      <c r="AH187" s="39"/>
      <c r="AI187" s="24">
        <f t="shared" si="34"/>
        <v>1950</v>
      </c>
      <c r="AJ187" s="24"/>
      <c r="AK187" s="3"/>
    </row>
    <row r="188" spans="1:38">
      <c r="A188" s="17" t="s">
        <v>357</v>
      </c>
      <c r="B188" s="16" t="s">
        <v>329</v>
      </c>
      <c r="C188" s="33">
        <v>134.38999999999999</v>
      </c>
      <c r="D188" s="33">
        <v>16</v>
      </c>
      <c r="E188" s="33"/>
      <c r="F188" s="33"/>
      <c r="G188" s="33">
        <v>16</v>
      </c>
      <c r="H188" s="33"/>
      <c r="I188" s="33"/>
      <c r="J188" s="33">
        <v>16</v>
      </c>
      <c r="K188" s="33"/>
      <c r="L188" s="33"/>
      <c r="M188" s="33">
        <v>16</v>
      </c>
      <c r="N188" s="33"/>
      <c r="O188" s="33"/>
      <c r="P188" s="33">
        <v>17</v>
      </c>
      <c r="Q188" s="33"/>
      <c r="R188" s="33">
        <v>0</v>
      </c>
      <c r="S188" s="33">
        <v>17</v>
      </c>
      <c r="T188" s="33"/>
      <c r="U188" s="33">
        <v>0</v>
      </c>
      <c r="V188" s="33">
        <v>17</v>
      </c>
      <c r="W188" s="33"/>
      <c r="X188" s="33">
        <v>0</v>
      </c>
      <c r="Y188" s="33">
        <v>17</v>
      </c>
      <c r="Z188" s="33"/>
      <c r="AA188" s="33">
        <v>0</v>
      </c>
      <c r="AB188" s="33">
        <v>17</v>
      </c>
      <c r="AC188" s="32">
        <f t="shared" si="32"/>
        <v>134.38999999999999</v>
      </c>
      <c r="AD188" s="32">
        <f t="shared" si="33"/>
        <v>149</v>
      </c>
      <c r="AE188" s="33"/>
      <c r="AF188" s="24">
        <v>200</v>
      </c>
      <c r="AG188" s="24">
        <v>200</v>
      </c>
      <c r="AH188" s="39"/>
      <c r="AI188" s="24">
        <f t="shared" si="34"/>
        <v>200</v>
      </c>
      <c r="AJ188" s="24"/>
      <c r="AK188" s="3"/>
    </row>
    <row r="189" spans="1:38">
      <c r="A189" s="17" t="s">
        <v>358</v>
      </c>
      <c r="B189" s="16" t="s">
        <v>291</v>
      </c>
      <c r="C189" s="33">
        <v>311.11</v>
      </c>
      <c r="D189" s="33">
        <v>40</v>
      </c>
      <c r="E189" s="33"/>
      <c r="F189" s="33">
        <v>311.11</v>
      </c>
      <c r="G189" s="33">
        <v>40</v>
      </c>
      <c r="H189" s="33"/>
      <c r="I189" s="33">
        <v>311.11</v>
      </c>
      <c r="J189" s="33">
        <v>41</v>
      </c>
      <c r="K189" s="33"/>
      <c r="L189" s="33">
        <v>311.11</v>
      </c>
      <c r="M189" s="33">
        <v>40</v>
      </c>
      <c r="N189" s="33"/>
      <c r="O189" s="33">
        <v>311.11</v>
      </c>
      <c r="P189" s="33">
        <v>40</v>
      </c>
      <c r="Q189" s="33"/>
      <c r="R189" s="33">
        <v>39.700000000000003</v>
      </c>
      <c r="S189" s="33">
        <v>41</v>
      </c>
      <c r="T189" s="33"/>
      <c r="U189" s="33">
        <v>112.39</v>
      </c>
      <c r="V189" s="33">
        <v>40</v>
      </c>
      <c r="W189" s="33"/>
      <c r="X189" s="33">
        <v>39.700000000000003</v>
      </c>
      <c r="Y189" s="33">
        <v>41</v>
      </c>
      <c r="Z189" s="33"/>
      <c r="AA189" s="33">
        <v>39.700000000000003</v>
      </c>
      <c r="AB189" s="33">
        <v>41</v>
      </c>
      <c r="AC189" s="32">
        <f t="shared" si="32"/>
        <v>1787.0400000000004</v>
      </c>
      <c r="AD189" s="32">
        <f t="shared" si="33"/>
        <v>364</v>
      </c>
      <c r="AE189" s="33"/>
      <c r="AF189" s="24">
        <v>487</v>
      </c>
      <c r="AG189" s="24">
        <v>487</v>
      </c>
      <c r="AH189" s="39"/>
      <c r="AI189" s="24">
        <f t="shared" si="34"/>
        <v>487</v>
      </c>
      <c r="AJ189" s="24"/>
      <c r="AK189" s="3"/>
      <c r="AL189" s="3"/>
    </row>
    <row r="190" spans="1:38">
      <c r="A190" s="17" t="s">
        <v>359</v>
      </c>
      <c r="B190" s="16" t="s">
        <v>360</v>
      </c>
      <c r="C190" s="33">
        <v>136.19999999999999</v>
      </c>
      <c r="D190" s="33">
        <v>80</v>
      </c>
      <c r="E190" s="33"/>
      <c r="F190" s="33">
        <v>136.19999999999999</v>
      </c>
      <c r="G190" s="33">
        <v>84</v>
      </c>
      <c r="H190" s="33"/>
      <c r="I190" s="33">
        <v>189.77</v>
      </c>
      <c r="J190" s="33">
        <v>80</v>
      </c>
      <c r="K190" s="33"/>
      <c r="L190" s="33">
        <v>176.68</v>
      </c>
      <c r="M190" s="33">
        <v>84</v>
      </c>
      <c r="N190" s="33"/>
      <c r="O190" s="33"/>
      <c r="P190" s="33">
        <v>84</v>
      </c>
      <c r="Q190" s="33"/>
      <c r="R190" s="33">
        <v>353.48</v>
      </c>
      <c r="S190" s="33">
        <v>84</v>
      </c>
      <c r="T190" s="33"/>
      <c r="U190" s="33">
        <v>176.84</v>
      </c>
      <c r="V190" s="33">
        <v>84</v>
      </c>
      <c r="W190" s="33"/>
      <c r="X190" s="33">
        <v>131.38</v>
      </c>
      <c r="Y190" s="33">
        <v>84</v>
      </c>
      <c r="Z190" s="33"/>
      <c r="AA190" s="33">
        <v>131.38</v>
      </c>
      <c r="AB190" s="33">
        <v>84</v>
      </c>
      <c r="AC190" s="32">
        <f t="shared" si="32"/>
        <v>1431.9299999999998</v>
      </c>
      <c r="AD190" s="32">
        <f t="shared" si="33"/>
        <v>748</v>
      </c>
      <c r="AE190" s="33"/>
      <c r="AF190" s="24">
        <v>1000</v>
      </c>
      <c r="AG190" s="24">
        <v>1000</v>
      </c>
      <c r="AH190" s="39"/>
      <c r="AI190" s="24">
        <f t="shared" si="34"/>
        <v>1000</v>
      </c>
      <c r="AJ190" s="24"/>
      <c r="AK190" s="3"/>
    </row>
    <row r="191" spans="1:38">
      <c r="A191" s="17" t="s">
        <v>361</v>
      </c>
      <c r="B191" s="16" t="s">
        <v>341</v>
      </c>
      <c r="C191" s="33">
        <v>325.82</v>
      </c>
      <c r="D191" s="33">
        <v>200</v>
      </c>
      <c r="E191" s="33"/>
      <c r="F191" s="33">
        <v>192.31</v>
      </c>
      <c r="G191" s="33">
        <v>210</v>
      </c>
      <c r="H191" s="33"/>
      <c r="I191" s="33">
        <v>223.95</v>
      </c>
      <c r="J191" s="33">
        <v>200</v>
      </c>
      <c r="K191" s="33"/>
      <c r="L191" s="33">
        <v>227.66</v>
      </c>
      <c r="M191" s="33">
        <v>210</v>
      </c>
      <c r="N191" s="33"/>
      <c r="O191" s="33">
        <v>255.71</v>
      </c>
      <c r="P191" s="33">
        <v>210</v>
      </c>
      <c r="Q191" s="33"/>
      <c r="R191" s="33">
        <v>194.33</v>
      </c>
      <c r="S191" s="33">
        <v>210</v>
      </c>
      <c r="T191" s="33"/>
      <c r="U191" s="33">
        <v>0</v>
      </c>
      <c r="V191" s="33">
        <v>210</v>
      </c>
      <c r="W191" s="33"/>
      <c r="X191" s="33">
        <v>272.3</v>
      </c>
      <c r="Y191" s="33">
        <v>210</v>
      </c>
      <c r="Z191" s="33"/>
      <c r="AA191" s="33">
        <v>106.33</v>
      </c>
      <c r="AB191" s="33">
        <v>210</v>
      </c>
      <c r="AC191" s="32">
        <f t="shared" si="32"/>
        <v>1798.4099999999996</v>
      </c>
      <c r="AD191" s="32">
        <f t="shared" si="33"/>
        <v>1870</v>
      </c>
      <c r="AE191" s="33"/>
      <c r="AF191" s="24">
        <v>2500</v>
      </c>
      <c r="AG191" s="24">
        <v>2500</v>
      </c>
      <c r="AH191" s="39"/>
      <c r="AI191" s="24">
        <f t="shared" si="34"/>
        <v>2500</v>
      </c>
      <c r="AJ191" s="24"/>
      <c r="AK191" s="3"/>
    </row>
    <row r="192" spans="1:38">
      <c r="A192" s="17">
        <v>6060610</v>
      </c>
      <c r="B192" s="16" t="s">
        <v>343</v>
      </c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>
        <v>0</v>
      </c>
      <c r="S192" s="33">
        <v>0</v>
      </c>
      <c r="T192" s="33"/>
      <c r="U192" s="33">
        <v>0</v>
      </c>
      <c r="V192" s="33">
        <v>0</v>
      </c>
      <c r="W192" s="33"/>
      <c r="X192" s="33">
        <v>0</v>
      </c>
      <c r="Y192" s="33">
        <v>0</v>
      </c>
      <c r="Z192" s="33"/>
      <c r="AA192" s="33">
        <v>75.989999999999995</v>
      </c>
      <c r="AB192" s="33">
        <v>0</v>
      </c>
      <c r="AC192" s="32">
        <f t="shared" si="32"/>
        <v>75.989999999999995</v>
      </c>
      <c r="AD192" s="32">
        <f t="shared" si="33"/>
        <v>0</v>
      </c>
      <c r="AE192" s="33"/>
      <c r="AF192" s="24"/>
      <c r="AG192" s="24"/>
      <c r="AH192" s="39"/>
      <c r="AI192" s="24">
        <f t="shared" si="34"/>
        <v>0</v>
      </c>
      <c r="AJ192" s="24"/>
      <c r="AK192" s="3"/>
    </row>
    <row r="193" spans="1:38">
      <c r="A193" s="17" t="s">
        <v>362</v>
      </c>
      <c r="B193" s="16" t="s">
        <v>315</v>
      </c>
      <c r="C193" s="33"/>
      <c r="D193" s="33">
        <v>40</v>
      </c>
      <c r="E193" s="33"/>
      <c r="F193" s="33">
        <v>205</v>
      </c>
      <c r="G193" s="33">
        <v>42</v>
      </c>
      <c r="H193" s="33"/>
      <c r="I193" s="33"/>
      <c r="J193" s="33">
        <v>40</v>
      </c>
      <c r="K193" s="33"/>
      <c r="L193" s="33"/>
      <c r="M193" s="33">
        <v>42</v>
      </c>
      <c r="N193" s="33"/>
      <c r="O193" s="33"/>
      <c r="P193" s="33">
        <v>42</v>
      </c>
      <c r="Q193" s="33"/>
      <c r="R193" s="33">
        <v>0</v>
      </c>
      <c r="S193" s="33">
        <v>42</v>
      </c>
      <c r="T193" s="33"/>
      <c r="U193" s="33">
        <v>0</v>
      </c>
      <c r="V193" s="33">
        <v>42</v>
      </c>
      <c r="W193" s="33"/>
      <c r="X193" s="33">
        <v>0</v>
      </c>
      <c r="Y193" s="33">
        <v>42</v>
      </c>
      <c r="Z193" s="33"/>
      <c r="AA193" s="33">
        <v>0</v>
      </c>
      <c r="AB193" s="33">
        <v>42</v>
      </c>
      <c r="AC193" s="32">
        <f t="shared" si="32"/>
        <v>205</v>
      </c>
      <c r="AD193" s="32">
        <f t="shared" si="33"/>
        <v>374</v>
      </c>
      <c r="AE193" s="33"/>
      <c r="AF193" s="24">
        <v>500</v>
      </c>
      <c r="AG193" s="24">
        <v>500</v>
      </c>
      <c r="AH193" s="39"/>
      <c r="AI193" s="24">
        <f t="shared" si="34"/>
        <v>500</v>
      </c>
      <c r="AJ193" s="24"/>
      <c r="AK193" s="3"/>
    </row>
    <row r="194" spans="1:38">
      <c r="A194" s="17" t="s">
        <v>363</v>
      </c>
      <c r="B194" s="16" t="s">
        <v>317</v>
      </c>
      <c r="C194" s="33"/>
      <c r="D194" s="33">
        <v>80</v>
      </c>
      <c r="E194" s="33"/>
      <c r="F194" s="33"/>
      <c r="G194" s="33">
        <v>84</v>
      </c>
      <c r="H194" s="33"/>
      <c r="I194" s="33"/>
      <c r="J194" s="33">
        <v>80</v>
      </c>
      <c r="K194" s="33"/>
      <c r="L194" s="33"/>
      <c r="M194" s="33">
        <v>84</v>
      </c>
      <c r="N194" s="33"/>
      <c r="O194" s="33"/>
      <c r="P194" s="33">
        <v>84</v>
      </c>
      <c r="Q194" s="33"/>
      <c r="R194" s="33">
        <v>0</v>
      </c>
      <c r="S194" s="33">
        <v>84</v>
      </c>
      <c r="T194" s="33"/>
      <c r="U194" s="33">
        <v>20</v>
      </c>
      <c r="V194" s="33">
        <v>84</v>
      </c>
      <c r="W194" s="33"/>
      <c r="X194" s="33">
        <v>50</v>
      </c>
      <c r="Y194" s="33">
        <v>84</v>
      </c>
      <c r="Z194" s="33"/>
      <c r="AA194" s="33">
        <v>0</v>
      </c>
      <c r="AB194" s="33">
        <v>84</v>
      </c>
      <c r="AC194" s="32">
        <f t="shared" si="32"/>
        <v>70</v>
      </c>
      <c r="AD194" s="32">
        <f t="shared" si="33"/>
        <v>748</v>
      </c>
      <c r="AE194" s="33"/>
      <c r="AF194" s="24">
        <v>1000</v>
      </c>
      <c r="AG194" s="24">
        <v>1000</v>
      </c>
      <c r="AH194" s="39"/>
      <c r="AI194" s="24">
        <f t="shared" si="34"/>
        <v>1000</v>
      </c>
      <c r="AJ194" s="24"/>
      <c r="AK194" s="3"/>
    </row>
    <row r="195" spans="1:38">
      <c r="A195" s="17" t="s">
        <v>364</v>
      </c>
      <c r="B195" s="16" t="s">
        <v>319</v>
      </c>
      <c r="C195" s="33">
        <v>33.97</v>
      </c>
      <c r="D195" s="33">
        <v>200</v>
      </c>
      <c r="E195" s="33"/>
      <c r="F195" s="33">
        <v>120.8</v>
      </c>
      <c r="G195" s="33">
        <v>210</v>
      </c>
      <c r="H195" s="33"/>
      <c r="I195" s="33">
        <v>25.87</v>
      </c>
      <c r="J195" s="33">
        <v>200</v>
      </c>
      <c r="K195" s="33"/>
      <c r="L195" s="33"/>
      <c r="M195" s="33">
        <v>210</v>
      </c>
      <c r="N195" s="33"/>
      <c r="O195" s="33">
        <v>734.26</v>
      </c>
      <c r="P195" s="33">
        <v>210</v>
      </c>
      <c r="Q195" s="33"/>
      <c r="R195" s="33">
        <v>428.65</v>
      </c>
      <c r="S195" s="33">
        <v>210</v>
      </c>
      <c r="T195" s="33"/>
      <c r="U195" s="33">
        <v>0</v>
      </c>
      <c r="V195" s="33">
        <v>210</v>
      </c>
      <c r="W195" s="33"/>
      <c r="X195" s="33">
        <v>58.47</v>
      </c>
      <c r="Y195" s="33">
        <v>210</v>
      </c>
      <c r="Z195" s="33"/>
      <c r="AA195" s="33">
        <v>49.45</v>
      </c>
      <c r="AB195" s="33">
        <v>210</v>
      </c>
      <c r="AC195" s="32">
        <f t="shared" si="32"/>
        <v>1451.47</v>
      </c>
      <c r="AD195" s="32">
        <f t="shared" si="33"/>
        <v>1870</v>
      </c>
      <c r="AE195" s="33"/>
      <c r="AF195" s="24">
        <v>2500</v>
      </c>
      <c r="AG195" s="24">
        <v>2500</v>
      </c>
      <c r="AH195" s="39"/>
      <c r="AI195" s="24">
        <f t="shared" si="34"/>
        <v>2500</v>
      </c>
      <c r="AJ195" s="24"/>
      <c r="AK195" s="3"/>
    </row>
    <row r="196" spans="1:38">
      <c r="A196" s="17" t="s">
        <v>365</v>
      </c>
      <c r="B196" s="16" t="s">
        <v>219</v>
      </c>
      <c r="C196" s="33"/>
      <c r="D196" s="33">
        <v>20</v>
      </c>
      <c r="E196" s="33"/>
      <c r="F196" s="33"/>
      <c r="G196" s="33">
        <v>21</v>
      </c>
      <c r="H196" s="33"/>
      <c r="I196" s="33"/>
      <c r="J196" s="33">
        <v>20</v>
      </c>
      <c r="K196" s="33"/>
      <c r="L196" s="33"/>
      <c r="M196" s="33">
        <v>21</v>
      </c>
      <c r="N196" s="33"/>
      <c r="O196" s="33"/>
      <c r="P196" s="33">
        <v>21</v>
      </c>
      <c r="Q196" s="33"/>
      <c r="R196" s="33">
        <v>0</v>
      </c>
      <c r="S196" s="33">
        <v>21</v>
      </c>
      <c r="T196" s="33"/>
      <c r="U196" s="33">
        <v>0</v>
      </c>
      <c r="V196" s="33">
        <v>21</v>
      </c>
      <c r="W196" s="33"/>
      <c r="X196" s="33">
        <v>0</v>
      </c>
      <c r="Y196" s="33">
        <v>21</v>
      </c>
      <c r="Z196" s="33"/>
      <c r="AA196" s="33">
        <v>0</v>
      </c>
      <c r="AB196" s="33">
        <v>21</v>
      </c>
      <c r="AC196" s="32">
        <f t="shared" si="32"/>
        <v>0</v>
      </c>
      <c r="AD196" s="32">
        <f t="shared" si="33"/>
        <v>187</v>
      </c>
      <c r="AE196" s="33"/>
      <c r="AF196" s="24">
        <v>250</v>
      </c>
      <c r="AG196" s="24">
        <v>250</v>
      </c>
      <c r="AH196" s="39"/>
      <c r="AI196" s="24">
        <f t="shared" si="34"/>
        <v>250</v>
      </c>
      <c r="AJ196" s="24"/>
      <c r="AK196" s="3"/>
    </row>
    <row r="197" spans="1:38">
      <c r="A197" s="17"/>
      <c r="B197" s="16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24"/>
      <c r="AG197" s="24"/>
      <c r="AH197" s="39"/>
      <c r="AI197" s="24"/>
      <c r="AJ197" s="24"/>
      <c r="AK197" s="3"/>
    </row>
    <row r="198" spans="1:38">
      <c r="A198" s="21"/>
      <c r="B198" s="20" t="s">
        <v>366</v>
      </c>
      <c r="C198" s="36">
        <f>SUM(C184:C196)</f>
        <v>10627.22</v>
      </c>
      <c r="D198" s="36">
        <f>SUM(D184:D196)</f>
        <v>11335</v>
      </c>
      <c r="E198" s="40"/>
      <c r="F198" s="36">
        <f>SUM(F184:F196)</f>
        <v>10283.66</v>
      </c>
      <c r="G198" s="36">
        <f>SUM(G184:G196)</f>
        <v>11367</v>
      </c>
      <c r="H198" s="40"/>
      <c r="I198" s="36">
        <f>SUM(I184:I196)</f>
        <v>11308.480000000005</v>
      </c>
      <c r="J198" s="36">
        <f>SUM(J184:J196)</f>
        <v>11336</v>
      </c>
      <c r="K198" s="40"/>
      <c r="L198" s="36">
        <f>SUM(L184:L196)</f>
        <v>11717.330000000002</v>
      </c>
      <c r="M198" s="36">
        <f>SUM(M184:M196)</f>
        <v>11368</v>
      </c>
      <c r="N198" s="40"/>
      <c r="O198" s="36">
        <f>SUM(O184:O196)</f>
        <v>15625.480000000001</v>
      </c>
      <c r="P198" s="36">
        <f>SUM(P184:P196)</f>
        <v>16047</v>
      </c>
      <c r="Q198" s="40"/>
      <c r="R198" s="36">
        <f>SUM(R184:R196)</f>
        <v>12184.94</v>
      </c>
      <c r="S198" s="36">
        <f>SUM(S184:S196)</f>
        <v>11369</v>
      </c>
      <c r="T198" s="40"/>
      <c r="U198" s="36">
        <f>SUM(U184:U196)</f>
        <v>9467.44</v>
      </c>
      <c r="V198" s="36">
        <f>SUM(V184:V196)</f>
        <v>11367</v>
      </c>
      <c r="W198" s="40"/>
      <c r="X198" s="36">
        <f>SUM(X184:X196)</f>
        <v>9351.1799999999985</v>
      </c>
      <c r="Y198" s="36">
        <f>SUM(Y184:Y196)</f>
        <v>11369</v>
      </c>
      <c r="Z198" s="40"/>
      <c r="AA198" s="36">
        <f>SUM(AA184:AA196)</f>
        <v>9496.8100000000013</v>
      </c>
      <c r="AB198" s="36">
        <f>SUM(AB184:AB196)</f>
        <v>11368</v>
      </c>
      <c r="AC198" s="36">
        <f>SUM(AC184:AC196)</f>
        <v>100062.54</v>
      </c>
      <c r="AD198" s="36">
        <f>SUM(AD184:AD196)</f>
        <v>106926</v>
      </c>
      <c r="AE198" s="40"/>
      <c r="AF198" s="36">
        <f>SUM(AF184:AF196)</f>
        <v>145714</v>
      </c>
      <c r="AG198" s="36">
        <f>SUM(AG184:AG196)</f>
        <v>145714</v>
      </c>
      <c r="AH198" s="44"/>
      <c r="AI198" s="36">
        <f>SUM(AI184:AI196)</f>
        <v>145714</v>
      </c>
      <c r="AJ198" s="36">
        <f>SUM(AJ184:AJ196)</f>
        <v>0</v>
      </c>
      <c r="AK198" s="3"/>
    </row>
    <row r="199" spans="1:38">
      <c r="A199" s="21"/>
      <c r="B199" s="2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37"/>
      <c r="AG199" s="37"/>
      <c r="AH199" s="45"/>
      <c r="AI199" s="37"/>
      <c r="AJ199" s="37"/>
      <c r="AK199" s="3"/>
    </row>
    <row r="200" spans="1:38">
      <c r="A200" s="17" t="s">
        <v>367</v>
      </c>
      <c r="B200" s="16" t="s">
        <v>283</v>
      </c>
      <c r="C200" s="33">
        <v>2241.5100000000002</v>
      </c>
      <c r="D200" s="33">
        <v>3125</v>
      </c>
      <c r="E200" s="33"/>
      <c r="F200" s="33">
        <v>2433.4499999999998</v>
      </c>
      <c r="G200" s="33">
        <v>3125</v>
      </c>
      <c r="H200" s="33"/>
      <c r="I200" s="33">
        <v>3440.88</v>
      </c>
      <c r="J200" s="33">
        <v>3125</v>
      </c>
      <c r="K200" s="33"/>
      <c r="L200" s="33">
        <v>3254.31</v>
      </c>
      <c r="M200" s="33">
        <v>3125</v>
      </c>
      <c r="N200" s="33"/>
      <c r="O200" s="33">
        <v>4935.33</v>
      </c>
      <c r="P200" s="33">
        <v>4375</v>
      </c>
      <c r="Q200" s="33"/>
      <c r="R200" s="33">
        <v>2968.11</v>
      </c>
      <c r="S200" s="33">
        <v>3125</v>
      </c>
      <c r="T200" s="33"/>
      <c r="U200" s="33">
        <v>3362.04</v>
      </c>
      <c r="V200" s="33">
        <v>3125</v>
      </c>
      <c r="W200" s="33"/>
      <c r="X200" s="33">
        <v>2827.44</v>
      </c>
      <c r="Y200" s="33">
        <v>3125</v>
      </c>
      <c r="Z200" s="33"/>
      <c r="AA200" s="33">
        <v>2251.2600000000002</v>
      </c>
      <c r="AB200" s="33">
        <v>3125</v>
      </c>
      <c r="AC200" s="32">
        <f t="shared" ref="AC200:AC206" si="35">+C200+F200+I200+L200+O200+R200+U200+X200+AA200</f>
        <v>27714.33</v>
      </c>
      <c r="AD200" s="32">
        <f t="shared" ref="AD200:AD206" si="36">+D200+G200+J200+M200+P200+S200+V200+Y200+AB200</f>
        <v>29375</v>
      </c>
      <c r="AE200" s="33"/>
      <c r="AF200" s="24">
        <v>62859</v>
      </c>
      <c r="AG200" s="24">
        <v>40000</v>
      </c>
      <c r="AH200" s="39"/>
      <c r="AI200" s="24">
        <f t="shared" ref="AI200:AI206" si="37">+AG200</f>
        <v>40000</v>
      </c>
      <c r="AJ200" s="24"/>
      <c r="AK200" s="3"/>
    </row>
    <row r="201" spans="1:38">
      <c r="A201" s="17" t="s">
        <v>368</v>
      </c>
      <c r="B201" s="16" t="s">
        <v>285</v>
      </c>
      <c r="C201" s="33">
        <v>198.36</v>
      </c>
      <c r="D201" s="33">
        <v>260</v>
      </c>
      <c r="E201" s="33"/>
      <c r="F201" s="33">
        <v>199.38</v>
      </c>
      <c r="G201" s="33">
        <v>260</v>
      </c>
      <c r="H201" s="33"/>
      <c r="I201" s="33">
        <v>263.22000000000003</v>
      </c>
      <c r="J201" s="33">
        <v>260</v>
      </c>
      <c r="K201" s="33"/>
      <c r="L201" s="33">
        <v>248.96</v>
      </c>
      <c r="M201" s="33">
        <v>260</v>
      </c>
      <c r="N201" s="33"/>
      <c r="O201" s="33">
        <v>385.2</v>
      </c>
      <c r="P201" s="33">
        <v>300</v>
      </c>
      <c r="Q201" s="33"/>
      <c r="R201" s="33">
        <v>227.06</v>
      </c>
      <c r="S201" s="33">
        <v>260</v>
      </c>
      <c r="T201" s="33"/>
      <c r="U201" s="33">
        <v>257.2</v>
      </c>
      <c r="V201" s="33">
        <v>260</v>
      </c>
      <c r="W201" s="33"/>
      <c r="X201" s="33">
        <v>216.29</v>
      </c>
      <c r="Y201" s="33">
        <v>260</v>
      </c>
      <c r="Z201" s="33"/>
      <c r="AA201" s="33">
        <v>191.35</v>
      </c>
      <c r="AB201" s="33">
        <v>260</v>
      </c>
      <c r="AC201" s="32">
        <f t="shared" si="35"/>
        <v>2187.02</v>
      </c>
      <c r="AD201" s="32">
        <f t="shared" si="36"/>
        <v>2380</v>
      </c>
      <c r="AE201" s="33"/>
      <c r="AF201" s="24">
        <v>5029</v>
      </c>
      <c r="AG201" s="24">
        <f>+AG200*0.08</f>
        <v>3200</v>
      </c>
      <c r="AH201" s="39"/>
      <c r="AI201" s="24">
        <f t="shared" si="37"/>
        <v>3200</v>
      </c>
      <c r="AJ201" s="24"/>
      <c r="AK201" s="3"/>
    </row>
    <row r="202" spans="1:38">
      <c r="A202" s="17" t="s">
        <v>369</v>
      </c>
      <c r="B202" s="16" t="s">
        <v>329</v>
      </c>
      <c r="C202" s="33"/>
      <c r="D202" s="33"/>
      <c r="E202" s="33"/>
      <c r="F202" s="33">
        <v>97.9</v>
      </c>
      <c r="G202" s="33"/>
      <c r="H202" s="33"/>
      <c r="I202" s="33">
        <v>-14.65</v>
      </c>
      <c r="J202" s="33"/>
      <c r="K202" s="33"/>
      <c r="L202" s="33">
        <v>63.88</v>
      </c>
      <c r="M202" s="33"/>
      <c r="N202" s="33"/>
      <c r="O202" s="33">
        <v>177</v>
      </c>
      <c r="P202" s="33"/>
      <c r="Q202" s="33"/>
      <c r="R202" s="33">
        <v>0</v>
      </c>
      <c r="S202" s="33">
        <v>0</v>
      </c>
      <c r="T202" s="33"/>
      <c r="U202" s="33">
        <v>0</v>
      </c>
      <c r="V202" s="33">
        <v>0</v>
      </c>
      <c r="W202" s="33"/>
      <c r="X202" s="33">
        <v>0</v>
      </c>
      <c r="Y202" s="33">
        <v>0</v>
      </c>
      <c r="Z202" s="33"/>
      <c r="AA202" s="33">
        <v>0</v>
      </c>
      <c r="AB202" s="33">
        <v>0</v>
      </c>
      <c r="AC202" s="32">
        <f t="shared" si="35"/>
        <v>324.13</v>
      </c>
      <c r="AD202" s="32">
        <f t="shared" si="36"/>
        <v>0</v>
      </c>
      <c r="AE202" s="33"/>
      <c r="AF202" s="24"/>
      <c r="AG202" s="24"/>
      <c r="AH202" s="39"/>
      <c r="AI202" s="24">
        <f t="shared" si="37"/>
        <v>0</v>
      </c>
      <c r="AJ202" s="24"/>
      <c r="AK202" s="3"/>
    </row>
    <row r="203" spans="1:38">
      <c r="A203" s="17" t="s">
        <v>370</v>
      </c>
      <c r="B203" s="16" t="s">
        <v>291</v>
      </c>
      <c r="C203" s="33">
        <v>117.05</v>
      </c>
      <c r="D203" s="33">
        <v>7</v>
      </c>
      <c r="E203" s="33"/>
      <c r="F203" s="33">
        <v>117.05</v>
      </c>
      <c r="G203" s="33">
        <v>7</v>
      </c>
      <c r="H203" s="33"/>
      <c r="I203" s="33">
        <v>117.05</v>
      </c>
      <c r="J203" s="33">
        <v>6</v>
      </c>
      <c r="K203" s="33"/>
      <c r="L203" s="33">
        <v>117.05</v>
      </c>
      <c r="M203" s="33">
        <v>6</v>
      </c>
      <c r="N203" s="33"/>
      <c r="O203" s="33">
        <v>117.05</v>
      </c>
      <c r="P203" s="33">
        <v>7</v>
      </c>
      <c r="Q203" s="33"/>
      <c r="R203" s="33">
        <v>6.68</v>
      </c>
      <c r="S203" s="33">
        <v>7</v>
      </c>
      <c r="T203" s="33"/>
      <c r="U203" s="33">
        <v>11.92</v>
      </c>
      <c r="V203" s="33">
        <v>7</v>
      </c>
      <c r="W203" s="33"/>
      <c r="X203" s="33">
        <v>6.68</v>
      </c>
      <c r="Y203" s="33">
        <v>7</v>
      </c>
      <c r="Z203" s="33"/>
      <c r="AA203" s="33">
        <v>6.68</v>
      </c>
      <c r="AB203" s="33">
        <v>7</v>
      </c>
      <c r="AC203" s="32">
        <f t="shared" si="35"/>
        <v>617.20999999999981</v>
      </c>
      <c r="AD203" s="32">
        <f t="shared" si="36"/>
        <v>61</v>
      </c>
      <c r="AE203" s="33"/>
      <c r="AF203" s="24">
        <v>82</v>
      </c>
      <c r="AG203" s="24">
        <v>82</v>
      </c>
      <c r="AH203" s="39"/>
      <c r="AI203" s="24">
        <f t="shared" si="37"/>
        <v>82</v>
      </c>
      <c r="AJ203" s="24"/>
      <c r="AK203" s="3"/>
      <c r="AL203" s="3"/>
    </row>
    <row r="204" spans="1:38">
      <c r="A204" s="17">
        <v>6071100</v>
      </c>
      <c r="B204" s="16" t="s">
        <v>311</v>
      </c>
      <c r="C204" s="33"/>
      <c r="D204" s="33">
        <v>20</v>
      </c>
      <c r="E204" s="33"/>
      <c r="F204" s="33"/>
      <c r="G204" s="33">
        <v>21</v>
      </c>
      <c r="H204" s="33"/>
      <c r="I204" s="33"/>
      <c r="J204" s="33">
        <v>20</v>
      </c>
      <c r="K204" s="33"/>
      <c r="L204" s="33"/>
      <c r="M204" s="33">
        <v>21</v>
      </c>
      <c r="N204" s="33"/>
      <c r="O204" s="33"/>
      <c r="P204" s="33">
        <v>21</v>
      </c>
      <c r="Q204" s="33"/>
      <c r="R204" s="33">
        <v>0</v>
      </c>
      <c r="S204" s="33">
        <v>21</v>
      </c>
      <c r="T204" s="33"/>
      <c r="U204" s="33">
        <v>0</v>
      </c>
      <c r="V204" s="33">
        <v>21</v>
      </c>
      <c r="W204" s="33"/>
      <c r="X204" s="33">
        <v>0</v>
      </c>
      <c r="Y204" s="33">
        <v>21</v>
      </c>
      <c r="Z204" s="33"/>
      <c r="AA204" s="33">
        <v>0</v>
      </c>
      <c r="AB204" s="33">
        <v>21</v>
      </c>
      <c r="AC204" s="32">
        <f t="shared" si="35"/>
        <v>0</v>
      </c>
      <c r="AD204" s="32">
        <f t="shared" si="36"/>
        <v>187</v>
      </c>
      <c r="AE204" s="33"/>
      <c r="AF204" s="24">
        <v>250</v>
      </c>
      <c r="AG204" s="24">
        <v>250</v>
      </c>
      <c r="AH204" s="39"/>
      <c r="AI204" s="24">
        <f t="shared" si="37"/>
        <v>250</v>
      </c>
      <c r="AJ204" s="24"/>
      <c r="AK204" s="3"/>
    </row>
    <row r="205" spans="1:38">
      <c r="A205" s="17" t="s">
        <v>371</v>
      </c>
      <c r="B205" s="16" t="s">
        <v>319</v>
      </c>
      <c r="C205" s="33">
        <v>314.68</v>
      </c>
      <c r="D205" s="33">
        <v>100</v>
      </c>
      <c r="E205" s="33"/>
      <c r="F205" s="33"/>
      <c r="G205" s="33">
        <v>100</v>
      </c>
      <c r="H205" s="33"/>
      <c r="I205" s="33">
        <v>342.89</v>
      </c>
      <c r="J205" s="33">
        <v>100</v>
      </c>
      <c r="K205" s="33"/>
      <c r="L205" s="33">
        <v>88.95</v>
      </c>
      <c r="M205" s="33">
        <v>100</v>
      </c>
      <c r="N205" s="33"/>
      <c r="O205" s="33">
        <v>88.95</v>
      </c>
      <c r="P205" s="33">
        <v>100</v>
      </c>
      <c r="Q205" s="33"/>
      <c r="R205" s="33">
        <v>0</v>
      </c>
      <c r="S205" s="33">
        <v>100</v>
      </c>
      <c r="T205" s="33"/>
      <c r="U205" s="33">
        <v>32.08</v>
      </c>
      <c r="V205" s="33">
        <v>100</v>
      </c>
      <c r="W205" s="33"/>
      <c r="X205" s="33">
        <v>39.659999999999997</v>
      </c>
      <c r="Y205" s="33">
        <v>100</v>
      </c>
      <c r="Z205" s="33"/>
      <c r="AA205" s="33">
        <v>378.03</v>
      </c>
      <c r="AB205" s="33">
        <v>100</v>
      </c>
      <c r="AC205" s="32">
        <f t="shared" si="35"/>
        <v>1285.24</v>
      </c>
      <c r="AD205" s="32">
        <f t="shared" si="36"/>
        <v>900</v>
      </c>
      <c r="AE205" s="33"/>
      <c r="AF205" s="24">
        <v>1200</v>
      </c>
      <c r="AG205" s="24">
        <v>1200</v>
      </c>
      <c r="AH205" s="39"/>
      <c r="AI205" s="24">
        <f t="shared" si="37"/>
        <v>1200</v>
      </c>
      <c r="AJ205" s="24"/>
      <c r="AK205" s="3"/>
    </row>
    <row r="206" spans="1:38">
      <c r="A206" s="17" t="s">
        <v>372</v>
      </c>
      <c r="B206" s="16" t="s">
        <v>219</v>
      </c>
      <c r="C206" s="33"/>
      <c r="D206" s="33">
        <v>40</v>
      </c>
      <c r="E206" s="33"/>
      <c r="F206" s="33"/>
      <c r="G206" s="33">
        <v>42</v>
      </c>
      <c r="H206" s="33"/>
      <c r="I206" s="33"/>
      <c r="J206" s="33">
        <v>40</v>
      </c>
      <c r="K206" s="33"/>
      <c r="L206" s="33"/>
      <c r="M206" s="33">
        <v>42</v>
      </c>
      <c r="N206" s="33"/>
      <c r="O206" s="33"/>
      <c r="P206" s="33">
        <v>42</v>
      </c>
      <c r="Q206" s="33"/>
      <c r="R206" s="33">
        <v>0</v>
      </c>
      <c r="S206" s="33">
        <v>42</v>
      </c>
      <c r="T206" s="33"/>
      <c r="U206" s="33">
        <v>0</v>
      </c>
      <c r="V206" s="33">
        <v>42</v>
      </c>
      <c r="W206" s="33"/>
      <c r="X206" s="33">
        <v>0</v>
      </c>
      <c r="Y206" s="33">
        <v>42</v>
      </c>
      <c r="Z206" s="33"/>
      <c r="AA206" s="33">
        <v>0</v>
      </c>
      <c r="AB206" s="33">
        <v>42</v>
      </c>
      <c r="AC206" s="32">
        <f t="shared" si="35"/>
        <v>0</v>
      </c>
      <c r="AD206" s="32">
        <f t="shared" si="36"/>
        <v>374</v>
      </c>
      <c r="AE206" s="33"/>
      <c r="AF206" s="24">
        <v>500</v>
      </c>
      <c r="AG206" s="24">
        <v>500</v>
      </c>
      <c r="AH206" s="39"/>
      <c r="AI206" s="24">
        <f t="shared" si="37"/>
        <v>500</v>
      </c>
      <c r="AJ206" s="24"/>
      <c r="AK206" s="3"/>
    </row>
    <row r="207" spans="1:38">
      <c r="A207" s="17"/>
      <c r="B207" s="16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24"/>
      <c r="AG207" s="24"/>
      <c r="AH207" s="39"/>
      <c r="AI207" s="24"/>
      <c r="AJ207" s="24"/>
      <c r="AK207" s="3"/>
    </row>
    <row r="208" spans="1:38" s="22" customFormat="1">
      <c r="A208" s="21"/>
      <c r="B208" s="20" t="s">
        <v>48</v>
      </c>
      <c r="C208" s="36">
        <f>SUM(C200:C206)</f>
        <v>2871.6000000000004</v>
      </c>
      <c r="D208" s="36">
        <f>SUM(D200:D206)</f>
        <v>3552</v>
      </c>
      <c r="E208" s="40"/>
      <c r="F208" s="36">
        <f>SUM(F200:F206)</f>
        <v>2847.78</v>
      </c>
      <c r="G208" s="36">
        <f>SUM(G200:G206)</f>
        <v>3555</v>
      </c>
      <c r="H208" s="40"/>
      <c r="I208" s="36">
        <f>SUM(I200:I206)</f>
        <v>4149.3900000000003</v>
      </c>
      <c r="J208" s="36">
        <f>SUM(J200:J206)</f>
        <v>3551</v>
      </c>
      <c r="K208" s="40"/>
      <c r="L208" s="36">
        <f>SUM(L200:L206)</f>
        <v>3773.15</v>
      </c>
      <c r="M208" s="36">
        <f>SUM(M200:M206)</f>
        <v>3554</v>
      </c>
      <c r="N208" s="40"/>
      <c r="O208" s="36">
        <f>SUM(O200:O206)</f>
        <v>5703.53</v>
      </c>
      <c r="P208" s="36">
        <f>SUM(P200:P206)</f>
        <v>4845</v>
      </c>
      <c r="Q208" s="40"/>
      <c r="R208" s="36">
        <f>SUM(R200:R206)</f>
        <v>3201.85</v>
      </c>
      <c r="S208" s="36">
        <f>SUM(S200:S206)</f>
        <v>3555</v>
      </c>
      <c r="T208" s="40"/>
      <c r="U208" s="36">
        <f>SUM(U200:U207)</f>
        <v>3663.24</v>
      </c>
      <c r="V208" s="36">
        <f>SUM(V200:V206)</f>
        <v>3555</v>
      </c>
      <c r="W208" s="40"/>
      <c r="X208" s="36">
        <f>SUM(X200:X207)</f>
        <v>3090.0699999999997</v>
      </c>
      <c r="Y208" s="36">
        <f>SUM(Y200:Y206)</f>
        <v>3555</v>
      </c>
      <c r="Z208" s="40"/>
      <c r="AA208" s="36">
        <f>SUM(AA200:AA207)</f>
        <v>2827.3199999999997</v>
      </c>
      <c r="AB208" s="36">
        <f>SUM(AB200:AB206)</f>
        <v>3555</v>
      </c>
      <c r="AC208" s="36">
        <f>SUM(AC200:AC206)</f>
        <v>32127.930000000004</v>
      </c>
      <c r="AD208" s="36">
        <f>SUM(AD200:AD206)</f>
        <v>33277</v>
      </c>
      <c r="AE208" s="40"/>
      <c r="AF208" s="36">
        <f>SUM(AF200:AF206)</f>
        <v>69920</v>
      </c>
      <c r="AG208" s="36">
        <f>SUM(AG200:AG206)</f>
        <v>45232</v>
      </c>
      <c r="AH208" s="44"/>
      <c r="AI208" s="36">
        <f>SUM(AI200:AI206)</f>
        <v>45232</v>
      </c>
      <c r="AJ208" s="36">
        <f>SUM(AJ200:AJ206)</f>
        <v>0</v>
      </c>
      <c r="AK208" s="23"/>
    </row>
    <row r="209" spans="1:38" s="22" customFormat="1">
      <c r="A209" s="21"/>
      <c r="B209" s="2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37"/>
      <c r="AG209" s="37"/>
      <c r="AH209" s="45"/>
      <c r="AI209" s="37"/>
      <c r="AJ209" s="37"/>
      <c r="AK209" s="23"/>
    </row>
    <row r="210" spans="1:38">
      <c r="A210" s="12" t="s">
        <v>104</v>
      </c>
      <c r="B210" s="11" t="s">
        <v>373</v>
      </c>
      <c r="C210" s="34">
        <f>C208+C198+C182+C155+C130</f>
        <v>153881.06</v>
      </c>
      <c r="D210" s="34">
        <f>D208+D198+D182+D155+D130</f>
        <v>159240</v>
      </c>
      <c r="E210" s="40"/>
      <c r="F210" s="34">
        <f>F208+F198+F182+F155+F130</f>
        <v>175345.92999999996</v>
      </c>
      <c r="G210" s="34">
        <f>G208+G198+G182+G155+G130</f>
        <v>163423</v>
      </c>
      <c r="H210" s="40"/>
      <c r="I210" s="34">
        <f>I208+I198+I182+I155+I130</f>
        <v>225385.2</v>
      </c>
      <c r="J210" s="34">
        <f>J208+J198+J182+J155+J130</f>
        <v>175420</v>
      </c>
      <c r="K210" s="40"/>
      <c r="L210" s="34">
        <f>L208+L198+L182+L155+L130</f>
        <v>171406.19999999998</v>
      </c>
      <c r="M210" s="34">
        <f>M208+M198+M182+M155+M130</f>
        <v>208674</v>
      </c>
      <c r="N210" s="40"/>
      <c r="O210" s="34">
        <f>O208+O198+O182+O155+O130</f>
        <v>228539.34</v>
      </c>
      <c r="P210" s="34">
        <f>P208+P198+P182+P155+P130</f>
        <v>226581</v>
      </c>
      <c r="Q210" s="40"/>
      <c r="R210" s="34">
        <f>R208+R198+R182+R155+R130</f>
        <v>133569.96</v>
      </c>
      <c r="S210" s="34">
        <f>S208+S198+S182+S155+S130</f>
        <v>162926</v>
      </c>
      <c r="T210" s="40"/>
      <c r="U210" s="34">
        <f>U208+U198+U182+U155+U130</f>
        <v>117523.43</v>
      </c>
      <c r="V210" s="34">
        <f>V208+V198+V182+V155+V130</f>
        <v>132456</v>
      </c>
      <c r="W210" s="40"/>
      <c r="X210" s="34">
        <f>X208+X198+X182+X155+X130</f>
        <v>139586.14000000001</v>
      </c>
      <c r="Y210" s="34">
        <f>Y208+Y198+Y182+Y155+Y130</f>
        <v>140667</v>
      </c>
      <c r="Z210" s="40"/>
      <c r="AA210" s="34">
        <f>AA208+AA198+AA182+AA155+AA130</f>
        <v>120070.27</v>
      </c>
      <c r="AB210" s="34">
        <f>AB208+AB198+AB182+AB155+AB130</f>
        <v>144337</v>
      </c>
      <c r="AC210" s="34">
        <f>AC208+AC198+AC182+AC155+AC130</f>
        <v>1465307.53</v>
      </c>
      <c r="AD210" s="34">
        <f>AD208+AD198+AD182+AD155+AD130</f>
        <v>1513724</v>
      </c>
      <c r="AE210" s="40"/>
      <c r="AF210" s="34">
        <f>AF208+AF198+AF182+AF155+AF130</f>
        <v>1714098.3</v>
      </c>
      <c r="AG210" s="34">
        <f>AG208+AG198+AG182+AG155+AG130</f>
        <v>6689010</v>
      </c>
      <c r="AH210" s="39"/>
      <c r="AI210" s="34">
        <f>AI208+AI198+AI182+AI155+AI130</f>
        <v>1609010</v>
      </c>
      <c r="AJ210" s="34">
        <f>AJ208+AJ198+AJ182+AJ155+AJ130</f>
        <v>5080000</v>
      </c>
      <c r="AK210" s="3"/>
    </row>
    <row r="211" spans="1:38"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39"/>
      <c r="AI211" s="41"/>
      <c r="AJ211" s="41"/>
      <c r="AK211" s="3"/>
    </row>
    <row r="212" spans="1:38">
      <c r="A212" s="19" t="s">
        <v>374</v>
      </c>
      <c r="B212" s="18" t="s">
        <v>375</v>
      </c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1"/>
      <c r="AG212" s="41"/>
      <c r="AH212" s="39"/>
      <c r="AI212" s="41"/>
      <c r="AJ212" s="41"/>
      <c r="AK212" s="3"/>
    </row>
    <row r="213" spans="1:38">
      <c r="A213" s="17" t="s">
        <v>376</v>
      </c>
      <c r="B213" s="16" t="s">
        <v>377</v>
      </c>
      <c r="C213" s="33">
        <v>76180.47</v>
      </c>
      <c r="D213" s="33">
        <v>101540</v>
      </c>
      <c r="E213" s="33"/>
      <c r="F213" s="33">
        <v>117309.23</v>
      </c>
      <c r="G213" s="33">
        <v>101540</v>
      </c>
      <c r="H213" s="33"/>
      <c r="I213" s="33">
        <v>72675.289999999994</v>
      </c>
      <c r="J213" s="33">
        <v>101540</v>
      </c>
      <c r="K213" s="33"/>
      <c r="L213" s="33">
        <v>127871.23</v>
      </c>
      <c r="M213" s="33">
        <v>101540</v>
      </c>
      <c r="N213" s="33"/>
      <c r="O213" s="33">
        <v>153706.87</v>
      </c>
      <c r="P213" s="33">
        <v>152300</v>
      </c>
      <c r="Q213" s="33"/>
      <c r="R213" s="33">
        <v>111084.97</v>
      </c>
      <c r="S213" s="33">
        <v>101540</v>
      </c>
      <c r="T213" s="33"/>
      <c r="U213" s="33">
        <v>92155.25</v>
      </c>
      <c r="V213" s="33">
        <v>101540</v>
      </c>
      <c r="W213" s="33"/>
      <c r="X213" s="33">
        <v>110264.89</v>
      </c>
      <c r="Y213" s="33">
        <v>101540</v>
      </c>
      <c r="Z213" s="33"/>
      <c r="AA213" s="33">
        <v>100495.12</v>
      </c>
      <c r="AB213" s="33">
        <v>101540</v>
      </c>
      <c r="AC213" s="32">
        <f t="shared" ref="AC213:AD253" si="38">+C213+F213+I213+L213+O213+R213+U213+X213+AA213</f>
        <v>961743.32</v>
      </c>
      <c r="AD213" s="32">
        <f t="shared" ref="AD213:AD253" si="39">+D213+G213+J213+M213+P213+S213+V213+Y213+AB213</f>
        <v>964620</v>
      </c>
      <c r="AE213" s="33"/>
      <c r="AF213" s="24">
        <v>1150000</v>
      </c>
      <c r="AG213" s="59">
        <v>1320000</v>
      </c>
      <c r="AH213" s="39"/>
      <c r="AI213" s="59">
        <f t="shared" ref="AI213:AI238" si="40">+AG213</f>
        <v>1320000</v>
      </c>
      <c r="AJ213" s="59"/>
      <c r="AK213" s="3"/>
      <c r="AL213" s="3"/>
    </row>
    <row r="214" spans="1:38">
      <c r="A214" s="17" t="s">
        <v>378</v>
      </c>
      <c r="B214" s="16" t="s">
        <v>379</v>
      </c>
      <c r="C214" s="33"/>
      <c r="D214" s="33"/>
      <c r="E214" s="33"/>
      <c r="F214" s="33">
        <v>4680</v>
      </c>
      <c r="G214" s="33"/>
      <c r="H214" s="33"/>
      <c r="I214" s="33">
        <v>2990</v>
      </c>
      <c r="J214" s="33">
        <v>11024</v>
      </c>
      <c r="K214" s="33"/>
      <c r="L214" s="33">
        <v>7020</v>
      </c>
      <c r="M214" s="33">
        <v>11024</v>
      </c>
      <c r="N214" s="33"/>
      <c r="O214" s="33">
        <v>4550</v>
      </c>
      <c r="P214" s="33">
        <v>11024</v>
      </c>
      <c r="Q214" s="33"/>
      <c r="R214" s="33">
        <v>12105</v>
      </c>
      <c r="S214" s="33">
        <v>11024</v>
      </c>
      <c r="T214" s="33"/>
      <c r="U214" s="33">
        <v>0</v>
      </c>
      <c r="V214" s="33">
        <v>0</v>
      </c>
      <c r="W214" s="33"/>
      <c r="X214" s="33">
        <v>0</v>
      </c>
      <c r="Y214" s="33">
        <v>0</v>
      </c>
      <c r="Z214" s="33"/>
      <c r="AA214" s="33">
        <v>0</v>
      </c>
      <c r="AB214" s="33">
        <v>0</v>
      </c>
      <c r="AC214" s="32">
        <f t="shared" si="38"/>
        <v>31345</v>
      </c>
      <c r="AD214" s="32">
        <f t="shared" si="39"/>
        <v>44096</v>
      </c>
      <c r="AE214" s="33"/>
      <c r="AF214" s="24">
        <v>55120</v>
      </c>
      <c r="AG214" s="24">
        <v>55120</v>
      </c>
      <c r="AH214" s="39"/>
      <c r="AI214" s="24">
        <f t="shared" si="40"/>
        <v>55120</v>
      </c>
      <c r="AJ214" s="24"/>
      <c r="AK214" s="3"/>
      <c r="AL214" s="3"/>
    </row>
    <row r="215" spans="1:38">
      <c r="A215" s="17" t="s">
        <v>380</v>
      </c>
      <c r="B215" s="16" t="s">
        <v>381</v>
      </c>
      <c r="C215" s="33">
        <v>6035.78</v>
      </c>
      <c r="D215" s="33">
        <v>8465</v>
      </c>
      <c r="E215" s="33"/>
      <c r="F215" s="33">
        <v>6509.24</v>
      </c>
      <c r="G215" s="33">
        <v>8465</v>
      </c>
      <c r="H215" s="33"/>
      <c r="I215" s="33">
        <v>7604.8</v>
      </c>
      <c r="J215" s="33">
        <v>8465</v>
      </c>
      <c r="K215" s="33"/>
      <c r="L215" s="33">
        <v>8477.49</v>
      </c>
      <c r="M215" s="33">
        <v>8465</v>
      </c>
      <c r="N215" s="33"/>
      <c r="O215" s="33">
        <v>11306.63</v>
      </c>
      <c r="P215" s="33">
        <v>12690</v>
      </c>
      <c r="Q215" s="33"/>
      <c r="R215" s="33">
        <v>7388.2</v>
      </c>
      <c r="S215" s="33">
        <v>8465</v>
      </c>
      <c r="T215" s="33"/>
      <c r="U215" s="33">
        <v>6702.09</v>
      </c>
      <c r="V215" s="33">
        <v>8465</v>
      </c>
      <c r="W215" s="33"/>
      <c r="X215" s="33">
        <v>8184.25</v>
      </c>
      <c r="Y215" s="33">
        <v>8460</v>
      </c>
      <c r="Z215" s="33"/>
      <c r="AA215" s="33">
        <v>6863.93</v>
      </c>
      <c r="AB215" s="33">
        <v>8460</v>
      </c>
      <c r="AC215" s="32">
        <f t="shared" si="38"/>
        <v>69072.41</v>
      </c>
      <c r="AD215" s="32">
        <f t="shared" si="39"/>
        <v>80400</v>
      </c>
      <c r="AE215" s="33"/>
      <c r="AF215" s="24">
        <f>8650+12100+68163</f>
        <v>88913</v>
      </c>
      <c r="AG215" s="59">
        <f>+(AG213+AG214)*0.08+0.4</f>
        <v>110010</v>
      </c>
      <c r="AH215" s="39"/>
      <c r="AI215" s="59">
        <f t="shared" si="40"/>
        <v>110010</v>
      </c>
      <c r="AJ215" s="59"/>
      <c r="AK215" s="3"/>
      <c r="AL215" s="3"/>
    </row>
    <row r="216" spans="1:38">
      <c r="A216" s="17" t="s">
        <v>382</v>
      </c>
      <c r="B216" s="16" t="s">
        <v>383</v>
      </c>
      <c r="C216" s="33">
        <v>16186.6</v>
      </c>
      <c r="D216" s="33">
        <v>24026</v>
      </c>
      <c r="E216" s="33"/>
      <c r="F216" s="33">
        <v>17451.88</v>
      </c>
      <c r="G216" s="33">
        <v>24026</v>
      </c>
      <c r="H216" s="33"/>
      <c r="I216" s="33">
        <v>17917.47</v>
      </c>
      <c r="J216" s="33">
        <v>24025</v>
      </c>
      <c r="K216" s="33"/>
      <c r="L216" s="33">
        <v>25777.39</v>
      </c>
      <c r="M216" s="33">
        <v>24026</v>
      </c>
      <c r="N216" s="33"/>
      <c r="O216" s="33">
        <v>25857.75</v>
      </c>
      <c r="P216" s="33">
        <v>24026</v>
      </c>
      <c r="Q216" s="33"/>
      <c r="R216" s="33">
        <v>25933.99</v>
      </c>
      <c r="S216" s="33">
        <v>24026</v>
      </c>
      <c r="T216" s="33"/>
      <c r="U216" s="33">
        <v>25971.96</v>
      </c>
      <c r="V216" s="33">
        <v>24025</v>
      </c>
      <c r="W216" s="33"/>
      <c r="X216" s="33">
        <v>26012.81</v>
      </c>
      <c r="Y216" s="33">
        <v>24026</v>
      </c>
      <c r="Z216" s="33"/>
      <c r="AA216" s="33">
        <v>26012.81</v>
      </c>
      <c r="AB216" s="33">
        <v>24025</v>
      </c>
      <c r="AC216" s="32">
        <f t="shared" si="38"/>
        <v>207122.66</v>
      </c>
      <c r="AD216" s="32">
        <f t="shared" si="39"/>
        <v>216231</v>
      </c>
      <c r="AE216" s="33"/>
      <c r="AF216" s="24">
        <f>6469+266647+10641+2672+1879</f>
        <v>288308</v>
      </c>
      <c r="AG216" s="24">
        <f>6469+266647+10641+2672+1879</f>
        <v>288308</v>
      </c>
      <c r="AH216" s="39"/>
      <c r="AI216" s="24">
        <f t="shared" si="40"/>
        <v>288308</v>
      </c>
      <c r="AJ216" s="24"/>
      <c r="AK216" s="3"/>
      <c r="AL216" s="3"/>
    </row>
    <row r="217" spans="1:38">
      <c r="A217" s="17" t="s">
        <v>384</v>
      </c>
      <c r="B217" s="16" t="s">
        <v>385</v>
      </c>
      <c r="C217" s="33">
        <v>8054.57</v>
      </c>
      <c r="D217" s="33">
        <v>12556</v>
      </c>
      <c r="E217" s="33"/>
      <c r="F217" s="33">
        <v>8473.3799999999992</v>
      </c>
      <c r="G217" s="33">
        <v>12556</v>
      </c>
      <c r="H217" s="33"/>
      <c r="I217" s="33">
        <v>9134.26</v>
      </c>
      <c r="J217" s="33">
        <v>12556</v>
      </c>
      <c r="K217" s="33"/>
      <c r="L217" s="33">
        <v>11059.08</v>
      </c>
      <c r="M217" s="33">
        <v>12556</v>
      </c>
      <c r="N217" s="33"/>
      <c r="O217" s="33">
        <v>16198.24</v>
      </c>
      <c r="P217" s="33">
        <v>18834</v>
      </c>
      <c r="Q217" s="33"/>
      <c r="R217" s="33">
        <v>10796.07</v>
      </c>
      <c r="S217" s="33">
        <v>12556</v>
      </c>
      <c r="T217" s="33"/>
      <c r="U217" s="33">
        <v>10787.92</v>
      </c>
      <c r="V217" s="33">
        <v>12556</v>
      </c>
      <c r="W217" s="33"/>
      <c r="X217" s="33">
        <v>11461.25</v>
      </c>
      <c r="Y217" s="33">
        <v>12556</v>
      </c>
      <c r="Z217" s="33"/>
      <c r="AA217" s="33">
        <v>11459.59</v>
      </c>
      <c r="AB217" s="33">
        <v>12556</v>
      </c>
      <c r="AC217" s="32">
        <f t="shared" si="38"/>
        <v>97424.36</v>
      </c>
      <c r="AD217" s="32">
        <f t="shared" si="39"/>
        <v>119282</v>
      </c>
      <c r="AE217" s="33"/>
      <c r="AF217" s="24">
        <f>144847+18380</f>
        <v>163227</v>
      </c>
      <c r="AG217" s="24">
        <f>144847+18380</f>
        <v>163227</v>
      </c>
      <c r="AH217" s="39"/>
      <c r="AI217" s="24">
        <f t="shared" si="40"/>
        <v>163227</v>
      </c>
      <c r="AJ217" s="24"/>
      <c r="AK217" s="3"/>
      <c r="AL217" s="3"/>
    </row>
    <row r="218" spans="1:38">
      <c r="A218" s="17" t="s">
        <v>386</v>
      </c>
      <c r="B218" s="16" t="s">
        <v>387</v>
      </c>
      <c r="C218" s="33">
        <v>6790.57</v>
      </c>
      <c r="D218" s="33">
        <v>1675</v>
      </c>
      <c r="E218" s="33"/>
      <c r="F218" s="33">
        <v>4362.59</v>
      </c>
      <c r="G218" s="33">
        <v>1650</v>
      </c>
      <c r="H218" s="33"/>
      <c r="I218" s="33">
        <v>3373.61</v>
      </c>
      <c r="J218" s="33">
        <v>1675</v>
      </c>
      <c r="K218" s="33"/>
      <c r="L218" s="33">
        <v>42.65</v>
      </c>
      <c r="M218" s="33">
        <v>1650</v>
      </c>
      <c r="N218" s="33"/>
      <c r="O218" s="33">
        <v>1513.07</v>
      </c>
      <c r="P218" s="33">
        <v>1675</v>
      </c>
      <c r="Q218" s="33"/>
      <c r="R218" s="33">
        <v>4526.59</v>
      </c>
      <c r="S218" s="33">
        <v>1650</v>
      </c>
      <c r="T218" s="33"/>
      <c r="U218" s="33">
        <v>395.99</v>
      </c>
      <c r="V218" s="33">
        <v>1675</v>
      </c>
      <c r="W218" s="33"/>
      <c r="X218" s="33">
        <v>3150.39</v>
      </c>
      <c r="Y218" s="33">
        <v>1650</v>
      </c>
      <c r="Z218" s="33"/>
      <c r="AA218" s="33">
        <v>5489.91</v>
      </c>
      <c r="AB218" s="33">
        <v>1675</v>
      </c>
      <c r="AC218" s="32">
        <f t="shared" si="38"/>
        <v>29645.370000000003</v>
      </c>
      <c r="AD218" s="32">
        <f t="shared" si="39"/>
        <v>14975</v>
      </c>
      <c r="AE218" s="33"/>
      <c r="AF218" s="24">
        <v>20000</v>
      </c>
      <c r="AG218" s="24">
        <v>20000</v>
      </c>
      <c r="AH218" s="39"/>
      <c r="AI218" s="24">
        <f t="shared" si="40"/>
        <v>20000</v>
      </c>
      <c r="AJ218" s="24"/>
      <c r="AK218" s="3"/>
      <c r="AL218" s="3"/>
    </row>
    <row r="219" spans="1:38">
      <c r="A219" s="17" t="s">
        <v>388</v>
      </c>
      <c r="B219" s="16" t="s">
        <v>389</v>
      </c>
      <c r="C219" s="33">
        <v>3844.57</v>
      </c>
      <c r="D219" s="33">
        <v>3158</v>
      </c>
      <c r="E219" s="33"/>
      <c r="F219" s="33">
        <v>3844.57</v>
      </c>
      <c r="G219" s="33">
        <v>3158</v>
      </c>
      <c r="H219" s="33"/>
      <c r="I219" s="33">
        <v>3844.57</v>
      </c>
      <c r="J219" s="33">
        <v>3158</v>
      </c>
      <c r="K219" s="33"/>
      <c r="L219" s="33">
        <v>3844.57</v>
      </c>
      <c r="M219" s="33">
        <v>3159</v>
      </c>
      <c r="N219" s="33"/>
      <c r="O219" s="33">
        <v>3844.57</v>
      </c>
      <c r="P219" s="33">
        <v>3158</v>
      </c>
      <c r="Q219" s="33"/>
      <c r="R219" s="33">
        <v>3089.71</v>
      </c>
      <c r="S219" s="33">
        <v>3158</v>
      </c>
      <c r="T219" s="33"/>
      <c r="U219" s="33">
        <v>7711.99</v>
      </c>
      <c r="V219" s="33">
        <v>3158</v>
      </c>
      <c r="W219" s="33"/>
      <c r="X219" s="33">
        <v>3089.71</v>
      </c>
      <c r="Y219" s="33">
        <v>3159</v>
      </c>
      <c r="Z219" s="33"/>
      <c r="AA219" s="33">
        <v>3089.71</v>
      </c>
      <c r="AB219" s="33">
        <v>3158</v>
      </c>
      <c r="AC219" s="32">
        <f t="shared" si="38"/>
        <v>36203.97</v>
      </c>
      <c r="AD219" s="32">
        <f t="shared" si="39"/>
        <v>28424</v>
      </c>
      <c r="AE219" s="33"/>
      <c r="AF219" s="24">
        <f>29055+5158+3687</f>
        <v>37900</v>
      </c>
      <c r="AG219" s="24">
        <f>29055+5158+3687</f>
        <v>37900</v>
      </c>
      <c r="AH219" s="39"/>
      <c r="AI219" s="24">
        <f t="shared" si="40"/>
        <v>37900</v>
      </c>
      <c r="AJ219" s="24"/>
      <c r="AK219" s="3"/>
      <c r="AL219" s="3"/>
    </row>
    <row r="220" spans="1:38">
      <c r="A220" s="17" t="s">
        <v>390</v>
      </c>
      <c r="B220" s="16" t="s">
        <v>391</v>
      </c>
      <c r="C220" s="33">
        <v>19601.07</v>
      </c>
      <c r="D220" s="33">
        <v>24760</v>
      </c>
      <c r="E220" s="33"/>
      <c r="F220" s="33">
        <v>21615.11</v>
      </c>
      <c r="G220" s="33">
        <v>24760</v>
      </c>
      <c r="H220" s="33"/>
      <c r="I220" s="33">
        <v>36988.42</v>
      </c>
      <c r="J220" s="33">
        <v>24760</v>
      </c>
      <c r="K220" s="33"/>
      <c r="L220" s="33">
        <v>29635.08</v>
      </c>
      <c r="M220" s="33">
        <v>24760</v>
      </c>
      <c r="N220" s="33"/>
      <c r="O220" s="33">
        <v>37496.25</v>
      </c>
      <c r="P220" s="33">
        <v>37146</v>
      </c>
      <c r="Q220" s="33"/>
      <c r="R220" s="33">
        <v>25285.65</v>
      </c>
      <c r="S220" s="33">
        <v>24760</v>
      </c>
      <c r="T220" s="33"/>
      <c r="U220" s="33">
        <v>24351.84</v>
      </c>
      <c r="V220" s="33">
        <v>24760</v>
      </c>
      <c r="W220" s="33"/>
      <c r="X220" s="33">
        <v>26543.95</v>
      </c>
      <c r="Y220" s="33">
        <v>24760</v>
      </c>
      <c r="Z220" s="33"/>
      <c r="AA220" s="33">
        <v>25460.18</v>
      </c>
      <c r="AB220" s="33">
        <v>24760</v>
      </c>
      <c r="AC220" s="32">
        <f t="shared" si="38"/>
        <v>246977.55</v>
      </c>
      <c r="AD220" s="32">
        <f t="shared" si="39"/>
        <v>235226</v>
      </c>
      <c r="AE220" s="33"/>
      <c r="AF220" s="24">
        <f>270263+51628</f>
        <v>321891</v>
      </c>
      <c r="AG220" s="24">
        <f>270263+51628</f>
        <v>321891</v>
      </c>
      <c r="AH220" s="39"/>
      <c r="AI220" s="24">
        <f t="shared" si="40"/>
        <v>321891</v>
      </c>
      <c r="AJ220" s="24"/>
      <c r="AK220" s="3"/>
      <c r="AL220" s="3"/>
    </row>
    <row r="221" spans="1:38">
      <c r="A221" s="17" t="s">
        <v>392</v>
      </c>
      <c r="B221" s="16" t="s">
        <v>393</v>
      </c>
      <c r="C221" s="33">
        <v>1869.96</v>
      </c>
      <c r="D221" s="33">
        <v>1985</v>
      </c>
      <c r="E221" s="33"/>
      <c r="F221" s="33">
        <v>1834.22</v>
      </c>
      <c r="G221" s="33">
        <v>1985</v>
      </c>
      <c r="H221" s="33"/>
      <c r="I221" s="33">
        <v>255.57</v>
      </c>
      <c r="J221" s="33">
        <v>1980</v>
      </c>
      <c r="K221" s="33"/>
      <c r="L221" s="33">
        <v>2169.23</v>
      </c>
      <c r="M221" s="33">
        <v>1980</v>
      </c>
      <c r="N221" s="33"/>
      <c r="O221" s="33">
        <v>2992.47</v>
      </c>
      <c r="P221" s="33">
        <v>2970</v>
      </c>
      <c r="Q221" s="33"/>
      <c r="R221" s="33">
        <v>1979</v>
      </c>
      <c r="S221" s="33">
        <v>1980</v>
      </c>
      <c r="T221" s="33"/>
      <c r="U221" s="33">
        <v>1957.82</v>
      </c>
      <c r="V221" s="33">
        <v>1980</v>
      </c>
      <c r="W221" s="33"/>
      <c r="X221" s="33">
        <v>1982.34</v>
      </c>
      <c r="Y221" s="33">
        <v>1980</v>
      </c>
      <c r="Z221" s="33"/>
      <c r="AA221" s="33">
        <v>2152.8200000000002</v>
      </c>
      <c r="AB221" s="33">
        <v>1980</v>
      </c>
      <c r="AC221" s="32">
        <f t="shared" si="38"/>
        <v>17193.43</v>
      </c>
      <c r="AD221" s="32">
        <f t="shared" si="39"/>
        <v>18820</v>
      </c>
      <c r="AE221" s="33"/>
      <c r="AF221" s="24">
        <f>21621+4130</f>
        <v>25751</v>
      </c>
      <c r="AG221" s="24">
        <f>21621+4130</f>
        <v>25751</v>
      </c>
      <c r="AH221" s="39"/>
      <c r="AI221" s="24">
        <f t="shared" si="40"/>
        <v>25751</v>
      </c>
      <c r="AJ221" s="24"/>
      <c r="AK221" s="3"/>
      <c r="AL221" s="3"/>
    </row>
    <row r="222" spans="1:38">
      <c r="A222" s="17" t="s">
        <v>394</v>
      </c>
      <c r="B222" s="16" t="s">
        <v>395</v>
      </c>
      <c r="C222" s="33">
        <v>6989.9</v>
      </c>
      <c r="D222" s="33">
        <v>10856</v>
      </c>
      <c r="E222" s="33"/>
      <c r="F222" s="33">
        <v>6989.9</v>
      </c>
      <c r="G222" s="33">
        <v>10856</v>
      </c>
      <c r="H222" s="33"/>
      <c r="I222" s="33">
        <v>7085.65</v>
      </c>
      <c r="J222" s="33">
        <v>10857</v>
      </c>
      <c r="K222" s="33"/>
      <c r="L222" s="33">
        <v>8790.32</v>
      </c>
      <c r="M222" s="33">
        <v>10857</v>
      </c>
      <c r="N222" s="33"/>
      <c r="O222" s="33">
        <v>10190.52</v>
      </c>
      <c r="P222" s="33">
        <v>10857</v>
      </c>
      <c r="Q222" s="33"/>
      <c r="R222" s="33">
        <v>10190.56</v>
      </c>
      <c r="S222" s="33">
        <v>10857</v>
      </c>
      <c r="T222" s="33"/>
      <c r="U222" s="33">
        <v>10190.56</v>
      </c>
      <c r="V222" s="33">
        <v>10856</v>
      </c>
      <c r="W222" s="33"/>
      <c r="X222" s="33">
        <v>10190.56</v>
      </c>
      <c r="Y222" s="33">
        <v>10856</v>
      </c>
      <c r="Z222" s="33"/>
      <c r="AA222" s="33">
        <v>10190.56</v>
      </c>
      <c r="AB222" s="33">
        <v>10857</v>
      </c>
      <c r="AC222" s="32">
        <f t="shared" si="38"/>
        <v>80808.529999999984</v>
      </c>
      <c r="AD222" s="32">
        <f t="shared" si="39"/>
        <v>97709</v>
      </c>
      <c r="AE222" s="33"/>
      <c r="AF222" s="24">
        <f>122947+5856+1474</f>
        <v>130277</v>
      </c>
      <c r="AG222" s="24">
        <v>130277</v>
      </c>
      <c r="AH222" s="39"/>
      <c r="AI222" s="24">
        <f t="shared" si="40"/>
        <v>130277</v>
      </c>
      <c r="AJ222" s="24"/>
      <c r="AK222" s="3"/>
      <c r="AL222" s="3"/>
    </row>
    <row r="223" spans="1:38">
      <c r="A223" s="17" t="s">
        <v>396</v>
      </c>
      <c r="B223" s="16" t="s">
        <v>397</v>
      </c>
      <c r="C223" s="33">
        <v>236.72</v>
      </c>
      <c r="D223" s="33">
        <v>460</v>
      </c>
      <c r="E223" s="33"/>
      <c r="F223" s="33">
        <v>227.63</v>
      </c>
      <c r="G223" s="33">
        <v>460</v>
      </c>
      <c r="H223" s="33"/>
      <c r="I223" s="33">
        <v>277.13</v>
      </c>
      <c r="J223" s="33">
        <v>460</v>
      </c>
      <c r="K223" s="33"/>
      <c r="L223" s="33">
        <v>258.73</v>
      </c>
      <c r="M223" s="33">
        <v>460</v>
      </c>
      <c r="N223" s="33"/>
      <c r="O223" s="33">
        <v>333.3</v>
      </c>
      <c r="P223" s="33">
        <v>680</v>
      </c>
      <c r="Q223" s="33"/>
      <c r="R223" s="33">
        <v>221.94</v>
      </c>
      <c r="S223" s="33">
        <v>460</v>
      </c>
      <c r="T223" s="33"/>
      <c r="U223" s="33">
        <v>208.98</v>
      </c>
      <c r="V223" s="33">
        <v>460</v>
      </c>
      <c r="W223" s="33"/>
      <c r="X223" s="33">
        <v>229.8</v>
      </c>
      <c r="Y223" s="33">
        <v>460</v>
      </c>
      <c r="Z223" s="33"/>
      <c r="AA223" s="33">
        <v>211.82</v>
      </c>
      <c r="AB223" s="33">
        <v>460</v>
      </c>
      <c r="AC223" s="32">
        <f t="shared" si="38"/>
        <v>2206.0500000000002</v>
      </c>
      <c r="AD223" s="32">
        <f t="shared" si="39"/>
        <v>4360</v>
      </c>
      <c r="AE223" s="33"/>
      <c r="AF223" s="24">
        <f>4974+986</f>
        <v>5960</v>
      </c>
      <c r="AG223" s="24">
        <v>5960</v>
      </c>
      <c r="AH223" s="39"/>
      <c r="AI223" s="24">
        <f t="shared" si="40"/>
        <v>5960</v>
      </c>
      <c r="AJ223" s="24"/>
      <c r="AK223" s="3"/>
    </row>
    <row r="224" spans="1:38">
      <c r="A224" s="17">
        <v>6030250</v>
      </c>
      <c r="B224" s="16" t="s">
        <v>398</v>
      </c>
      <c r="C224" s="33"/>
      <c r="D224" s="33"/>
      <c r="E224" s="33"/>
      <c r="F224" s="33">
        <v>1222.9100000000001</v>
      </c>
      <c r="G224" s="33">
        <v>1200</v>
      </c>
      <c r="H224" s="33"/>
      <c r="I224" s="33">
        <v>678.75</v>
      </c>
      <c r="J224" s="33">
        <v>675</v>
      </c>
      <c r="K224" s="33"/>
      <c r="L224" s="33">
        <v>364</v>
      </c>
      <c r="M224" s="33">
        <v>365</v>
      </c>
      <c r="N224" s="33"/>
      <c r="O224" s="33">
        <v>343</v>
      </c>
      <c r="P224" s="33">
        <v>340</v>
      </c>
      <c r="Q224" s="33"/>
      <c r="R224" s="33">
        <v>89.7</v>
      </c>
      <c r="S224" s="33">
        <v>120</v>
      </c>
      <c r="T224" s="33"/>
      <c r="U224" s="33">
        <v>0</v>
      </c>
      <c r="V224" s="33">
        <v>0</v>
      </c>
      <c r="W224" s="33"/>
      <c r="X224" s="33">
        <v>0</v>
      </c>
      <c r="Y224" s="33">
        <v>0</v>
      </c>
      <c r="Z224" s="33"/>
      <c r="AA224" s="33">
        <v>0</v>
      </c>
      <c r="AB224" s="33">
        <v>0</v>
      </c>
      <c r="AC224" s="32">
        <f t="shared" si="38"/>
        <v>2698.3599999999997</v>
      </c>
      <c r="AD224" s="32">
        <f t="shared" si="39"/>
        <v>2700</v>
      </c>
      <c r="AE224" s="33"/>
      <c r="AF224" s="24"/>
      <c r="AG224" s="59">
        <v>2700</v>
      </c>
      <c r="AH224" s="39"/>
      <c r="AI224" s="59">
        <f t="shared" si="40"/>
        <v>2700</v>
      </c>
      <c r="AJ224" s="59"/>
      <c r="AK224" s="3"/>
    </row>
    <row r="225" spans="1:38">
      <c r="A225" s="17" t="s">
        <v>399</v>
      </c>
      <c r="B225" s="16" t="s">
        <v>400</v>
      </c>
      <c r="C225" s="33">
        <v>1031.71</v>
      </c>
      <c r="D225" s="33">
        <v>625</v>
      </c>
      <c r="E225" s="33"/>
      <c r="F225" s="33">
        <v>1031.71</v>
      </c>
      <c r="G225" s="33">
        <v>625</v>
      </c>
      <c r="H225" s="33"/>
      <c r="I225" s="33">
        <v>1031.71</v>
      </c>
      <c r="J225" s="33">
        <v>625</v>
      </c>
      <c r="K225" s="33"/>
      <c r="L225" s="33">
        <v>1031.71</v>
      </c>
      <c r="M225" s="33">
        <v>625</v>
      </c>
      <c r="N225" s="33"/>
      <c r="O225" s="33">
        <v>1031.71</v>
      </c>
      <c r="P225" s="33">
        <v>625</v>
      </c>
      <c r="Q225" s="33"/>
      <c r="R225" s="33">
        <v>34.08</v>
      </c>
      <c r="S225" s="33">
        <v>625</v>
      </c>
      <c r="T225" s="33"/>
      <c r="U225" s="33">
        <v>85.06</v>
      </c>
      <c r="V225" s="33">
        <v>625</v>
      </c>
      <c r="W225" s="33"/>
      <c r="X225" s="33">
        <v>34.08</v>
      </c>
      <c r="Y225" s="33">
        <v>625</v>
      </c>
      <c r="Z225" s="33"/>
      <c r="AA225" s="33">
        <v>34.08</v>
      </c>
      <c r="AB225" s="33">
        <v>625</v>
      </c>
      <c r="AC225" s="32">
        <f t="shared" si="38"/>
        <v>5345.85</v>
      </c>
      <c r="AD225" s="32">
        <f t="shared" si="39"/>
        <v>5625</v>
      </c>
      <c r="AE225" s="33"/>
      <c r="AF225" s="24">
        <f>351+67</f>
        <v>418</v>
      </c>
      <c r="AG225" s="59">
        <v>7500</v>
      </c>
      <c r="AH225" s="39"/>
      <c r="AI225" s="59">
        <f t="shared" si="40"/>
        <v>7500</v>
      </c>
      <c r="AJ225" s="59"/>
      <c r="AK225" s="3"/>
      <c r="AL225" s="3"/>
    </row>
    <row r="226" spans="1:38">
      <c r="A226" s="17" t="s">
        <v>401</v>
      </c>
      <c r="B226" s="16" t="s">
        <v>293</v>
      </c>
      <c r="C226" s="33">
        <v>1172</v>
      </c>
      <c r="D226" s="33">
        <v>13590</v>
      </c>
      <c r="E226" s="33"/>
      <c r="F226" s="33">
        <v>13214.75</v>
      </c>
      <c r="G226" s="33">
        <v>27185</v>
      </c>
      <c r="H226" s="33"/>
      <c r="I226" s="33">
        <v>41002.639999999999</v>
      </c>
      <c r="J226" s="33">
        <v>27190</v>
      </c>
      <c r="K226" s="33"/>
      <c r="L226" s="33">
        <v>35201.39</v>
      </c>
      <c r="M226" s="33">
        <v>27190</v>
      </c>
      <c r="N226" s="33"/>
      <c r="O226" s="33">
        <v>46186.51</v>
      </c>
      <c r="P226" s="33">
        <v>40785</v>
      </c>
      <c r="Q226" s="33"/>
      <c r="R226" s="33">
        <v>17690.63</v>
      </c>
      <c r="S226" s="33">
        <v>27190</v>
      </c>
      <c r="T226" s="33"/>
      <c r="U226" s="33">
        <v>12961.13</v>
      </c>
      <c r="V226" s="33">
        <v>27190</v>
      </c>
      <c r="W226" s="33"/>
      <c r="X226" s="33">
        <v>9934.5</v>
      </c>
      <c r="Y226" s="33">
        <v>0</v>
      </c>
      <c r="Z226" s="33"/>
      <c r="AA226" s="33">
        <v>2076</v>
      </c>
      <c r="AB226" s="33">
        <v>0</v>
      </c>
      <c r="AC226" s="32">
        <f t="shared" si="38"/>
        <v>179439.55000000002</v>
      </c>
      <c r="AD226" s="32">
        <f t="shared" si="39"/>
        <v>190320</v>
      </c>
      <c r="AE226" s="33"/>
      <c r="AF226" s="24">
        <v>190320</v>
      </c>
      <c r="AG226" s="24">
        <v>190320</v>
      </c>
      <c r="AH226" s="39"/>
      <c r="AI226" s="24">
        <f t="shared" si="40"/>
        <v>190320</v>
      </c>
      <c r="AJ226" s="24"/>
      <c r="AK226" s="3"/>
    </row>
    <row r="227" spans="1:38">
      <c r="A227" s="17" t="s">
        <v>402</v>
      </c>
      <c r="B227" s="16" t="s">
        <v>295</v>
      </c>
      <c r="C227" s="33">
        <v>90.33</v>
      </c>
      <c r="D227" s="33">
        <v>1160</v>
      </c>
      <c r="E227" s="33"/>
      <c r="F227" s="33">
        <v>1314.56</v>
      </c>
      <c r="G227" s="33">
        <v>2320</v>
      </c>
      <c r="H227" s="33"/>
      <c r="I227" s="33">
        <v>3615.6</v>
      </c>
      <c r="J227" s="33">
        <v>2320</v>
      </c>
      <c r="K227" s="33"/>
      <c r="L227" s="33">
        <v>3110.66</v>
      </c>
      <c r="M227" s="33">
        <v>2325</v>
      </c>
      <c r="N227" s="33"/>
      <c r="O227" s="33">
        <v>3437.67</v>
      </c>
      <c r="P227" s="33">
        <v>3475</v>
      </c>
      <c r="Q227" s="33"/>
      <c r="R227" s="33">
        <v>1469.33</v>
      </c>
      <c r="S227" s="33">
        <v>2325</v>
      </c>
      <c r="T227" s="33"/>
      <c r="U227" s="33">
        <v>1100.4000000000001</v>
      </c>
      <c r="V227" s="33">
        <v>2325</v>
      </c>
      <c r="W227" s="33"/>
      <c r="X227" s="33">
        <v>759.97</v>
      </c>
      <c r="Y227" s="33">
        <v>0</v>
      </c>
      <c r="Z227" s="33"/>
      <c r="AA227" s="33">
        <v>173.5</v>
      </c>
      <c r="AB227" s="33">
        <v>0</v>
      </c>
      <c r="AC227" s="32">
        <f t="shared" si="38"/>
        <v>15072.019999999999</v>
      </c>
      <c r="AD227" s="32">
        <f t="shared" si="39"/>
        <v>16250</v>
      </c>
      <c r="AE227" s="33"/>
      <c r="AF227" s="24">
        <v>16250</v>
      </c>
      <c r="AG227" s="24">
        <v>16250</v>
      </c>
      <c r="AH227" s="39"/>
      <c r="AI227" s="24">
        <f t="shared" si="40"/>
        <v>16250</v>
      </c>
      <c r="AJ227" s="24"/>
      <c r="AK227" s="3"/>
    </row>
    <row r="228" spans="1:38">
      <c r="A228" s="17" t="s">
        <v>403</v>
      </c>
      <c r="B228" s="16" t="s">
        <v>334</v>
      </c>
      <c r="C228" s="33"/>
      <c r="D228" s="33">
        <v>1500</v>
      </c>
      <c r="E228" s="33"/>
      <c r="F228" s="33">
        <v>17715.189999999999</v>
      </c>
      <c r="G228" s="33">
        <v>1500</v>
      </c>
      <c r="H228" s="33"/>
      <c r="I228" s="33"/>
      <c r="J228" s="33">
        <v>1500</v>
      </c>
      <c r="K228" s="33"/>
      <c r="L228" s="33"/>
      <c r="M228" s="33">
        <v>1500</v>
      </c>
      <c r="N228" s="33"/>
      <c r="O228" s="33">
        <v>-460.7</v>
      </c>
      <c r="P228" s="33">
        <v>1500</v>
      </c>
      <c r="Q228" s="33"/>
      <c r="R228" s="33">
        <v>0</v>
      </c>
      <c r="S228" s="33">
        <v>1500</v>
      </c>
      <c r="T228" s="33"/>
      <c r="U228" s="33">
        <v>0</v>
      </c>
      <c r="V228" s="33">
        <v>1500</v>
      </c>
      <c r="W228" s="33"/>
      <c r="X228" s="33">
        <v>0</v>
      </c>
      <c r="Y228" s="33">
        <v>1500</v>
      </c>
      <c r="Z228" s="33"/>
      <c r="AA228" s="33">
        <v>0</v>
      </c>
      <c r="AB228" s="33">
        <v>1500</v>
      </c>
      <c r="AC228" s="32">
        <f t="shared" si="38"/>
        <v>17254.489999999998</v>
      </c>
      <c r="AD228" s="32">
        <f t="shared" si="39"/>
        <v>13500</v>
      </c>
      <c r="AE228" s="33"/>
      <c r="AF228" s="24">
        <v>8000</v>
      </c>
      <c r="AG228" s="59">
        <v>18000</v>
      </c>
      <c r="AH228" s="39"/>
      <c r="AI228" s="59">
        <f t="shared" si="40"/>
        <v>18000</v>
      </c>
      <c r="AJ228" s="59"/>
      <c r="AK228" s="3"/>
    </row>
    <row r="229" spans="1:38">
      <c r="A229" s="17" t="s">
        <v>404</v>
      </c>
      <c r="B229" s="16" t="s">
        <v>297</v>
      </c>
      <c r="C229" s="33">
        <v>219.7</v>
      </c>
      <c r="D229" s="33">
        <v>540</v>
      </c>
      <c r="E229" s="33"/>
      <c r="F229" s="33">
        <v>219.7</v>
      </c>
      <c r="G229" s="33">
        <v>540</v>
      </c>
      <c r="H229" s="33"/>
      <c r="I229" s="33">
        <v>219.7</v>
      </c>
      <c r="J229" s="33">
        <v>540</v>
      </c>
      <c r="K229" s="33"/>
      <c r="L229" s="33">
        <v>219.7</v>
      </c>
      <c r="M229" s="33">
        <v>540</v>
      </c>
      <c r="N229" s="33"/>
      <c r="O229" s="33">
        <v>219.7</v>
      </c>
      <c r="P229" s="33">
        <v>540</v>
      </c>
      <c r="Q229" s="33"/>
      <c r="R229" s="33">
        <v>529.07000000000005</v>
      </c>
      <c r="S229" s="33">
        <v>540</v>
      </c>
      <c r="T229" s="33"/>
      <c r="U229" s="33">
        <v>1320.58</v>
      </c>
      <c r="V229" s="33">
        <v>540</v>
      </c>
      <c r="W229" s="33"/>
      <c r="X229" s="33">
        <v>529.07000000000005</v>
      </c>
      <c r="Y229" s="33">
        <v>540</v>
      </c>
      <c r="Z229" s="33"/>
      <c r="AA229" s="33">
        <v>529.07000000000005</v>
      </c>
      <c r="AB229" s="33">
        <v>540</v>
      </c>
      <c r="AC229" s="32">
        <f t="shared" si="38"/>
        <v>4006.2900000000004</v>
      </c>
      <c r="AD229" s="32">
        <f t="shared" si="39"/>
        <v>4860</v>
      </c>
      <c r="AE229" s="33"/>
      <c r="AF229" s="24">
        <v>6489.91</v>
      </c>
      <c r="AG229" s="24">
        <v>6490</v>
      </c>
      <c r="AH229" s="39"/>
      <c r="AI229" s="24">
        <f t="shared" si="40"/>
        <v>6490</v>
      </c>
      <c r="AJ229" s="24"/>
      <c r="AK229" s="3"/>
      <c r="AL229" s="3"/>
    </row>
    <row r="230" spans="1:38">
      <c r="A230" s="17" t="s">
        <v>405</v>
      </c>
      <c r="B230" s="16" t="s">
        <v>299</v>
      </c>
      <c r="C230" s="33">
        <v>1518.72</v>
      </c>
      <c r="D230" s="33">
        <v>1290</v>
      </c>
      <c r="E230" s="33"/>
      <c r="F230" s="33">
        <v>1284.5</v>
      </c>
      <c r="G230" s="33">
        <v>1290</v>
      </c>
      <c r="H230" s="33"/>
      <c r="I230" s="33">
        <v>1867.45</v>
      </c>
      <c r="J230" s="33">
        <v>1290</v>
      </c>
      <c r="K230" s="33"/>
      <c r="L230" s="33">
        <v>1615.64</v>
      </c>
      <c r="M230" s="33">
        <v>1290</v>
      </c>
      <c r="N230" s="33"/>
      <c r="O230" s="33">
        <v>588.4</v>
      </c>
      <c r="P230" s="33">
        <v>1290</v>
      </c>
      <c r="Q230" s="33"/>
      <c r="R230" s="33">
        <v>2512.89</v>
      </c>
      <c r="S230" s="33">
        <v>1290</v>
      </c>
      <c r="T230" s="33"/>
      <c r="U230" s="33">
        <v>2089.63</v>
      </c>
      <c r="V230" s="33">
        <v>1290</v>
      </c>
      <c r="W230" s="33"/>
      <c r="X230" s="33">
        <v>2317.81</v>
      </c>
      <c r="Y230" s="33">
        <v>1290</v>
      </c>
      <c r="Z230" s="33"/>
      <c r="AA230" s="33">
        <v>2199.0500000000002</v>
      </c>
      <c r="AB230" s="33">
        <v>1295</v>
      </c>
      <c r="AC230" s="32">
        <f t="shared" si="38"/>
        <v>15994.09</v>
      </c>
      <c r="AD230" s="32">
        <f t="shared" si="39"/>
        <v>11615</v>
      </c>
      <c r="AE230" s="33"/>
      <c r="AF230" s="24">
        <v>15500</v>
      </c>
      <c r="AG230" s="24">
        <v>15500</v>
      </c>
      <c r="AH230" s="39"/>
      <c r="AI230" s="24">
        <f t="shared" si="40"/>
        <v>15500</v>
      </c>
      <c r="AJ230" s="24"/>
      <c r="AK230" s="3"/>
    </row>
    <row r="231" spans="1:38">
      <c r="A231" s="17" t="s">
        <v>406</v>
      </c>
      <c r="B231" s="16" t="s">
        <v>301</v>
      </c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>
        <v>0</v>
      </c>
      <c r="S231" s="33">
        <v>0</v>
      </c>
      <c r="T231" s="33"/>
      <c r="U231" s="33">
        <v>0</v>
      </c>
      <c r="V231" s="33">
        <v>0</v>
      </c>
      <c r="W231" s="33"/>
      <c r="X231" s="33">
        <v>0</v>
      </c>
      <c r="Y231" s="33">
        <v>0</v>
      </c>
      <c r="Z231" s="33"/>
      <c r="AA231" s="33">
        <v>0</v>
      </c>
      <c r="AB231" s="33">
        <v>0</v>
      </c>
      <c r="AC231" s="32">
        <f t="shared" si="38"/>
        <v>0</v>
      </c>
      <c r="AD231" s="32">
        <f t="shared" si="39"/>
        <v>0</v>
      </c>
      <c r="AE231" s="33"/>
      <c r="AF231" s="24"/>
      <c r="AG231" s="24"/>
      <c r="AH231" s="39"/>
      <c r="AI231" s="24">
        <f t="shared" si="40"/>
        <v>0</v>
      </c>
      <c r="AJ231" s="24"/>
      <c r="AK231" s="3"/>
    </row>
    <row r="232" spans="1:38">
      <c r="A232" s="17" t="s">
        <v>407</v>
      </c>
      <c r="B232" s="16" t="s">
        <v>303</v>
      </c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>
        <v>0</v>
      </c>
      <c r="S232" s="33">
        <v>0</v>
      </c>
      <c r="T232" s="33"/>
      <c r="U232" s="33">
        <v>0</v>
      </c>
      <c r="V232" s="33">
        <v>0</v>
      </c>
      <c r="W232" s="33"/>
      <c r="X232" s="33">
        <v>0</v>
      </c>
      <c r="Y232" s="33">
        <v>0</v>
      </c>
      <c r="Z232" s="33"/>
      <c r="AA232" s="33">
        <v>0</v>
      </c>
      <c r="AB232" s="33">
        <v>0</v>
      </c>
      <c r="AC232" s="32">
        <f t="shared" si="38"/>
        <v>0</v>
      </c>
      <c r="AD232" s="32">
        <f t="shared" si="39"/>
        <v>0</v>
      </c>
      <c r="AE232" s="33"/>
      <c r="AF232" s="24"/>
      <c r="AG232" s="24"/>
      <c r="AH232" s="39"/>
      <c r="AI232" s="24">
        <f t="shared" si="40"/>
        <v>0</v>
      </c>
      <c r="AJ232" s="24"/>
      <c r="AK232" s="3"/>
    </row>
    <row r="233" spans="1:38">
      <c r="A233" s="17" t="s">
        <v>408</v>
      </c>
      <c r="B233" s="16" t="s">
        <v>305</v>
      </c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>
        <v>0</v>
      </c>
      <c r="S233" s="33">
        <v>0</v>
      </c>
      <c r="T233" s="33"/>
      <c r="U233" s="33">
        <v>0</v>
      </c>
      <c r="V233" s="33">
        <v>0</v>
      </c>
      <c r="W233" s="33"/>
      <c r="X233" s="33">
        <v>0</v>
      </c>
      <c r="Y233" s="33">
        <v>0</v>
      </c>
      <c r="Z233" s="33"/>
      <c r="AA233" s="33">
        <v>0</v>
      </c>
      <c r="AB233" s="33">
        <v>0</v>
      </c>
      <c r="AC233" s="32">
        <f t="shared" si="38"/>
        <v>0</v>
      </c>
      <c r="AD233" s="32">
        <f t="shared" si="39"/>
        <v>0</v>
      </c>
      <c r="AE233" s="33"/>
      <c r="AF233" s="24"/>
      <c r="AG233" s="24"/>
      <c r="AH233" s="39"/>
      <c r="AI233" s="24">
        <f t="shared" si="40"/>
        <v>0</v>
      </c>
      <c r="AJ233" s="24"/>
      <c r="AK233" s="3"/>
    </row>
    <row r="234" spans="1:38">
      <c r="A234" s="17" t="s">
        <v>409</v>
      </c>
      <c r="B234" s="16" t="s">
        <v>341</v>
      </c>
      <c r="C234" s="33">
        <v>7062.04</v>
      </c>
      <c r="D234" s="33">
        <v>4585</v>
      </c>
      <c r="E234" s="33"/>
      <c r="F234" s="33">
        <v>4529.91</v>
      </c>
      <c r="G234" s="33">
        <v>4580</v>
      </c>
      <c r="H234" s="33"/>
      <c r="I234" s="33">
        <v>5724.3</v>
      </c>
      <c r="J234" s="33">
        <v>4585</v>
      </c>
      <c r="K234" s="33"/>
      <c r="L234" s="33">
        <v>1949.9</v>
      </c>
      <c r="M234" s="33">
        <v>4580</v>
      </c>
      <c r="N234" s="33"/>
      <c r="O234" s="33">
        <v>5673.95</v>
      </c>
      <c r="P234" s="33">
        <v>4585</v>
      </c>
      <c r="Q234" s="33"/>
      <c r="R234" s="33">
        <v>5414.47</v>
      </c>
      <c r="S234" s="33">
        <v>4580</v>
      </c>
      <c r="T234" s="33"/>
      <c r="U234" s="33">
        <v>4038.19</v>
      </c>
      <c r="V234" s="33">
        <v>4580</v>
      </c>
      <c r="W234" s="33"/>
      <c r="X234" s="33">
        <v>4765.28</v>
      </c>
      <c r="Y234" s="33">
        <v>4585</v>
      </c>
      <c r="Z234" s="33"/>
      <c r="AA234" s="33">
        <v>2984.47</v>
      </c>
      <c r="AB234" s="33">
        <v>4585</v>
      </c>
      <c r="AC234" s="32">
        <f t="shared" si="38"/>
        <v>42142.51</v>
      </c>
      <c r="AD234" s="32">
        <f t="shared" si="39"/>
        <v>41245</v>
      </c>
      <c r="AE234" s="33"/>
      <c r="AF234" s="24">
        <v>55000</v>
      </c>
      <c r="AG234" s="24">
        <v>55000</v>
      </c>
      <c r="AH234" s="39"/>
      <c r="AI234" s="24">
        <f t="shared" si="40"/>
        <v>55000</v>
      </c>
      <c r="AJ234" s="24"/>
      <c r="AK234" s="3"/>
    </row>
    <row r="235" spans="1:38">
      <c r="A235" s="17">
        <v>6030603</v>
      </c>
      <c r="B235" s="16" t="s">
        <v>410</v>
      </c>
      <c r="C235" s="33"/>
      <c r="D235" s="33">
        <v>210</v>
      </c>
      <c r="E235" s="33"/>
      <c r="F235" s="33"/>
      <c r="G235" s="33">
        <v>205</v>
      </c>
      <c r="H235" s="33"/>
      <c r="I235" s="33">
        <v>40.57</v>
      </c>
      <c r="J235" s="33">
        <v>210</v>
      </c>
      <c r="K235" s="33"/>
      <c r="L235" s="33">
        <v>110.25</v>
      </c>
      <c r="M235" s="33">
        <v>210</v>
      </c>
      <c r="N235" s="33"/>
      <c r="O235" s="33">
        <v>174.4</v>
      </c>
      <c r="P235" s="33">
        <v>205</v>
      </c>
      <c r="Q235" s="33"/>
      <c r="R235" s="33">
        <v>180.8</v>
      </c>
      <c r="S235" s="33">
        <v>205</v>
      </c>
      <c r="T235" s="33"/>
      <c r="U235" s="33">
        <v>237.7</v>
      </c>
      <c r="V235" s="33">
        <v>210</v>
      </c>
      <c r="W235" s="33"/>
      <c r="X235" s="33">
        <v>309.98</v>
      </c>
      <c r="Y235" s="33">
        <v>210</v>
      </c>
      <c r="Z235" s="33"/>
      <c r="AA235" s="33">
        <v>374.45</v>
      </c>
      <c r="AB235" s="33">
        <v>205</v>
      </c>
      <c r="AC235" s="32">
        <f t="shared" si="38"/>
        <v>1428.15</v>
      </c>
      <c r="AD235" s="32">
        <f t="shared" si="39"/>
        <v>1870</v>
      </c>
      <c r="AE235" s="33"/>
      <c r="AF235" s="24"/>
      <c r="AG235" s="59">
        <v>2500</v>
      </c>
      <c r="AH235" s="39"/>
      <c r="AI235" s="59">
        <f t="shared" si="40"/>
        <v>2500</v>
      </c>
      <c r="AJ235" s="59"/>
      <c r="AK235" s="3"/>
    </row>
    <row r="236" spans="1:38">
      <c r="A236" s="17">
        <v>6030605</v>
      </c>
      <c r="B236" s="16" t="s">
        <v>307</v>
      </c>
      <c r="C236" s="33">
        <v>298.3</v>
      </c>
      <c r="D236" s="33">
        <v>40</v>
      </c>
      <c r="E236" s="33"/>
      <c r="F236" s="33"/>
      <c r="G236" s="33">
        <v>45</v>
      </c>
      <c r="H236" s="33"/>
      <c r="I236" s="33"/>
      <c r="J236" s="33">
        <v>40</v>
      </c>
      <c r="K236" s="33"/>
      <c r="L236" s="33"/>
      <c r="M236" s="33">
        <v>45</v>
      </c>
      <c r="N236" s="33"/>
      <c r="O236" s="33"/>
      <c r="P236" s="33">
        <v>40</v>
      </c>
      <c r="Q236" s="33"/>
      <c r="R236" s="33">
        <v>0</v>
      </c>
      <c r="S236" s="33">
        <v>45</v>
      </c>
      <c r="T236" s="33"/>
      <c r="U236" s="33">
        <v>0</v>
      </c>
      <c r="V236" s="33">
        <v>40</v>
      </c>
      <c r="W236" s="33"/>
      <c r="X236" s="33">
        <v>0</v>
      </c>
      <c r="Y236" s="33">
        <v>45</v>
      </c>
      <c r="Z236" s="33"/>
      <c r="AA236" s="33">
        <v>0</v>
      </c>
      <c r="AB236" s="33">
        <v>40</v>
      </c>
      <c r="AC236" s="32">
        <f t="shared" si="38"/>
        <v>298.3</v>
      </c>
      <c r="AD236" s="32">
        <f t="shared" si="39"/>
        <v>380</v>
      </c>
      <c r="AE236" s="33"/>
      <c r="AF236" s="24"/>
      <c r="AG236" s="59">
        <v>500</v>
      </c>
      <c r="AH236" s="39"/>
      <c r="AI236" s="59">
        <f t="shared" si="40"/>
        <v>500</v>
      </c>
      <c r="AJ236" s="59"/>
      <c r="AK236" s="3"/>
    </row>
    <row r="237" spans="1:38">
      <c r="A237" s="17" t="s">
        <v>411</v>
      </c>
      <c r="B237" s="16" t="s">
        <v>412</v>
      </c>
      <c r="C237" s="33">
        <v>3759.11</v>
      </c>
      <c r="D237" s="33">
        <v>2915</v>
      </c>
      <c r="E237" s="33"/>
      <c r="F237" s="33">
        <v>10772.36</v>
      </c>
      <c r="G237" s="33">
        <v>2920</v>
      </c>
      <c r="H237" s="33"/>
      <c r="I237" s="33">
        <v>1515.36</v>
      </c>
      <c r="J237" s="33">
        <v>2915</v>
      </c>
      <c r="K237" s="33"/>
      <c r="L237" s="33">
        <v>2177.11</v>
      </c>
      <c r="M237" s="33">
        <v>2915</v>
      </c>
      <c r="N237" s="33"/>
      <c r="O237" s="33">
        <v>2329.7199999999998</v>
      </c>
      <c r="P237" s="33">
        <v>2915</v>
      </c>
      <c r="Q237" s="33"/>
      <c r="R237" s="33">
        <v>2467.6799999999998</v>
      </c>
      <c r="S237" s="33">
        <v>2920</v>
      </c>
      <c r="T237" s="33"/>
      <c r="U237" s="33">
        <v>5901.07</v>
      </c>
      <c r="V237" s="33">
        <v>2920</v>
      </c>
      <c r="W237" s="33"/>
      <c r="X237" s="33">
        <v>1584.21</v>
      </c>
      <c r="Y237" s="33">
        <v>2915</v>
      </c>
      <c r="Z237" s="33"/>
      <c r="AA237" s="33">
        <v>4355.93</v>
      </c>
      <c r="AB237" s="33">
        <v>2915</v>
      </c>
      <c r="AC237" s="32">
        <f t="shared" si="38"/>
        <v>34862.550000000003</v>
      </c>
      <c r="AD237" s="32">
        <f t="shared" si="39"/>
        <v>26250</v>
      </c>
      <c r="AE237" s="33"/>
      <c r="AF237" s="24">
        <v>25000</v>
      </c>
      <c r="AG237" s="59">
        <v>35000</v>
      </c>
      <c r="AH237" s="39"/>
      <c r="AI237" s="59">
        <f t="shared" si="40"/>
        <v>35000</v>
      </c>
      <c r="AJ237" s="59"/>
      <c r="AK237" s="3"/>
    </row>
    <row r="238" spans="1:38">
      <c r="A238" s="17" t="s">
        <v>413</v>
      </c>
      <c r="B238" s="16" t="s">
        <v>311</v>
      </c>
      <c r="C238" s="33">
        <v>625</v>
      </c>
      <c r="D238" s="33">
        <v>420</v>
      </c>
      <c r="E238" s="33"/>
      <c r="F238" s="33">
        <v>75</v>
      </c>
      <c r="G238" s="33">
        <v>410</v>
      </c>
      <c r="H238" s="33"/>
      <c r="I238" s="33">
        <v>75</v>
      </c>
      <c r="J238" s="33">
        <v>420</v>
      </c>
      <c r="K238" s="33"/>
      <c r="L238" s="33"/>
      <c r="M238" s="33">
        <v>420</v>
      </c>
      <c r="N238" s="33"/>
      <c r="O238" s="33">
        <v>808</v>
      </c>
      <c r="P238" s="33">
        <v>410</v>
      </c>
      <c r="Q238" s="33"/>
      <c r="R238" s="33">
        <v>171</v>
      </c>
      <c r="S238" s="33">
        <v>410</v>
      </c>
      <c r="T238" s="33"/>
      <c r="U238" s="33">
        <v>250</v>
      </c>
      <c r="V238" s="33">
        <v>420</v>
      </c>
      <c r="W238" s="33"/>
      <c r="X238" s="33">
        <v>130</v>
      </c>
      <c r="Y238" s="33">
        <v>420</v>
      </c>
      <c r="Z238" s="33"/>
      <c r="AA238" s="33">
        <v>75</v>
      </c>
      <c r="AB238" s="33">
        <v>410</v>
      </c>
      <c r="AC238" s="32">
        <f t="shared" si="38"/>
        <v>2209</v>
      </c>
      <c r="AD238" s="32">
        <f t="shared" si="39"/>
        <v>3740</v>
      </c>
      <c r="AE238" s="33"/>
      <c r="AF238" s="24">
        <v>20000</v>
      </c>
      <c r="AG238" s="58">
        <v>5000</v>
      </c>
      <c r="AH238" s="39"/>
      <c r="AI238" s="58">
        <f t="shared" si="40"/>
        <v>5000</v>
      </c>
      <c r="AJ238" s="58"/>
      <c r="AK238" s="3"/>
    </row>
    <row r="239" spans="1:38">
      <c r="A239" s="17">
        <v>6031125</v>
      </c>
      <c r="B239" s="16" t="s">
        <v>414</v>
      </c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>
        <v>38</v>
      </c>
      <c r="AB239" s="33"/>
      <c r="AC239" s="32">
        <f t="shared" si="38"/>
        <v>38</v>
      </c>
      <c r="AD239" s="32">
        <f t="shared" si="38"/>
        <v>0</v>
      </c>
      <c r="AE239" s="33"/>
      <c r="AF239" s="24"/>
      <c r="AH239" s="39"/>
      <c r="AK239" s="3"/>
    </row>
    <row r="240" spans="1:38">
      <c r="A240" s="17" t="s">
        <v>415</v>
      </c>
      <c r="B240" s="16" t="s">
        <v>313</v>
      </c>
      <c r="C240" s="33">
        <v>11320.65</v>
      </c>
      <c r="D240" s="33">
        <v>12500</v>
      </c>
      <c r="E240" s="33"/>
      <c r="F240" s="33">
        <v>14368.38</v>
      </c>
      <c r="G240" s="33">
        <v>12500</v>
      </c>
      <c r="H240" s="33"/>
      <c r="I240" s="33">
        <v>11320.65</v>
      </c>
      <c r="J240" s="33">
        <v>12500</v>
      </c>
      <c r="K240" s="33"/>
      <c r="L240" s="33">
        <v>11320.65</v>
      </c>
      <c r="M240" s="33">
        <v>12500</v>
      </c>
      <c r="N240" s="33"/>
      <c r="O240" s="33">
        <v>11320.65</v>
      </c>
      <c r="P240" s="33">
        <v>12500</v>
      </c>
      <c r="Q240" s="33"/>
      <c r="R240" s="33">
        <v>11320.65</v>
      </c>
      <c r="S240" s="33">
        <v>12500</v>
      </c>
      <c r="T240" s="33"/>
      <c r="U240" s="33">
        <v>11320.65</v>
      </c>
      <c r="V240" s="33">
        <v>12500</v>
      </c>
      <c r="W240" s="33"/>
      <c r="X240" s="33">
        <v>11320.65</v>
      </c>
      <c r="Y240" s="33">
        <v>12500</v>
      </c>
      <c r="Z240" s="33"/>
      <c r="AA240" s="33">
        <v>11320.65</v>
      </c>
      <c r="AB240" s="33">
        <v>12500</v>
      </c>
      <c r="AC240" s="32">
        <f t="shared" si="38"/>
        <v>104933.57999999999</v>
      </c>
      <c r="AD240" s="32">
        <f t="shared" si="39"/>
        <v>112500</v>
      </c>
      <c r="AE240" s="33"/>
      <c r="AF240" s="24">
        <v>150000</v>
      </c>
      <c r="AG240" s="24">
        <v>150000</v>
      </c>
      <c r="AH240" s="39"/>
      <c r="AI240" s="24">
        <f t="shared" ref="AI240:AI252" si="41">+AG240</f>
        <v>150000</v>
      </c>
      <c r="AJ240" s="24"/>
      <c r="AK240" s="3"/>
    </row>
    <row r="241" spans="1:37">
      <c r="A241" s="17" t="s">
        <v>416</v>
      </c>
      <c r="B241" s="16" t="s">
        <v>315</v>
      </c>
      <c r="C241" s="33">
        <v>48</v>
      </c>
      <c r="D241" s="33">
        <v>2085</v>
      </c>
      <c r="E241" s="33"/>
      <c r="F241" s="33">
        <v>1290</v>
      </c>
      <c r="G241" s="33">
        <v>2080</v>
      </c>
      <c r="H241" s="33"/>
      <c r="I241" s="33">
        <v>6556.94</v>
      </c>
      <c r="J241" s="33">
        <v>2080</v>
      </c>
      <c r="K241" s="33"/>
      <c r="L241" s="33"/>
      <c r="M241" s="33">
        <v>2085</v>
      </c>
      <c r="N241" s="33"/>
      <c r="O241" s="33">
        <v>-4880.96</v>
      </c>
      <c r="P241" s="33">
        <v>2080</v>
      </c>
      <c r="Q241" s="33"/>
      <c r="R241" s="33">
        <v>0</v>
      </c>
      <c r="S241" s="33">
        <v>2080</v>
      </c>
      <c r="T241" s="33"/>
      <c r="U241" s="33">
        <v>0</v>
      </c>
      <c r="V241" s="33">
        <v>2085</v>
      </c>
      <c r="W241" s="33"/>
      <c r="X241" s="33">
        <v>17234</v>
      </c>
      <c r="Y241" s="33">
        <v>2085</v>
      </c>
      <c r="Z241" s="33"/>
      <c r="AA241" s="33">
        <v>0</v>
      </c>
      <c r="AB241" s="33">
        <v>2085</v>
      </c>
      <c r="AC241" s="32">
        <f t="shared" si="38"/>
        <v>20247.98</v>
      </c>
      <c r="AD241" s="32">
        <f t="shared" si="39"/>
        <v>18745</v>
      </c>
      <c r="AE241" s="33"/>
      <c r="AF241" s="24">
        <v>1000</v>
      </c>
      <c r="AG241" s="59">
        <v>25000</v>
      </c>
      <c r="AH241" s="39"/>
      <c r="AI241" s="59">
        <f t="shared" si="41"/>
        <v>25000</v>
      </c>
      <c r="AJ241" s="59"/>
      <c r="AK241" s="3"/>
    </row>
    <row r="242" spans="1:37">
      <c r="A242" s="17" t="s">
        <v>417</v>
      </c>
      <c r="B242" s="16" t="s">
        <v>418</v>
      </c>
      <c r="C242" s="33">
        <v>265</v>
      </c>
      <c r="D242" s="33">
        <v>1080</v>
      </c>
      <c r="E242" s="33"/>
      <c r="F242" s="33">
        <v>885</v>
      </c>
      <c r="G242" s="33">
        <v>1085</v>
      </c>
      <c r="H242" s="33"/>
      <c r="I242" s="33"/>
      <c r="J242" s="33">
        <v>1085</v>
      </c>
      <c r="K242" s="33"/>
      <c r="L242" s="33"/>
      <c r="M242" s="33">
        <v>1080</v>
      </c>
      <c r="N242" s="33"/>
      <c r="O242" s="33">
        <v>530.04999999999995</v>
      </c>
      <c r="P242" s="33">
        <v>1080</v>
      </c>
      <c r="Q242" s="33"/>
      <c r="R242" s="33">
        <v>5324.85</v>
      </c>
      <c r="S242" s="33">
        <v>1085</v>
      </c>
      <c r="T242" s="33"/>
      <c r="U242" s="33">
        <v>50</v>
      </c>
      <c r="V242" s="33">
        <v>1080</v>
      </c>
      <c r="W242" s="33"/>
      <c r="X242" s="33">
        <v>480</v>
      </c>
      <c r="Y242" s="33">
        <v>1085</v>
      </c>
      <c r="Z242" s="33"/>
      <c r="AA242" s="33">
        <v>2233.64</v>
      </c>
      <c r="AB242" s="33">
        <v>1085</v>
      </c>
      <c r="AC242" s="32">
        <f t="shared" si="38"/>
        <v>9768.5400000000009</v>
      </c>
      <c r="AD242" s="32">
        <f t="shared" si="39"/>
        <v>9745</v>
      </c>
      <c r="AE242" s="33"/>
      <c r="AF242" s="24">
        <v>15000</v>
      </c>
      <c r="AG242" s="59">
        <v>13000</v>
      </c>
      <c r="AH242" s="39"/>
      <c r="AI242" s="59">
        <f t="shared" si="41"/>
        <v>13000</v>
      </c>
      <c r="AJ242" s="59"/>
      <c r="AK242" s="3"/>
    </row>
    <row r="243" spans="1:37">
      <c r="A243" s="17">
        <v>6031425</v>
      </c>
      <c r="B243" s="16" t="s">
        <v>419</v>
      </c>
      <c r="C243" s="33">
        <v>576.29999999999995</v>
      </c>
      <c r="D243" s="33">
        <v>80</v>
      </c>
      <c r="E243" s="33"/>
      <c r="F243" s="33">
        <v>0</v>
      </c>
      <c r="G243" s="33">
        <v>85</v>
      </c>
      <c r="H243" s="33"/>
      <c r="I243" s="33"/>
      <c r="J243" s="33">
        <v>85</v>
      </c>
      <c r="K243" s="33"/>
      <c r="L243" s="33"/>
      <c r="M243" s="33">
        <v>80</v>
      </c>
      <c r="N243" s="33"/>
      <c r="O243" s="33"/>
      <c r="P243" s="33">
        <v>80</v>
      </c>
      <c r="Q243" s="33"/>
      <c r="R243" s="33">
        <v>0</v>
      </c>
      <c r="S243" s="33">
        <v>85</v>
      </c>
      <c r="T243" s="33"/>
      <c r="U243" s="33">
        <v>0</v>
      </c>
      <c r="V243" s="33">
        <v>80</v>
      </c>
      <c r="W243" s="33"/>
      <c r="X243" s="33">
        <v>20</v>
      </c>
      <c r="Y243" s="33">
        <v>85</v>
      </c>
      <c r="Z243" s="33"/>
      <c r="AA243" s="33">
        <v>0</v>
      </c>
      <c r="AB243" s="33">
        <v>85</v>
      </c>
      <c r="AC243" s="32">
        <f t="shared" si="38"/>
        <v>596.29999999999995</v>
      </c>
      <c r="AD243" s="32">
        <f t="shared" si="39"/>
        <v>745</v>
      </c>
      <c r="AE243" s="33"/>
      <c r="AF243" s="24"/>
      <c r="AG243" s="59">
        <v>1000</v>
      </c>
      <c r="AH243" s="39"/>
      <c r="AI243" s="59">
        <f t="shared" si="41"/>
        <v>1000</v>
      </c>
      <c r="AJ243" s="59"/>
      <c r="AK243" s="3"/>
    </row>
    <row r="244" spans="1:37">
      <c r="A244" s="17">
        <v>6031450</v>
      </c>
      <c r="B244" s="16" t="s">
        <v>420</v>
      </c>
      <c r="C244" s="33">
        <v>70</v>
      </c>
      <c r="D244" s="33">
        <v>80</v>
      </c>
      <c r="E244" s="33"/>
      <c r="F244" s="33">
        <v>580</v>
      </c>
      <c r="G244" s="33">
        <v>85</v>
      </c>
      <c r="H244" s="33"/>
      <c r="I244" s="33">
        <v>300</v>
      </c>
      <c r="J244" s="33">
        <v>85</v>
      </c>
      <c r="K244" s="33"/>
      <c r="L244" s="33"/>
      <c r="M244" s="33">
        <v>80</v>
      </c>
      <c r="N244" s="33"/>
      <c r="O244" s="33"/>
      <c r="P244" s="33">
        <v>80</v>
      </c>
      <c r="Q244" s="33"/>
      <c r="R244" s="33">
        <v>0</v>
      </c>
      <c r="S244" s="33">
        <v>85</v>
      </c>
      <c r="T244" s="33"/>
      <c r="U244" s="33">
        <v>0</v>
      </c>
      <c r="V244" s="33">
        <v>80</v>
      </c>
      <c r="W244" s="33"/>
      <c r="X244" s="33">
        <v>0</v>
      </c>
      <c r="Y244" s="33">
        <v>85</v>
      </c>
      <c r="Z244" s="33"/>
      <c r="AA244" s="33">
        <v>0</v>
      </c>
      <c r="AB244" s="33">
        <v>85</v>
      </c>
      <c r="AC244" s="32">
        <f t="shared" si="38"/>
        <v>950</v>
      </c>
      <c r="AD244" s="32">
        <f t="shared" si="39"/>
        <v>745</v>
      </c>
      <c r="AE244" s="33"/>
      <c r="AF244" s="24"/>
      <c r="AG244" s="59">
        <v>1000</v>
      </c>
      <c r="AH244" s="39"/>
      <c r="AI244" s="59">
        <f t="shared" si="41"/>
        <v>1000</v>
      </c>
      <c r="AJ244" s="59"/>
      <c r="AK244" s="3"/>
    </row>
    <row r="245" spans="1:37">
      <c r="A245" s="17">
        <v>6031475</v>
      </c>
      <c r="B245" s="16" t="s">
        <v>421</v>
      </c>
      <c r="C245" s="33">
        <v>7102.03</v>
      </c>
      <c r="D245" s="33">
        <v>2085</v>
      </c>
      <c r="E245" s="33"/>
      <c r="F245" s="33">
        <v>1976</v>
      </c>
      <c r="G245" s="33">
        <v>2080</v>
      </c>
      <c r="H245" s="33"/>
      <c r="I245" s="33"/>
      <c r="J245" s="33">
        <v>2080</v>
      </c>
      <c r="K245" s="33"/>
      <c r="L245" s="33">
        <v>6406.54</v>
      </c>
      <c r="M245" s="33">
        <v>2085</v>
      </c>
      <c r="N245" s="33"/>
      <c r="O245" s="33">
        <v>5075.6000000000004</v>
      </c>
      <c r="P245" s="33">
        <v>2080</v>
      </c>
      <c r="Q245" s="33"/>
      <c r="R245" s="33">
        <v>1545.14</v>
      </c>
      <c r="S245" s="33">
        <v>2080</v>
      </c>
      <c r="T245" s="33"/>
      <c r="U245" s="33">
        <v>0</v>
      </c>
      <c r="V245" s="33">
        <v>2085</v>
      </c>
      <c r="W245" s="33"/>
      <c r="X245" s="33">
        <v>528.21</v>
      </c>
      <c r="Y245" s="33">
        <v>2085</v>
      </c>
      <c r="Z245" s="33"/>
      <c r="AA245" s="33">
        <v>0</v>
      </c>
      <c r="AB245" s="33">
        <v>2085</v>
      </c>
      <c r="AC245" s="32">
        <f t="shared" si="38"/>
        <v>22633.519999999997</v>
      </c>
      <c r="AD245" s="32">
        <f t="shared" si="39"/>
        <v>18745</v>
      </c>
      <c r="AE245" s="33"/>
      <c r="AF245" s="24">
        <v>14000</v>
      </c>
      <c r="AG245" s="59">
        <v>25000</v>
      </c>
      <c r="AH245" s="39"/>
      <c r="AI245" s="59">
        <f t="shared" si="41"/>
        <v>25000</v>
      </c>
      <c r="AJ245" s="59"/>
      <c r="AK245" s="3"/>
    </row>
    <row r="246" spans="1:37">
      <c r="A246" s="17" t="s">
        <v>422</v>
      </c>
      <c r="B246" s="16" t="s">
        <v>319</v>
      </c>
      <c r="C246" s="33">
        <v>1718.4</v>
      </c>
      <c r="D246" s="33">
        <v>1250</v>
      </c>
      <c r="E246" s="33"/>
      <c r="F246" s="33">
        <v>3470.43</v>
      </c>
      <c r="G246" s="33">
        <v>1250</v>
      </c>
      <c r="H246" s="33"/>
      <c r="I246" s="33">
        <v>2540.98</v>
      </c>
      <c r="J246" s="33">
        <v>1250</v>
      </c>
      <c r="K246" s="33"/>
      <c r="L246" s="33">
        <v>161.65</v>
      </c>
      <c r="M246" s="33">
        <v>1250</v>
      </c>
      <c r="N246" s="33"/>
      <c r="O246" s="33">
        <v>2073.59</v>
      </c>
      <c r="P246" s="33">
        <v>1250</v>
      </c>
      <c r="Q246" s="33"/>
      <c r="R246" s="33">
        <v>1148.49</v>
      </c>
      <c r="S246" s="33">
        <v>1250</v>
      </c>
      <c r="T246" s="33"/>
      <c r="U246" s="33">
        <v>415.79</v>
      </c>
      <c r="V246" s="33">
        <v>1250</v>
      </c>
      <c r="W246" s="33"/>
      <c r="X246" s="33">
        <v>1703.62</v>
      </c>
      <c r="Y246" s="33">
        <v>1250</v>
      </c>
      <c r="Z246" s="33"/>
      <c r="AA246" s="33">
        <v>1192.19</v>
      </c>
      <c r="AB246" s="33">
        <v>1250</v>
      </c>
      <c r="AC246" s="32">
        <f t="shared" si="38"/>
        <v>14425.140000000001</v>
      </c>
      <c r="AD246" s="32">
        <f t="shared" si="39"/>
        <v>11250</v>
      </c>
      <c r="AE246" s="33"/>
      <c r="AF246" s="24">
        <v>12000</v>
      </c>
      <c r="AG246" s="59">
        <v>15000</v>
      </c>
      <c r="AH246" s="39"/>
      <c r="AI246" s="59">
        <f t="shared" si="41"/>
        <v>15000</v>
      </c>
      <c r="AJ246" s="59"/>
      <c r="AK246" s="3"/>
    </row>
    <row r="247" spans="1:37">
      <c r="A247" s="17">
        <v>6031550</v>
      </c>
      <c r="B247" s="16" t="s">
        <v>423</v>
      </c>
      <c r="C247" s="33">
        <v>3189.45</v>
      </c>
      <c r="D247" s="33">
        <v>1670</v>
      </c>
      <c r="E247" s="33"/>
      <c r="F247" s="33">
        <v>395.18</v>
      </c>
      <c r="G247" s="33">
        <v>1665</v>
      </c>
      <c r="H247" s="33"/>
      <c r="I247" s="33">
        <v>1778.78</v>
      </c>
      <c r="J247" s="33">
        <v>1670</v>
      </c>
      <c r="K247" s="33"/>
      <c r="L247" s="33">
        <v>12100</v>
      </c>
      <c r="M247" s="33">
        <v>1665</v>
      </c>
      <c r="N247" s="33"/>
      <c r="O247" s="33">
        <v>436.83</v>
      </c>
      <c r="P247" s="33">
        <v>1670</v>
      </c>
      <c r="Q247" s="33"/>
      <c r="R247" s="33">
        <v>649.33000000000004</v>
      </c>
      <c r="S247" s="33">
        <v>1665</v>
      </c>
      <c r="T247" s="33"/>
      <c r="U247" s="33">
        <v>90</v>
      </c>
      <c r="V247" s="33">
        <v>1670</v>
      </c>
      <c r="W247" s="33"/>
      <c r="X247" s="33">
        <v>732.65</v>
      </c>
      <c r="Y247" s="33">
        <v>1665</v>
      </c>
      <c r="Z247" s="33"/>
      <c r="AA247" s="33">
        <v>2090.56</v>
      </c>
      <c r="AB247" s="33">
        <v>1665</v>
      </c>
      <c r="AC247" s="32">
        <f t="shared" si="38"/>
        <v>21462.780000000006</v>
      </c>
      <c r="AD247" s="32">
        <f t="shared" si="39"/>
        <v>15005</v>
      </c>
      <c r="AE247" s="33"/>
      <c r="AF247" s="24">
        <v>8000</v>
      </c>
      <c r="AG247" s="59">
        <v>20000</v>
      </c>
      <c r="AH247" s="39"/>
      <c r="AI247" s="59">
        <f t="shared" si="41"/>
        <v>20000</v>
      </c>
      <c r="AJ247" s="59"/>
      <c r="AK247" s="3"/>
    </row>
    <row r="248" spans="1:37">
      <c r="A248" s="17">
        <v>6031600</v>
      </c>
      <c r="B248" s="16" t="s">
        <v>321</v>
      </c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>
        <v>0</v>
      </c>
      <c r="Y248" s="33"/>
      <c r="Z248" s="33"/>
      <c r="AA248" s="33">
        <v>0</v>
      </c>
      <c r="AB248" s="33"/>
      <c r="AC248" s="32">
        <f t="shared" si="38"/>
        <v>0</v>
      </c>
      <c r="AD248" s="32">
        <f t="shared" si="39"/>
        <v>0</v>
      </c>
      <c r="AE248" s="33"/>
      <c r="AF248" s="24"/>
      <c r="AG248" s="24"/>
      <c r="AH248" s="39"/>
      <c r="AI248" s="24">
        <f t="shared" si="41"/>
        <v>0</v>
      </c>
      <c r="AJ248" s="24"/>
      <c r="AK248" s="3"/>
    </row>
    <row r="249" spans="1:37">
      <c r="A249" s="17" t="s">
        <v>424</v>
      </c>
      <c r="B249" s="16" t="s">
        <v>219</v>
      </c>
      <c r="C249" s="33">
        <v>777.56</v>
      </c>
      <c r="D249" s="33">
        <v>915</v>
      </c>
      <c r="E249" s="33"/>
      <c r="F249" s="33">
        <v>3302.88</v>
      </c>
      <c r="G249" s="33">
        <v>920</v>
      </c>
      <c r="H249" s="33"/>
      <c r="I249" s="33">
        <v>318.61</v>
      </c>
      <c r="J249" s="33">
        <v>915</v>
      </c>
      <c r="K249" s="33"/>
      <c r="L249" s="33">
        <v>0</v>
      </c>
      <c r="M249" s="33">
        <v>920</v>
      </c>
      <c r="N249" s="33"/>
      <c r="O249" s="33">
        <v>2507.8000000000002</v>
      </c>
      <c r="P249" s="33">
        <v>915</v>
      </c>
      <c r="Q249" s="33"/>
      <c r="R249" s="33">
        <v>2615.6999999999998</v>
      </c>
      <c r="S249" s="33">
        <v>920</v>
      </c>
      <c r="T249" s="33"/>
      <c r="U249" s="33">
        <v>95</v>
      </c>
      <c r="V249" s="33">
        <v>915</v>
      </c>
      <c r="W249" s="33"/>
      <c r="X249" s="33">
        <v>491.23</v>
      </c>
      <c r="Y249" s="33">
        <v>920</v>
      </c>
      <c r="Z249" s="33"/>
      <c r="AA249" s="33">
        <v>1473.21</v>
      </c>
      <c r="AB249" s="33">
        <v>915</v>
      </c>
      <c r="AC249" s="32">
        <f t="shared" si="38"/>
        <v>11581.989999999998</v>
      </c>
      <c r="AD249" s="32">
        <f t="shared" si="39"/>
        <v>8255</v>
      </c>
      <c r="AE249" s="33"/>
      <c r="AF249" s="24">
        <v>5000</v>
      </c>
      <c r="AG249" s="59">
        <v>11000</v>
      </c>
      <c r="AH249" s="39"/>
      <c r="AI249" s="59">
        <f t="shared" si="41"/>
        <v>11000</v>
      </c>
      <c r="AJ249" s="59"/>
      <c r="AK249" s="3"/>
    </row>
    <row r="250" spans="1:37">
      <c r="A250" s="17" t="s">
        <v>425</v>
      </c>
      <c r="B250" s="16" t="s">
        <v>350</v>
      </c>
      <c r="C250" s="33">
        <v>2979.26</v>
      </c>
      <c r="D250" s="33">
        <v>4170</v>
      </c>
      <c r="E250" s="33"/>
      <c r="F250" s="33">
        <v>1679.35</v>
      </c>
      <c r="G250" s="33">
        <v>4160</v>
      </c>
      <c r="H250" s="33"/>
      <c r="I250" s="33"/>
      <c r="J250" s="33">
        <v>4160</v>
      </c>
      <c r="K250" s="33"/>
      <c r="L250" s="33"/>
      <c r="M250" s="33">
        <v>4170</v>
      </c>
      <c r="N250" s="33"/>
      <c r="O250" s="33">
        <v>250</v>
      </c>
      <c r="P250" s="33">
        <v>4160</v>
      </c>
      <c r="Q250" s="33"/>
      <c r="R250" s="33">
        <v>4370</v>
      </c>
      <c r="S250" s="33">
        <v>4160</v>
      </c>
      <c r="T250" s="33"/>
      <c r="U250" s="33">
        <v>0</v>
      </c>
      <c r="V250" s="33">
        <v>4170</v>
      </c>
      <c r="W250" s="33"/>
      <c r="X250" s="33">
        <v>38949.96</v>
      </c>
      <c r="Y250" s="33">
        <v>4170</v>
      </c>
      <c r="Z250" s="33"/>
      <c r="AA250" s="33">
        <v>3149.28</v>
      </c>
      <c r="AB250" s="33">
        <v>4170</v>
      </c>
      <c r="AC250" s="32">
        <f t="shared" si="38"/>
        <v>51377.85</v>
      </c>
      <c r="AD250" s="32">
        <f t="shared" si="39"/>
        <v>37490</v>
      </c>
      <c r="AE250" s="33"/>
      <c r="AF250" s="24">
        <v>10000</v>
      </c>
      <c r="AG250" s="59">
        <v>50000</v>
      </c>
      <c r="AH250" s="39"/>
      <c r="AI250" s="59">
        <f t="shared" si="41"/>
        <v>50000</v>
      </c>
      <c r="AJ250" s="59"/>
      <c r="AK250" s="3"/>
    </row>
    <row r="251" spans="1:37">
      <c r="A251" s="17" t="s">
        <v>426</v>
      </c>
      <c r="B251" s="16" t="s">
        <v>427</v>
      </c>
      <c r="C251" s="33">
        <v>680.17</v>
      </c>
      <c r="D251" s="33">
        <v>80</v>
      </c>
      <c r="E251" s="33"/>
      <c r="F251" s="33"/>
      <c r="G251" s="33">
        <v>85</v>
      </c>
      <c r="H251" s="33"/>
      <c r="I251" s="33"/>
      <c r="J251" s="33">
        <v>85</v>
      </c>
      <c r="K251" s="33"/>
      <c r="L251" s="33">
        <v>450</v>
      </c>
      <c r="M251" s="33">
        <v>80</v>
      </c>
      <c r="N251" s="33"/>
      <c r="O251" s="33"/>
      <c r="P251" s="33">
        <v>80</v>
      </c>
      <c r="Q251" s="33"/>
      <c r="R251" s="33">
        <v>300</v>
      </c>
      <c r="S251" s="33">
        <v>85</v>
      </c>
      <c r="T251" s="33"/>
      <c r="U251" s="33">
        <v>150</v>
      </c>
      <c r="V251" s="33">
        <v>80</v>
      </c>
      <c r="W251" s="33"/>
      <c r="X251" s="33">
        <v>0</v>
      </c>
      <c r="Y251" s="33">
        <v>85</v>
      </c>
      <c r="Z251" s="33"/>
      <c r="AA251" s="33">
        <v>0</v>
      </c>
      <c r="AB251" s="33">
        <v>85</v>
      </c>
      <c r="AC251" s="32">
        <f t="shared" si="38"/>
        <v>1580.17</v>
      </c>
      <c r="AD251" s="32">
        <f t="shared" si="39"/>
        <v>745</v>
      </c>
      <c r="AE251" s="33"/>
      <c r="AF251" s="24">
        <v>1000</v>
      </c>
      <c r="AG251" s="24">
        <v>1000</v>
      </c>
      <c r="AH251" s="39"/>
      <c r="AI251" s="24">
        <f t="shared" si="41"/>
        <v>1000</v>
      </c>
      <c r="AJ251" s="24"/>
      <c r="AK251" s="3"/>
    </row>
    <row r="252" spans="1:37">
      <c r="A252" s="17" t="s">
        <v>428</v>
      </c>
      <c r="B252" s="16" t="s">
        <v>351</v>
      </c>
      <c r="C252" s="33"/>
      <c r="D252" s="33">
        <v>1670</v>
      </c>
      <c r="E252" s="33"/>
      <c r="F252" s="33">
        <v>546.96</v>
      </c>
      <c r="G252" s="33">
        <v>1665</v>
      </c>
      <c r="H252" s="33"/>
      <c r="I252" s="33">
        <v>2762.87</v>
      </c>
      <c r="J252" s="33">
        <v>1670</v>
      </c>
      <c r="K252" s="33"/>
      <c r="L252" s="33">
        <v>2465</v>
      </c>
      <c r="M252" s="33">
        <v>1665</v>
      </c>
      <c r="N252" s="33"/>
      <c r="O252" s="33">
        <v>4299.17</v>
      </c>
      <c r="P252" s="33">
        <v>1670</v>
      </c>
      <c r="Q252" s="33"/>
      <c r="R252" s="33">
        <v>0</v>
      </c>
      <c r="S252" s="33">
        <v>1665</v>
      </c>
      <c r="T252" s="33"/>
      <c r="U252" s="33">
        <v>2420.9699999999998</v>
      </c>
      <c r="V252" s="33">
        <v>1670</v>
      </c>
      <c r="W252" s="33"/>
      <c r="X252" s="33">
        <v>424</v>
      </c>
      <c r="Y252" s="33">
        <v>1665</v>
      </c>
      <c r="Z252" s="33"/>
      <c r="AA252" s="33">
        <v>8645.9599999999991</v>
      </c>
      <c r="AB252" s="33">
        <v>1665</v>
      </c>
      <c r="AC252" s="32">
        <f t="shared" si="38"/>
        <v>21564.93</v>
      </c>
      <c r="AD252" s="32">
        <f t="shared" si="39"/>
        <v>15005</v>
      </c>
      <c r="AE252" s="33"/>
      <c r="AF252" s="24">
        <v>315000</v>
      </c>
      <c r="AG252" s="58">
        <v>20000</v>
      </c>
      <c r="AH252" s="39"/>
      <c r="AI252" s="58">
        <f t="shared" si="41"/>
        <v>20000</v>
      </c>
      <c r="AJ252" s="58">
        <f>+AG252-AI252</f>
        <v>0</v>
      </c>
      <c r="AK252" s="3"/>
    </row>
    <row r="253" spans="1:37">
      <c r="A253" s="17">
        <v>6032050</v>
      </c>
      <c r="B253" s="16" t="s">
        <v>323</v>
      </c>
      <c r="C253" s="33">
        <v>7947</v>
      </c>
      <c r="D253" s="33">
        <v>29165</v>
      </c>
      <c r="E253" s="33"/>
      <c r="F253" s="33">
        <v>65100.7</v>
      </c>
      <c r="G253" s="33">
        <v>29165</v>
      </c>
      <c r="H253" s="33"/>
      <c r="I253" s="33">
        <v>22277.52</v>
      </c>
      <c r="J253" s="33">
        <v>29170</v>
      </c>
      <c r="K253" s="33"/>
      <c r="L253" s="33">
        <v>16791</v>
      </c>
      <c r="M253" s="33">
        <v>29170</v>
      </c>
      <c r="N253" s="33"/>
      <c r="O253" s="33">
        <v>78301.240000000005</v>
      </c>
      <c r="P253" s="33">
        <v>29165</v>
      </c>
      <c r="Q253" s="33"/>
      <c r="R253" s="33">
        <v>87066.4</v>
      </c>
      <c r="S253" s="33">
        <v>29165</v>
      </c>
      <c r="T253" s="33"/>
      <c r="U253" s="33"/>
      <c r="V253" s="33">
        <v>29165</v>
      </c>
      <c r="W253" s="33"/>
      <c r="X253" s="33">
        <v>0</v>
      </c>
      <c r="Y253" s="33">
        <v>29165</v>
      </c>
      <c r="Z253" s="33"/>
      <c r="AA253" s="33">
        <v>22793.47</v>
      </c>
      <c r="AB253" s="33">
        <v>29170</v>
      </c>
      <c r="AC253" s="32">
        <f t="shared" si="38"/>
        <v>300277.32999999996</v>
      </c>
      <c r="AD253" s="32">
        <f t="shared" si="39"/>
        <v>262500</v>
      </c>
      <c r="AE253" s="33"/>
      <c r="AF253" s="24"/>
      <c r="AG253" s="59">
        <v>350000</v>
      </c>
      <c r="AH253" s="39"/>
      <c r="AI253" s="59">
        <v>0</v>
      </c>
      <c r="AJ253" s="59">
        <f>+AG253-AI253</f>
        <v>350000</v>
      </c>
      <c r="AK253" s="3"/>
    </row>
    <row r="254" spans="1:37">
      <c r="A254" s="15"/>
      <c r="B254" s="1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39"/>
      <c r="AI254" s="24"/>
      <c r="AJ254" s="24"/>
      <c r="AK254" s="3"/>
    </row>
    <row r="255" spans="1:37">
      <c r="A255" s="12" t="s">
        <v>104</v>
      </c>
      <c r="B255" s="11" t="s">
        <v>429</v>
      </c>
      <c r="C255" s="34">
        <f>SUM(C213:C254)</f>
        <v>198240.94</v>
      </c>
      <c r="D255" s="34">
        <f>SUM(D213:D254)</f>
        <v>273186</v>
      </c>
      <c r="E255" s="40"/>
      <c r="F255" s="34">
        <f>SUM(F213:F254)</f>
        <v>338273.22000000003</v>
      </c>
      <c r="G255" s="34">
        <f>SUM(G213:G254)</f>
        <v>289101</v>
      </c>
      <c r="H255" s="40"/>
      <c r="I255" s="34">
        <f>SUM(I213:I254)</f>
        <v>265774.2</v>
      </c>
      <c r="J255" s="34">
        <f>SUM(J213:J254)</f>
        <v>299645</v>
      </c>
      <c r="K255" s="40"/>
      <c r="L255" s="34">
        <f>SUM(L213:L254)</f>
        <v>320420.97000000003</v>
      </c>
      <c r="M255" s="34">
        <f>SUM(M213:M254)</f>
        <v>299312</v>
      </c>
      <c r="N255" s="40"/>
      <c r="O255" s="34">
        <f>SUM(O213:O254)</f>
        <v>428236</v>
      </c>
      <c r="P255" s="34">
        <f>SUM(P213:P254)</f>
        <v>388880</v>
      </c>
      <c r="Q255" s="40"/>
      <c r="R255" s="34">
        <f>SUM(R213:R254)</f>
        <v>357501.89</v>
      </c>
      <c r="S255" s="34">
        <f>SUM(S213:S254)</f>
        <v>299051</v>
      </c>
      <c r="T255" s="40"/>
      <c r="U255" s="34">
        <f>SUM(U213:U254)</f>
        <v>222960.57</v>
      </c>
      <c r="V255" s="34">
        <f>SUM(V213:V254)</f>
        <v>287945</v>
      </c>
      <c r="W255" s="40"/>
      <c r="X255" s="34">
        <f>SUM(X213:X254)</f>
        <v>293359.17</v>
      </c>
      <c r="Y255" s="34">
        <f>SUM(Y213:Y254)</f>
        <v>258422</v>
      </c>
      <c r="Z255" s="40"/>
      <c r="AA255" s="34">
        <f>SUM(AA213:AA254)</f>
        <v>257164.95999999996</v>
      </c>
      <c r="AB255" s="34">
        <f>SUM(AB213:AB254)</f>
        <v>258431</v>
      </c>
      <c r="AC255" s="55">
        <f>SUM(AC213:AC254)</f>
        <v>2681931.9200000009</v>
      </c>
      <c r="AD255" s="34">
        <f>SUM(AD213:AD254)</f>
        <v>2653973</v>
      </c>
      <c r="AE255" s="40"/>
      <c r="AF255" s="34">
        <f>SUM(AF213:AF254)</f>
        <v>3155324.91</v>
      </c>
      <c r="AG255" s="34">
        <f>SUM(AG213:AG254)</f>
        <v>3515204</v>
      </c>
      <c r="AH255" s="39"/>
      <c r="AI255" s="34">
        <f>SUM(AI213:AI254)</f>
        <v>3165204</v>
      </c>
      <c r="AJ255" s="34">
        <f>SUM(AJ213:AJ254)</f>
        <v>350000</v>
      </c>
      <c r="AK255" s="3"/>
    </row>
    <row r="256" spans="1:37"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F256" s="41"/>
      <c r="AG256" s="41"/>
      <c r="AH256" s="39"/>
      <c r="AI256" s="41"/>
      <c r="AJ256" s="41"/>
      <c r="AK256" s="3"/>
    </row>
    <row r="257" spans="1:37">
      <c r="A257" s="19" t="s">
        <v>430</v>
      </c>
      <c r="B257" s="18" t="s">
        <v>431</v>
      </c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1"/>
      <c r="AG257" s="41"/>
      <c r="AH257" s="39"/>
      <c r="AI257" s="41"/>
      <c r="AJ257" s="41"/>
      <c r="AK257" s="3"/>
    </row>
    <row r="258" spans="1:37">
      <c r="A258" s="17" t="s">
        <v>432</v>
      </c>
      <c r="B258" s="16" t="s">
        <v>433</v>
      </c>
      <c r="C258" s="33">
        <v>6170.83</v>
      </c>
      <c r="D258" s="33">
        <v>625</v>
      </c>
      <c r="E258" s="33"/>
      <c r="F258" s="33">
        <v>147.19999999999999</v>
      </c>
      <c r="G258" s="33">
        <v>625</v>
      </c>
      <c r="H258" s="33"/>
      <c r="I258" s="33">
        <v>165.61</v>
      </c>
      <c r="J258" s="33">
        <v>625</v>
      </c>
      <c r="K258" s="33"/>
      <c r="L258" s="33">
        <v>134.75</v>
      </c>
      <c r="M258" s="33">
        <v>625</v>
      </c>
      <c r="N258" s="33"/>
      <c r="O258" s="33">
        <v>141.78</v>
      </c>
      <c r="P258" s="33">
        <v>625</v>
      </c>
      <c r="Q258" s="33"/>
      <c r="R258" s="33">
        <v>85.46</v>
      </c>
      <c r="S258" s="33">
        <v>625</v>
      </c>
      <c r="T258" s="33"/>
      <c r="U258" s="33">
        <v>216.14</v>
      </c>
      <c r="V258" s="33">
        <v>625</v>
      </c>
      <c r="W258" s="33"/>
      <c r="X258" s="33">
        <v>145.22999999999999</v>
      </c>
      <c r="Y258" s="33">
        <v>625</v>
      </c>
      <c r="Z258" s="33"/>
      <c r="AA258" s="33">
        <v>132.37</v>
      </c>
      <c r="AB258" s="33">
        <v>625</v>
      </c>
      <c r="AC258" s="32">
        <f t="shared" ref="AC258:AC265" si="42">+C258+F258+I258+L258+O258+R258+U258+X258+AA258</f>
        <v>7339.369999999999</v>
      </c>
      <c r="AD258" s="32">
        <f t="shared" ref="AD258:AD265" si="43">+D258+G258+J258+M258+P258+S258+V258+Y258+AB258</f>
        <v>5625</v>
      </c>
      <c r="AE258" s="33"/>
      <c r="AF258" s="24">
        <v>7500</v>
      </c>
      <c r="AG258" s="24">
        <v>7500</v>
      </c>
      <c r="AH258" s="39"/>
      <c r="AI258" s="24">
        <f>+AG258</f>
        <v>7500</v>
      </c>
      <c r="AJ258" s="24"/>
      <c r="AK258" s="3"/>
    </row>
    <row r="259" spans="1:37">
      <c r="A259" s="17" t="s">
        <v>434</v>
      </c>
      <c r="B259" s="16" t="s">
        <v>435</v>
      </c>
      <c r="C259" s="33">
        <v>4682.34</v>
      </c>
      <c r="D259" s="33">
        <v>5835</v>
      </c>
      <c r="E259" s="33"/>
      <c r="F259" s="33">
        <v>3180.82</v>
      </c>
      <c r="G259" s="33">
        <v>5830</v>
      </c>
      <c r="H259" s="33"/>
      <c r="I259" s="33">
        <v>1200.75</v>
      </c>
      <c r="J259" s="33">
        <v>5830</v>
      </c>
      <c r="K259" s="33"/>
      <c r="L259" s="33">
        <v>15099.16</v>
      </c>
      <c r="M259" s="33">
        <v>5830</v>
      </c>
      <c r="N259" s="33"/>
      <c r="O259" s="33">
        <v>1334.85</v>
      </c>
      <c r="P259" s="33">
        <v>5835</v>
      </c>
      <c r="Q259" s="33"/>
      <c r="R259" s="33">
        <v>15486.11</v>
      </c>
      <c r="S259" s="33">
        <v>5830</v>
      </c>
      <c r="T259" s="33"/>
      <c r="U259" s="33">
        <v>7008.19</v>
      </c>
      <c r="V259" s="33">
        <v>5835</v>
      </c>
      <c r="W259" s="33"/>
      <c r="X259" s="33">
        <v>1987.44</v>
      </c>
      <c r="Y259" s="33">
        <v>5835</v>
      </c>
      <c r="Z259" s="33"/>
      <c r="AA259" s="33">
        <v>2170.2199999999998</v>
      </c>
      <c r="AB259" s="33">
        <v>5835</v>
      </c>
      <c r="AC259" s="32">
        <f t="shared" si="42"/>
        <v>52149.880000000005</v>
      </c>
      <c r="AD259" s="32">
        <f t="shared" si="43"/>
        <v>52495</v>
      </c>
      <c r="AE259" s="33"/>
      <c r="AF259" s="24">
        <v>70000</v>
      </c>
      <c r="AG259" s="24">
        <v>70000</v>
      </c>
      <c r="AH259" s="39"/>
      <c r="AI259" s="24">
        <f>+AG259</f>
        <v>70000</v>
      </c>
      <c r="AJ259" s="24"/>
      <c r="AK259" s="3"/>
    </row>
    <row r="260" spans="1:37">
      <c r="A260" s="17" t="s">
        <v>436</v>
      </c>
      <c r="B260" s="16" t="s">
        <v>437</v>
      </c>
      <c r="C260" s="33">
        <v>923.31</v>
      </c>
      <c r="D260" s="33">
        <v>1670</v>
      </c>
      <c r="E260" s="33"/>
      <c r="F260" s="33">
        <v>1313.3</v>
      </c>
      <c r="G260" s="33">
        <v>1665</v>
      </c>
      <c r="H260" s="33"/>
      <c r="I260" s="33">
        <v>1231.52</v>
      </c>
      <c r="J260" s="33">
        <v>1670</v>
      </c>
      <c r="K260" s="33"/>
      <c r="L260" s="33">
        <v>2181.81</v>
      </c>
      <c r="M260" s="33">
        <v>1665</v>
      </c>
      <c r="N260" s="33"/>
      <c r="O260" s="33">
        <v>1289.77</v>
      </c>
      <c r="P260" s="33">
        <v>1670</v>
      </c>
      <c r="Q260" s="33"/>
      <c r="R260" s="33">
        <v>1518.15</v>
      </c>
      <c r="S260" s="33">
        <v>1665</v>
      </c>
      <c r="T260" s="33"/>
      <c r="U260" s="33">
        <v>1048.33</v>
      </c>
      <c r="V260" s="33">
        <v>1670</v>
      </c>
      <c r="W260" s="33"/>
      <c r="X260" s="33">
        <v>1461.03</v>
      </c>
      <c r="Y260" s="33">
        <v>1665</v>
      </c>
      <c r="Z260" s="33"/>
      <c r="AA260" s="33">
        <v>1382.37</v>
      </c>
      <c r="AB260" s="33">
        <v>1665</v>
      </c>
      <c r="AC260" s="32">
        <f t="shared" si="42"/>
        <v>12349.59</v>
      </c>
      <c r="AD260" s="32">
        <f t="shared" si="43"/>
        <v>15005</v>
      </c>
      <c r="AE260" s="33"/>
      <c r="AF260" s="24">
        <v>20000</v>
      </c>
      <c r="AG260" s="24">
        <v>20000</v>
      </c>
      <c r="AH260" s="39"/>
      <c r="AI260" s="24">
        <f>+AG260</f>
        <v>20000</v>
      </c>
      <c r="AJ260" s="24"/>
      <c r="AK260" s="3"/>
    </row>
    <row r="261" spans="1:37">
      <c r="A261" s="17" t="s">
        <v>438</v>
      </c>
      <c r="B261" s="16" t="s">
        <v>439</v>
      </c>
      <c r="C261" s="33">
        <v>4275.2700000000004</v>
      </c>
      <c r="D261" s="33">
        <v>835</v>
      </c>
      <c r="E261" s="33"/>
      <c r="F261" s="33">
        <v>2560.15</v>
      </c>
      <c r="G261" s="33">
        <v>830</v>
      </c>
      <c r="H261" s="33"/>
      <c r="I261" s="33">
        <v>1536.1</v>
      </c>
      <c r="J261" s="33">
        <v>835</v>
      </c>
      <c r="K261" s="33"/>
      <c r="L261" s="33">
        <v>186</v>
      </c>
      <c r="M261" s="33">
        <v>830</v>
      </c>
      <c r="N261" s="33"/>
      <c r="O261" s="33">
        <v>198</v>
      </c>
      <c r="P261" s="33">
        <v>835</v>
      </c>
      <c r="Q261" s="33"/>
      <c r="R261" s="33">
        <v>603</v>
      </c>
      <c r="S261" s="33">
        <v>830</v>
      </c>
      <c r="T261" s="33"/>
      <c r="U261" s="33">
        <v>0</v>
      </c>
      <c r="V261" s="33">
        <v>835</v>
      </c>
      <c r="W261" s="33"/>
      <c r="X261" s="33">
        <v>388</v>
      </c>
      <c r="Y261" s="33">
        <v>830</v>
      </c>
      <c r="Z261" s="33"/>
      <c r="AA261" s="33">
        <v>293</v>
      </c>
      <c r="AB261" s="33">
        <v>835</v>
      </c>
      <c r="AC261" s="32">
        <f t="shared" si="42"/>
        <v>10039.52</v>
      </c>
      <c r="AD261" s="32">
        <f t="shared" si="43"/>
        <v>7495</v>
      </c>
      <c r="AE261" s="33"/>
      <c r="AF261" s="24">
        <v>10000</v>
      </c>
      <c r="AG261" s="24">
        <v>10000</v>
      </c>
      <c r="AH261" s="39"/>
      <c r="AI261" s="24">
        <f>+AG261</f>
        <v>10000</v>
      </c>
      <c r="AJ261" s="24"/>
      <c r="AK261" s="3"/>
    </row>
    <row r="262" spans="1:37">
      <c r="A262" s="17" t="s">
        <v>440</v>
      </c>
      <c r="B262" s="16" t="s">
        <v>441</v>
      </c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>
        <v>0</v>
      </c>
      <c r="S262" s="33">
        <v>0</v>
      </c>
      <c r="T262" s="33"/>
      <c r="U262" s="33">
        <v>0</v>
      </c>
      <c r="V262" s="33">
        <v>0</v>
      </c>
      <c r="W262" s="33"/>
      <c r="X262" s="33">
        <v>0</v>
      </c>
      <c r="Y262" s="33">
        <v>0</v>
      </c>
      <c r="Z262" s="33"/>
      <c r="AA262" s="33">
        <v>0</v>
      </c>
      <c r="AB262" s="33">
        <v>0</v>
      </c>
      <c r="AC262" s="32">
        <f t="shared" si="42"/>
        <v>0</v>
      </c>
      <c r="AD262" s="32">
        <f t="shared" si="43"/>
        <v>0</v>
      </c>
      <c r="AE262" s="33"/>
      <c r="AF262" s="24"/>
      <c r="AG262" s="24"/>
      <c r="AH262" s="39"/>
      <c r="AI262" s="24">
        <f>+AG262</f>
        <v>0</v>
      </c>
      <c r="AJ262" s="24"/>
      <c r="AK262" s="3"/>
    </row>
    <row r="263" spans="1:37">
      <c r="A263" s="17" t="s">
        <v>442</v>
      </c>
      <c r="B263" s="16" t="s">
        <v>443</v>
      </c>
      <c r="C263" s="33">
        <v>138.03</v>
      </c>
      <c r="D263" s="33">
        <v>125</v>
      </c>
      <c r="E263" s="33"/>
      <c r="F263" s="33">
        <v>251.41</v>
      </c>
      <c r="G263" s="33">
        <v>125</v>
      </c>
      <c r="H263" s="33"/>
      <c r="I263" s="33">
        <v>469.7</v>
      </c>
      <c r="J263" s="33">
        <v>125</v>
      </c>
      <c r="K263" s="33"/>
      <c r="L263" s="33">
        <v>148.38999999999999</v>
      </c>
      <c r="M263" s="33">
        <v>125</v>
      </c>
      <c r="N263" s="33"/>
      <c r="O263" s="33">
        <v>185.48</v>
      </c>
      <c r="P263" s="33">
        <v>125</v>
      </c>
      <c r="Q263" s="33"/>
      <c r="R263" s="33">
        <v>141.1</v>
      </c>
      <c r="S263" s="33">
        <v>125</v>
      </c>
      <c r="T263" s="33"/>
      <c r="U263" s="33">
        <v>117.44</v>
      </c>
      <c r="V263" s="33">
        <v>125</v>
      </c>
      <c r="W263" s="33"/>
      <c r="X263" s="33">
        <v>131.47</v>
      </c>
      <c r="Y263" s="33">
        <v>125</v>
      </c>
      <c r="Z263" s="33"/>
      <c r="AA263" s="33">
        <v>13375.44</v>
      </c>
      <c r="AB263" s="33">
        <v>125</v>
      </c>
      <c r="AC263" s="32">
        <f t="shared" si="42"/>
        <v>14958.460000000001</v>
      </c>
      <c r="AD263" s="32">
        <f t="shared" si="43"/>
        <v>1125</v>
      </c>
      <c r="AE263" s="33"/>
      <c r="AF263" s="24">
        <v>2000500</v>
      </c>
      <c r="AG263" s="58">
        <v>1500</v>
      </c>
      <c r="AH263" s="39"/>
      <c r="AI263" s="58">
        <v>1500</v>
      </c>
      <c r="AJ263" s="58">
        <f>+AG263-AI263</f>
        <v>0</v>
      </c>
      <c r="AK263" s="3"/>
    </row>
    <row r="264" spans="1:37">
      <c r="A264" s="17">
        <v>6012750</v>
      </c>
      <c r="B264" s="16" t="s">
        <v>444</v>
      </c>
      <c r="C264" s="33"/>
      <c r="D264" s="33"/>
      <c r="E264" s="33"/>
      <c r="F264" s="33"/>
      <c r="G264" s="33"/>
      <c r="H264" s="33"/>
      <c r="I264" s="33"/>
      <c r="J264" s="33"/>
      <c r="K264" s="33"/>
      <c r="L264" s="33">
        <v>52900</v>
      </c>
      <c r="M264" s="33">
        <v>52750</v>
      </c>
      <c r="N264" s="33"/>
      <c r="O264" s="33"/>
      <c r="P264" s="33"/>
      <c r="Q264" s="33"/>
      <c r="R264" s="33">
        <v>58258.13</v>
      </c>
      <c r="S264" s="33">
        <v>58250</v>
      </c>
      <c r="T264" s="33"/>
      <c r="U264" s="33">
        <v>0</v>
      </c>
      <c r="V264" s="33">
        <v>0</v>
      </c>
      <c r="W264" s="33"/>
      <c r="X264" s="33">
        <v>23271.75</v>
      </c>
      <c r="Y264" s="33">
        <v>23250</v>
      </c>
      <c r="Z264" s="33"/>
      <c r="AA264" s="33">
        <v>3472.5</v>
      </c>
      <c r="AB264" s="33">
        <v>750</v>
      </c>
      <c r="AC264" s="32">
        <f t="shared" si="42"/>
        <v>137902.38</v>
      </c>
      <c r="AD264" s="32">
        <f t="shared" si="43"/>
        <v>135000</v>
      </c>
      <c r="AE264" s="33"/>
      <c r="AF264" s="24"/>
      <c r="AG264" s="59">
        <v>135000</v>
      </c>
      <c r="AH264" s="39"/>
      <c r="AI264" s="59"/>
      <c r="AJ264" s="59">
        <f>+AG264-AI264</f>
        <v>135000</v>
      </c>
      <c r="AK264" s="3"/>
    </row>
    <row r="265" spans="1:37">
      <c r="A265" s="17" t="s">
        <v>445</v>
      </c>
      <c r="B265" s="16" t="s">
        <v>446</v>
      </c>
      <c r="C265" s="33"/>
      <c r="D265" s="33">
        <v>25000</v>
      </c>
      <c r="E265" s="33"/>
      <c r="F265" s="33"/>
      <c r="G265" s="33">
        <v>25000</v>
      </c>
      <c r="H265" s="33"/>
      <c r="I265" s="33">
        <v>5778.77</v>
      </c>
      <c r="J265" s="33">
        <v>25000</v>
      </c>
      <c r="K265" s="33"/>
      <c r="L265" s="33"/>
      <c r="M265" s="33">
        <v>25000</v>
      </c>
      <c r="N265" s="33"/>
      <c r="O265" s="33">
        <v>775</v>
      </c>
      <c r="P265" s="33">
        <v>25000</v>
      </c>
      <c r="Q265" s="33"/>
      <c r="R265" s="33">
        <v>434.36</v>
      </c>
      <c r="S265" s="33">
        <v>25000</v>
      </c>
      <c r="T265" s="33"/>
      <c r="U265" s="33">
        <v>742.3</v>
      </c>
      <c r="V265" s="33">
        <v>25000</v>
      </c>
      <c r="W265" s="33"/>
      <c r="X265" s="33">
        <v>996.35</v>
      </c>
      <c r="Y265" s="33">
        <v>25000</v>
      </c>
      <c r="Z265" s="33"/>
      <c r="AA265" s="33">
        <v>921.89</v>
      </c>
      <c r="AB265" s="33">
        <v>25000</v>
      </c>
      <c r="AC265" s="32">
        <f t="shared" si="42"/>
        <v>9648.67</v>
      </c>
      <c r="AD265" s="32">
        <f t="shared" si="43"/>
        <v>225000</v>
      </c>
      <c r="AE265" s="33"/>
      <c r="AF265" s="24">
        <v>300000</v>
      </c>
      <c r="AG265" s="24">
        <v>300000</v>
      </c>
      <c r="AH265" s="39"/>
      <c r="AI265" s="24"/>
      <c r="AJ265" s="24">
        <f>+AG265-AI265</f>
        <v>300000</v>
      </c>
      <c r="AK265" s="3"/>
    </row>
    <row r="266" spans="1:37">
      <c r="A266" s="17"/>
      <c r="B266" s="16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24"/>
      <c r="AG266" s="24"/>
      <c r="AH266" s="39"/>
      <c r="AI266" s="24"/>
      <c r="AJ266" s="24"/>
      <c r="AK266" s="3"/>
    </row>
    <row r="267" spans="1:37">
      <c r="A267" s="21"/>
      <c r="B267" s="20" t="s">
        <v>447</v>
      </c>
      <c r="C267" s="36">
        <f>SUM(C258:C265)</f>
        <v>16189.78</v>
      </c>
      <c r="D267" s="36">
        <f>SUM(D258:D265)</f>
        <v>34090</v>
      </c>
      <c r="E267" s="40"/>
      <c r="F267" s="36">
        <f>SUM(F258:F265)</f>
        <v>7452.8799999999992</v>
      </c>
      <c r="G267" s="36">
        <f>SUM(G258:G265)</f>
        <v>34075</v>
      </c>
      <c r="H267" s="40"/>
      <c r="I267" s="36">
        <f>SUM(I258:I265)</f>
        <v>10382.450000000001</v>
      </c>
      <c r="J267" s="36">
        <f>SUM(J258:J265)</f>
        <v>34085</v>
      </c>
      <c r="K267" s="40"/>
      <c r="L267" s="36">
        <f>SUM(L258:L265)</f>
        <v>70650.11</v>
      </c>
      <c r="M267" s="36">
        <f>SUM(M258:M265)</f>
        <v>86825</v>
      </c>
      <c r="N267" s="40"/>
      <c r="O267" s="36">
        <f>SUM(O258:O265)</f>
        <v>3924.8799999999997</v>
      </c>
      <c r="P267" s="36">
        <f>SUM(P258:P265)</f>
        <v>34090</v>
      </c>
      <c r="Q267" s="40"/>
      <c r="R267" s="36">
        <f>SUM(R258:R265)</f>
        <v>76526.31</v>
      </c>
      <c r="S267" s="36">
        <f>SUM(S258:S265)</f>
        <v>92325</v>
      </c>
      <c r="T267" s="40"/>
      <c r="U267" s="36">
        <f>SUM(U258:U265)</f>
        <v>9132.4</v>
      </c>
      <c r="V267" s="36">
        <f>SUM(V258:V265)</f>
        <v>34090</v>
      </c>
      <c r="W267" s="40"/>
      <c r="X267" s="36">
        <f>SUM(X258:X265)</f>
        <v>28381.269999999997</v>
      </c>
      <c r="Y267" s="36">
        <f>SUM(Y258:Y265)</f>
        <v>57330</v>
      </c>
      <c r="Z267" s="40"/>
      <c r="AA267" s="36">
        <f>SUM(AA258:AA265)</f>
        <v>21747.79</v>
      </c>
      <c r="AB267" s="36">
        <f>SUM(AB258:AB265)</f>
        <v>34835</v>
      </c>
      <c r="AC267" s="54">
        <f>SUM(AC258:AC265)</f>
        <v>244387.87000000002</v>
      </c>
      <c r="AD267" s="36">
        <f>SUM(AD258:AD265)</f>
        <v>441745</v>
      </c>
      <c r="AE267" s="40"/>
      <c r="AF267" s="36">
        <f>SUM(AF258:AF265)</f>
        <v>2408000</v>
      </c>
      <c r="AG267" s="36">
        <f>SUM(AG258:AG265)</f>
        <v>544000</v>
      </c>
      <c r="AH267" s="44"/>
      <c r="AI267" s="36">
        <f>SUM(AI258:AI265)</f>
        <v>109000</v>
      </c>
      <c r="AJ267" s="36">
        <f>SUM(AJ258:AJ265)</f>
        <v>435000</v>
      </c>
      <c r="AK267" s="3"/>
    </row>
    <row r="268" spans="1:37">
      <c r="A268" s="21"/>
      <c r="B268" s="2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F268" s="37"/>
      <c r="AG268" s="37"/>
      <c r="AH268" s="45"/>
      <c r="AI268" s="37"/>
      <c r="AJ268" s="37"/>
      <c r="AK268" s="3"/>
    </row>
    <row r="269" spans="1:37">
      <c r="A269" s="17" t="s">
        <v>448</v>
      </c>
      <c r="B269" s="16" t="s">
        <v>283</v>
      </c>
      <c r="C269" s="33">
        <v>5047.51</v>
      </c>
      <c r="D269" s="33">
        <v>7970</v>
      </c>
      <c r="E269" s="33"/>
      <c r="F269" s="33">
        <v>9124.18</v>
      </c>
      <c r="G269" s="33">
        <v>7970</v>
      </c>
      <c r="H269" s="33"/>
      <c r="I269" s="33">
        <v>7656.1</v>
      </c>
      <c r="J269" s="33">
        <v>7970</v>
      </c>
      <c r="K269" s="33"/>
      <c r="L269" s="33">
        <v>8270.08</v>
      </c>
      <c r="M269" s="33">
        <v>7970</v>
      </c>
      <c r="N269" s="33"/>
      <c r="O269" s="33">
        <v>12757.05</v>
      </c>
      <c r="P269" s="33">
        <v>11950</v>
      </c>
      <c r="Q269" s="33"/>
      <c r="R269" s="33">
        <v>8700.65</v>
      </c>
      <c r="S269" s="33">
        <v>7970</v>
      </c>
      <c r="T269" s="33"/>
      <c r="U269" s="33">
        <v>7782.41</v>
      </c>
      <c r="V269" s="33">
        <v>7970</v>
      </c>
      <c r="W269" s="33"/>
      <c r="X269" s="33">
        <v>7060.91</v>
      </c>
      <c r="Y269" s="33">
        <v>7970</v>
      </c>
      <c r="Z269" s="33"/>
      <c r="AA269" s="33">
        <v>8158.86</v>
      </c>
      <c r="AB269" s="33">
        <v>7970</v>
      </c>
      <c r="AC269" s="32">
        <f t="shared" ref="AC269:AC286" si="44">+C269+F269+I269+L269+O269+R269+U269+X269+AA269</f>
        <v>74557.75</v>
      </c>
      <c r="AD269" s="32">
        <f t="shared" ref="AD269:AD286" si="45">+D269+G269+J269+M269+P269+S269+V269+Y269+AB269</f>
        <v>75710</v>
      </c>
      <c r="AE269" s="33"/>
      <c r="AF269" s="24">
        <v>103599</v>
      </c>
      <c r="AG269" s="24">
        <v>103599</v>
      </c>
      <c r="AH269" s="39"/>
      <c r="AI269" s="24">
        <f t="shared" ref="AI269:AI284" si="46">+AG269</f>
        <v>103599</v>
      </c>
      <c r="AJ269" s="24"/>
      <c r="AK269" s="3"/>
    </row>
    <row r="270" spans="1:37">
      <c r="A270" s="17" t="s">
        <v>449</v>
      </c>
      <c r="B270" s="16" t="s">
        <v>285</v>
      </c>
      <c r="C270" s="33">
        <v>621.77</v>
      </c>
      <c r="D270" s="33">
        <v>637</v>
      </c>
      <c r="E270" s="33"/>
      <c r="F270" s="33">
        <v>630.62</v>
      </c>
      <c r="G270" s="33">
        <v>637</v>
      </c>
      <c r="H270" s="33"/>
      <c r="I270" s="33">
        <v>629.27</v>
      </c>
      <c r="J270" s="33">
        <v>637</v>
      </c>
      <c r="K270" s="33"/>
      <c r="L270" s="33">
        <v>628.79</v>
      </c>
      <c r="M270" s="33">
        <v>636</v>
      </c>
      <c r="N270" s="33"/>
      <c r="O270" s="33">
        <v>944.63</v>
      </c>
      <c r="P270" s="33">
        <v>961</v>
      </c>
      <c r="Q270" s="33"/>
      <c r="R270" s="33">
        <v>706.49</v>
      </c>
      <c r="S270" s="33">
        <v>636</v>
      </c>
      <c r="T270" s="33"/>
      <c r="U270" s="33">
        <v>606.15</v>
      </c>
      <c r="V270" s="33">
        <v>637</v>
      </c>
      <c r="W270" s="33"/>
      <c r="X270" s="33">
        <v>594.77</v>
      </c>
      <c r="Y270" s="33">
        <v>637</v>
      </c>
      <c r="Z270" s="33"/>
      <c r="AA270" s="33">
        <v>641.42999999999995</v>
      </c>
      <c r="AB270" s="33">
        <v>637</v>
      </c>
      <c r="AC270" s="32">
        <f t="shared" si="44"/>
        <v>6003.92</v>
      </c>
      <c r="AD270" s="32">
        <f t="shared" si="45"/>
        <v>6055</v>
      </c>
      <c r="AE270" s="33"/>
      <c r="AF270" s="24">
        <v>8288</v>
      </c>
      <c r="AG270" s="24">
        <v>8288</v>
      </c>
      <c r="AH270" s="39"/>
      <c r="AI270" s="24">
        <f t="shared" si="46"/>
        <v>8288</v>
      </c>
      <c r="AJ270" s="24"/>
      <c r="AK270" s="3"/>
    </row>
    <row r="271" spans="1:37">
      <c r="A271" s="17" t="s">
        <v>450</v>
      </c>
      <c r="B271" s="16" t="s">
        <v>287</v>
      </c>
      <c r="C271" s="33">
        <v>3768.74</v>
      </c>
      <c r="D271" s="33">
        <v>4228</v>
      </c>
      <c r="E271" s="33"/>
      <c r="F271" s="33">
        <v>4015.97</v>
      </c>
      <c r="G271" s="33">
        <v>4228</v>
      </c>
      <c r="H271" s="33"/>
      <c r="I271" s="33">
        <v>4067.51</v>
      </c>
      <c r="J271" s="33">
        <v>4228</v>
      </c>
      <c r="K271" s="33"/>
      <c r="L271" s="33">
        <v>6328.95</v>
      </c>
      <c r="M271" s="33">
        <v>4229</v>
      </c>
      <c r="N271" s="33"/>
      <c r="O271" s="33">
        <v>6328.87</v>
      </c>
      <c r="P271" s="33">
        <v>4228</v>
      </c>
      <c r="Q271" s="33"/>
      <c r="R271" s="33">
        <v>6328.91</v>
      </c>
      <c r="S271" s="33">
        <v>4228</v>
      </c>
      <c r="T271" s="33"/>
      <c r="U271" s="33">
        <v>6328.91</v>
      </c>
      <c r="V271" s="33">
        <v>4228</v>
      </c>
      <c r="W271" s="33"/>
      <c r="X271" s="33">
        <v>6328.91</v>
      </c>
      <c r="Y271" s="33">
        <v>4229</v>
      </c>
      <c r="Z271" s="33"/>
      <c r="AA271" s="33">
        <v>6328.91</v>
      </c>
      <c r="AB271" s="33">
        <v>4228</v>
      </c>
      <c r="AC271" s="32">
        <f t="shared" si="44"/>
        <v>49825.680000000008</v>
      </c>
      <c r="AD271" s="32">
        <f t="shared" si="45"/>
        <v>38054</v>
      </c>
      <c r="AE271" s="33"/>
      <c r="AF271" s="24">
        <f>47666+2419+655</f>
        <v>50740</v>
      </c>
      <c r="AG271" s="24">
        <f>47666+2419+655</f>
        <v>50740</v>
      </c>
      <c r="AH271" s="39"/>
      <c r="AI271" s="24">
        <f t="shared" si="46"/>
        <v>50740</v>
      </c>
      <c r="AJ271" s="24"/>
      <c r="AK271" s="3"/>
    </row>
    <row r="272" spans="1:37">
      <c r="A272" s="17" t="s">
        <v>451</v>
      </c>
      <c r="B272" s="16" t="s">
        <v>289</v>
      </c>
      <c r="C272" s="33">
        <v>134.71</v>
      </c>
      <c r="D272" s="33">
        <v>239</v>
      </c>
      <c r="E272" s="33"/>
      <c r="F272" s="33">
        <v>136.5</v>
      </c>
      <c r="G272" s="33">
        <v>239</v>
      </c>
      <c r="H272" s="33"/>
      <c r="I272" s="33">
        <v>137.05000000000001</v>
      </c>
      <c r="J272" s="33">
        <v>239</v>
      </c>
      <c r="K272" s="33"/>
      <c r="L272" s="33">
        <v>137.16999999999999</v>
      </c>
      <c r="M272" s="33">
        <v>239</v>
      </c>
      <c r="N272" s="33"/>
      <c r="O272" s="33">
        <v>199.71</v>
      </c>
      <c r="P272" s="33">
        <v>359</v>
      </c>
      <c r="Q272" s="33"/>
      <c r="R272" s="33">
        <v>136.43</v>
      </c>
      <c r="S272" s="33">
        <v>239</v>
      </c>
      <c r="T272" s="33"/>
      <c r="U272" s="33">
        <v>128.47999999999999</v>
      </c>
      <c r="V272" s="33">
        <v>239</v>
      </c>
      <c r="W272" s="33"/>
      <c r="X272" s="33">
        <v>124.05</v>
      </c>
      <c r="Y272" s="33">
        <v>239</v>
      </c>
      <c r="Z272" s="33"/>
      <c r="AA272" s="33">
        <v>127.41</v>
      </c>
      <c r="AB272" s="33">
        <v>239</v>
      </c>
      <c r="AC272" s="32">
        <f t="shared" si="44"/>
        <v>1261.5100000000002</v>
      </c>
      <c r="AD272" s="32">
        <f t="shared" si="45"/>
        <v>2271</v>
      </c>
      <c r="AE272" s="33"/>
      <c r="AF272" s="24">
        <v>3108</v>
      </c>
      <c r="AG272" s="24">
        <v>3108</v>
      </c>
      <c r="AH272" s="39"/>
      <c r="AI272" s="24">
        <f t="shared" si="46"/>
        <v>3108</v>
      </c>
      <c r="AJ272" s="24"/>
      <c r="AK272" s="3"/>
    </row>
    <row r="273" spans="1:38">
      <c r="A273" s="17" t="s">
        <v>452</v>
      </c>
      <c r="B273" s="16" t="s">
        <v>329</v>
      </c>
      <c r="C273" s="33"/>
      <c r="D273" s="33">
        <v>80</v>
      </c>
      <c r="E273" s="33"/>
      <c r="F273" s="33">
        <v>853.75</v>
      </c>
      <c r="G273" s="33">
        <v>85</v>
      </c>
      <c r="H273" s="33"/>
      <c r="I273" s="33"/>
      <c r="J273" s="33">
        <v>85</v>
      </c>
      <c r="K273" s="33"/>
      <c r="L273" s="33"/>
      <c r="M273" s="33">
        <v>80</v>
      </c>
      <c r="N273" s="33"/>
      <c r="O273" s="33"/>
      <c r="P273" s="33">
        <v>80</v>
      </c>
      <c r="Q273" s="33"/>
      <c r="R273" s="33">
        <v>0</v>
      </c>
      <c r="S273" s="33">
        <v>85</v>
      </c>
      <c r="T273" s="33"/>
      <c r="U273" s="33">
        <v>0</v>
      </c>
      <c r="V273" s="33">
        <v>80</v>
      </c>
      <c r="W273" s="33"/>
      <c r="X273" s="33">
        <v>0</v>
      </c>
      <c r="Y273" s="33">
        <v>85</v>
      </c>
      <c r="Z273" s="33"/>
      <c r="AA273" s="33">
        <v>30</v>
      </c>
      <c r="AB273" s="33">
        <v>85</v>
      </c>
      <c r="AC273" s="32">
        <f t="shared" si="44"/>
        <v>883.75</v>
      </c>
      <c r="AD273" s="32">
        <f t="shared" si="45"/>
        <v>745</v>
      </c>
      <c r="AE273" s="33"/>
      <c r="AF273" s="24">
        <v>1000</v>
      </c>
      <c r="AG273" s="24">
        <v>1000</v>
      </c>
      <c r="AH273" s="39"/>
      <c r="AI273" s="24">
        <f t="shared" si="46"/>
        <v>1000</v>
      </c>
      <c r="AJ273" s="24"/>
      <c r="AK273" s="3"/>
    </row>
    <row r="274" spans="1:38">
      <c r="A274" s="17" t="s">
        <v>453</v>
      </c>
      <c r="B274" s="16" t="s">
        <v>291</v>
      </c>
      <c r="C274" s="33">
        <v>282.69</v>
      </c>
      <c r="D274" s="33">
        <v>265</v>
      </c>
      <c r="E274" s="33"/>
      <c r="F274" s="33">
        <v>282.69</v>
      </c>
      <c r="G274" s="33">
        <v>266</v>
      </c>
      <c r="H274" s="33"/>
      <c r="I274" s="33">
        <v>282.69</v>
      </c>
      <c r="J274" s="33">
        <v>266</v>
      </c>
      <c r="K274" s="33"/>
      <c r="L274" s="33">
        <v>282.69</v>
      </c>
      <c r="M274" s="33">
        <v>266</v>
      </c>
      <c r="N274" s="33"/>
      <c r="O274" s="33">
        <v>282.69</v>
      </c>
      <c r="P274" s="33">
        <v>266</v>
      </c>
      <c r="Q274" s="33"/>
      <c r="R274" s="33">
        <v>260.14</v>
      </c>
      <c r="S274" s="33">
        <v>266</v>
      </c>
      <c r="T274" s="33"/>
      <c r="U274" s="33">
        <v>631.14</v>
      </c>
      <c r="V274" s="33">
        <v>266</v>
      </c>
      <c r="W274" s="33"/>
      <c r="X274" s="33">
        <v>260.14</v>
      </c>
      <c r="Y274" s="33">
        <v>266</v>
      </c>
      <c r="Z274" s="33"/>
      <c r="AA274" s="33">
        <v>260.14</v>
      </c>
      <c r="AB274" s="33">
        <v>266</v>
      </c>
      <c r="AC274" s="32">
        <f t="shared" si="44"/>
        <v>2825.0099999999998</v>
      </c>
      <c r="AD274" s="32">
        <f t="shared" si="45"/>
        <v>2393</v>
      </c>
      <c r="AE274" s="33"/>
      <c r="AF274" s="24">
        <v>3191</v>
      </c>
      <c r="AG274" s="24">
        <v>3191</v>
      </c>
      <c r="AH274" s="39"/>
      <c r="AI274" s="24">
        <f t="shared" si="46"/>
        <v>3191</v>
      </c>
      <c r="AJ274" s="24"/>
      <c r="AK274" s="3"/>
      <c r="AL274" s="3"/>
    </row>
    <row r="275" spans="1:38">
      <c r="A275" s="17">
        <v>6040300</v>
      </c>
      <c r="B275" s="16" t="s">
        <v>293</v>
      </c>
      <c r="C275" s="33"/>
      <c r="D275" s="33"/>
      <c r="E275" s="33"/>
      <c r="F275" s="33">
        <v>1155.24</v>
      </c>
      <c r="G275" s="33">
        <v>1000</v>
      </c>
      <c r="H275" s="33"/>
      <c r="I275" s="33">
        <v>2309.58</v>
      </c>
      <c r="J275" s="33">
        <v>2000</v>
      </c>
      <c r="K275" s="33"/>
      <c r="L275" s="33">
        <v>1780.56</v>
      </c>
      <c r="M275" s="33">
        <v>2000</v>
      </c>
      <c r="N275" s="33"/>
      <c r="O275" s="33">
        <v>3106.5</v>
      </c>
      <c r="P275" s="33">
        <v>3000</v>
      </c>
      <c r="Q275" s="33"/>
      <c r="R275" s="33">
        <v>1801.62</v>
      </c>
      <c r="S275" s="33">
        <v>2000</v>
      </c>
      <c r="T275" s="33"/>
      <c r="U275" s="33">
        <v>1072.8</v>
      </c>
      <c r="V275" s="33">
        <v>0</v>
      </c>
      <c r="W275" s="33"/>
      <c r="X275" s="33">
        <v>671.7</v>
      </c>
      <c r="Y275" s="33">
        <v>0</v>
      </c>
      <c r="Z275" s="33"/>
      <c r="AA275" s="33">
        <v>134.63999999999999</v>
      </c>
      <c r="AB275" s="33">
        <v>0</v>
      </c>
      <c r="AC275" s="32">
        <f t="shared" si="44"/>
        <v>12032.64</v>
      </c>
      <c r="AD275" s="32">
        <f t="shared" si="45"/>
        <v>10000</v>
      </c>
      <c r="AE275" s="33"/>
      <c r="AF275" s="24">
        <v>10000</v>
      </c>
      <c r="AG275" s="24">
        <v>10000</v>
      </c>
      <c r="AH275" s="39"/>
      <c r="AI275" s="24">
        <f t="shared" si="46"/>
        <v>10000</v>
      </c>
      <c r="AJ275" s="24"/>
      <c r="AK275" s="3"/>
    </row>
    <row r="276" spans="1:38">
      <c r="A276" s="17">
        <v>6040310</v>
      </c>
      <c r="B276" s="16" t="s">
        <v>295</v>
      </c>
      <c r="C276" s="33"/>
      <c r="D276" s="33"/>
      <c r="E276" s="33"/>
      <c r="F276" s="33">
        <v>102.23</v>
      </c>
      <c r="G276" s="33">
        <v>90</v>
      </c>
      <c r="H276" s="33"/>
      <c r="I276" s="33">
        <v>202.5</v>
      </c>
      <c r="J276" s="33">
        <v>180</v>
      </c>
      <c r="K276" s="33"/>
      <c r="L276" s="33">
        <v>157.57</v>
      </c>
      <c r="M276" s="33">
        <v>180</v>
      </c>
      <c r="N276" s="33"/>
      <c r="O276" s="33">
        <v>274.93</v>
      </c>
      <c r="P276" s="33">
        <v>270</v>
      </c>
      <c r="Q276" s="33"/>
      <c r="R276" s="33">
        <v>147.22999999999999</v>
      </c>
      <c r="S276" s="33">
        <v>180</v>
      </c>
      <c r="T276" s="33"/>
      <c r="U276" s="33">
        <v>82.07</v>
      </c>
      <c r="V276" s="33">
        <v>0</v>
      </c>
      <c r="W276" s="33"/>
      <c r="X276" s="33">
        <v>51.39</v>
      </c>
      <c r="Y276" s="33">
        <v>0</v>
      </c>
      <c r="Z276" s="33"/>
      <c r="AA276" s="33">
        <v>10.29</v>
      </c>
      <c r="AB276" s="33">
        <v>0</v>
      </c>
      <c r="AC276" s="32">
        <f t="shared" si="44"/>
        <v>1028.21</v>
      </c>
      <c r="AD276" s="32">
        <f t="shared" si="45"/>
        <v>900</v>
      </c>
      <c r="AE276" s="33"/>
      <c r="AF276" s="24">
        <v>900</v>
      </c>
      <c r="AG276" s="24">
        <v>900</v>
      </c>
      <c r="AH276" s="39"/>
      <c r="AI276" s="24">
        <f t="shared" si="46"/>
        <v>900</v>
      </c>
      <c r="AJ276" s="24"/>
      <c r="AK276" s="3"/>
    </row>
    <row r="277" spans="1:38">
      <c r="A277" s="17">
        <v>6040350</v>
      </c>
      <c r="B277" s="16" t="s">
        <v>297</v>
      </c>
      <c r="C277" s="33">
        <v>40.659999999999997</v>
      </c>
      <c r="D277" s="33"/>
      <c r="E277" s="33"/>
      <c r="F277" s="33">
        <v>40.659999999999997</v>
      </c>
      <c r="G277" s="33"/>
      <c r="H277" s="33"/>
      <c r="I277" s="33">
        <v>40.659999999999997</v>
      </c>
      <c r="J277" s="33"/>
      <c r="K277" s="33"/>
      <c r="L277" s="33">
        <v>40.659999999999997</v>
      </c>
      <c r="M277" s="33"/>
      <c r="N277" s="33"/>
      <c r="O277" s="33">
        <v>40.659999999999997</v>
      </c>
      <c r="P277" s="33"/>
      <c r="Q277" s="33"/>
      <c r="R277" s="33">
        <v>1.3</v>
      </c>
      <c r="S277" s="33">
        <v>0</v>
      </c>
      <c r="T277" s="33"/>
      <c r="U277" s="33">
        <v>21.42</v>
      </c>
      <c r="V277" s="33">
        <v>0</v>
      </c>
      <c r="W277" s="33"/>
      <c r="X277" s="33">
        <v>1.3</v>
      </c>
      <c r="Y277" s="33">
        <v>0</v>
      </c>
      <c r="Z277" s="33"/>
      <c r="AA277" s="33">
        <v>1.3</v>
      </c>
      <c r="AB277" s="33">
        <v>0</v>
      </c>
      <c r="AC277" s="32">
        <f t="shared" si="44"/>
        <v>228.62</v>
      </c>
      <c r="AD277" s="32">
        <f t="shared" si="45"/>
        <v>0</v>
      </c>
      <c r="AE277" s="33"/>
      <c r="AF277" s="24"/>
      <c r="AG277" s="24"/>
      <c r="AH277" s="39"/>
      <c r="AI277" s="24">
        <f t="shared" si="46"/>
        <v>0</v>
      </c>
      <c r="AJ277" s="24"/>
      <c r="AK277" s="3"/>
    </row>
    <row r="278" spans="1:38">
      <c r="A278" s="17" t="s">
        <v>454</v>
      </c>
      <c r="B278" s="16" t="s">
        <v>299</v>
      </c>
      <c r="C278" s="33">
        <v>347.52</v>
      </c>
      <c r="D278" s="33">
        <v>200</v>
      </c>
      <c r="E278" s="33"/>
      <c r="F278" s="33">
        <v>315.26</v>
      </c>
      <c r="G278" s="33">
        <v>210</v>
      </c>
      <c r="H278" s="33"/>
      <c r="I278" s="33">
        <v>268.7</v>
      </c>
      <c r="J278" s="33">
        <v>200</v>
      </c>
      <c r="K278" s="33"/>
      <c r="L278" s="33">
        <v>433.98</v>
      </c>
      <c r="M278" s="33">
        <v>210</v>
      </c>
      <c r="N278" s="33"/>
      <c r="O278" s="33">
        <v>223.4</v>
      </c>
      <c r="P278" s="33">
        <v>210</v>
      </c>
      <c r="Q278" s="33"/>
      <c r="R278" s="33">
        <v>223.4</v>
      </c>
      <c r="S278" s="33">
        <v>210</v>
      </c>
      <c r="T278" s="33"/>
      <c r="U278" s="33">
        <v>676.06</v>
      </c>
      <c r="V278" s="33">
        <v>210</v>
      </c>
      <c r="W278" s="33"/>
      <c r="X278" s="33">
        <v>223.4</v>
      </c>
      <c r="Y278" s="33">
        <v>210</v>
      </c>
      <c r="Z278" s="33"/>
      <c r="AA278" s="33">
        <v>223.4</v>
      </c>
      <c r="AB278" s="33">
        <v>210</v>
      </c>
      <c r="AC278" s="32">
        <f t="shared" si="44"/>
        <v>2935.1200000000003</v>
      </c>
      <c r="AD278" s="32">
        <f t="shared" si="45"/>
        <v>1870</v>
      </c>
      <c r="AE278" s="33"/>
      <c r="AF278" s="24">
        <v>2500</v>
      </c>
      <c r="AG278" s="24">
        <v>2500</v>
      </c>
      <c r="AH278" s="39"/>
      <c r="AI278" s="24">
        <f t="shared" si="46"/>
        <v>2500</v>
      </c>
      <c r="AJ278" s="24"/>
      <c r="AK278" s="3"/>
    </row>
    <row r="279" spans="1:38">
      <c r="A279" s="17" t="s">
        <v>455</v>
      </c>
      <c r="B279" s="16" t="s">
        <v>305</v>
      </c>
      <c r="C279" s="33"/>
      <c r="D279" s="33">
        <v>80</v>
      </c>
      <c r="E279" s="33"/>
      <c r="F279" s="33"/>
      <c r="G279" s="33">
        <v>85</v>
      </c>
      <c r="H279" s="33"/>
      <c r="I279" s="33"/>
      <c r="J279" s="33">
        <v>85</v>
      </c>
      <c r="K279" s="33"/>
      <c r="L279" s="33"/>
      <c r="M279" s="33">
        <v>80</v>
      </c>
      <c r="N279" s="33"/>
      <c r="O279" s="33">
        <v>3000</v>
      </c>
      <c r="P279" s="33">
        <v>80</v>
      </c>
      <c r="Q279" s="33"/>
      <c r="R279" s="33">
        <v>0</v>
      </c>
      <c r="S279" s="33">
        <v>85</v>
      </c>
      <c r="T279" s="33"/>
      <c r="U279" s="33">
        <v>0</v>
      </c>
      <c r="V279" s="33">
        <v>80</v>
      </c>
      <c r="W279" s="33"/>
      <c r="X279" s="33">
        <v>0</v>
      </c>
      <c r="Y279" s="33">
        <v>85</v>
      </c>
      <c r="Z279" s="33"/>
      <c r="AA279" s="33">
        <v>0</v>
      </c>
      <c r="AB279" s="33">
        <v>85</v>
      </c>
      <c r="AC279" s="32">
        <f t="shared" si="44"/>
        <v>3000</v>
      </c>
      <c r="AD279" s="32">
        <f t="shared" si="45"/>
        <v>745</v>
      </c>
      <c r="AE279" s="33"/>
      <c r="AF279" s="24">
        <v>1000</v>
      </c>
      <c r="AG279" s="24">
        <v>1000</v>
      </c>
      <c r="AH279" s="39"/>
      <c r="AI279" s="24">
        <f t="shared" si="46"/>
        <v>1000</v>
      </c>
      <c r="AJ279" s="24"/>
      <c r="AK279" s="3"/>
    </row>
    <row r="280" spans="1:38">
      <c r="A280" s="17" t="s">
        <v>456</v>
      </c>
      <c r="B280" s="16" t="s">
        <v>341</v>
      </c>
      <c r="C280" s="33">
        <v>964.71</v>
      </c>
      <c r="D280" s="33">
        <v>640</v>
      </c>
      <c r="E280" s="33"/>
      <c r="F280" s="33">
        <v>630.66999999999996</v>
      </c>
      <c r="G280" s="33">
        <v>680</v>
      </c>
      <c r="H280" s="33"/>
      <c r="I280" s="33">
        <v>506.24</v>
      </c>
      <c r="J280" s="33">
        <v>680</v>
      </c>
      <c r="K280" s="33"/>
      <c r="L280" s="33">
        <v>708.9</v>
      </c>
      <c r="M280" s="33">
        <v>640</v>
      </c>
      <c r="N280" s="33"/>
      <c r="O280" s="33">
        <v>671.55</v>
      </c>
      <c r="P280" s="33">
        <v>640</v>
      </c>
      <c r="Q280" s="33"/>
      <c r="R280" s="33">
        <v>415.23</v>
      </c>
      <c r="S280" s="33">
        <v>680</v>
      </c>
      <c r="T280" s="33"/>
      <c r="U280" s="33">
        <v>0</v>
      </c>
      <c r="V280" s="33">
        <v>640</v>
      </c>
      <c r="W280" s="33"/>
      <c r="X280" s="33">
        <v>793.95</v>
      </c>
      <c r="Y280" s="33">
        <v>680</v>
      </c>
      <c r="Z280" s="33"/>
      <c r="AA280" s="33">
        <v>345.21</v>
      </c>
      <c r="AB280" s="33">
        <v>680</v>
      </c>
      <c r="AC280" s="32">
        <f t="shared" si="44"/>
        <v>5036.46</v>
      </c>
      <c r="AD280" s="32">
        <f t="shared" si="45"/>
        <v>5960</v>
      </c>
      <c r="AE280" s="33"/>
      <c r="AF280" s="24">
        <v>8000</v>
      </c>
      <c r="AG280" s="24">
        <v>8000</v>
      </c>
      <c r="AH280" s="39"/>
      <c r="AI280" s="24">
        <f t="shared" si="46"/>
        <v>8000</v>
      </c>
      <c r="AJ280" s="24"/>
      <c r="AK280" s="3"/>
    </row>
    <row r="281" spans="1:38">
      <c r="A281" s="17" t="s">
        <v>457</v>
      </c>
      <c r="B281" s="16" t="s">
        <v>412</v>
      </c>
      <c r="C281" s="33">
        <v>153.06</v>
      </c>
      <c r="D281" s="33">
        <v>200</v>
      </c>
      <c r="E281" s="33"/>
      <c r="F281" s="33"/>
      <c r="G281" s="33">
        <v>210</v>
      </c>
      <c r="H281" s="33"/>
      <c r="I281" s="33">
        <v>21.99</v>
      </c>
      <c r="J281" s="33">
        <v>200</v>
      </c>
      <c r="K281" s="33"/>
      <c r="L281" s="33"/>
      <c r="M281" s="33">
        <v>210</v>
      </c>
      <c r="N281" s="33"/>
      <c r="O281" s="33">
        <v>157.47</v>
      </c>
      <c r="P281" s="33">
        <v>210</v>
      </c>
      <c r="Q281" s="33"/>
      <c r="R281" s="33">
        <v>0</v>
      </c>
      <c r="S281" s="33">
        <v>210</v>
      </c>
      <c r="T281" s="33"/>
      <c r="U281" s="33">
        <v>0</v>
      </c>
      <c r="V281" s="33">
        <v>210</v>
      </c>
      <c r="W281" s="33"/>
      <c r="X281" s="33">
        <v>0</v>
      </c>
      <c r="Y281" s="33">
        <v>210</v>
      </c>
      <c r="Z281" s="33"/>
      <c r="AA281" s="33">
        <v>22.48</v>
      </c>
      <c r="AB281" s="33">
        <v>210</v>
      </c>
      <c r="AC281" s="32">
        <f t="shared" si="44"/>
        <v>355</v>
      </c>
      <c r="AD281" s="32">
        <f t="shared" si="45"/>
        <v>1870</v>
      </c>
      <c r="AE281" s="33"/>
      <c r="AF281" s="24">
        <v>2500</v>
      </c>
      <c r="AG281" s="24">
        <v>2500</v>
      </c>
      <c r="AH281" s="39"/>
      <c r="AI281" s="24">
        <f t="shared" si="46"/>
        <v>2500</v>
      </c>
      <c r="AJ281" s="24"/>
      <c r="AK281" s="3"/>
    </row>
    <row r="282" spans="1:38">
      <c r="A282" s="17" t="s">
        <v>458</v>
      </c>
      <c r="B282" s="16" t="s">
        <v>319</v>
      </c>
      <c r="C282" s="33">
        <v>632.67999999999995</v>
      </c>
      <c r="D282" s="33">
        <v>400</v>
      </c>
      <c r="E282" s="33"/>
      <c r="F282" s="33">
        <v>35.26</v>
      </c>
      <c r="G282" s="33">
        <v>420</v>
      </c>
      <c r="H282" s="33"/>
      <c r="I282" s="33">
        <v>244.36</v>
      </c>
      <c r="J282" s="33">
        <v>400</v>
      </c>
      <c r="K282" s="33"/>
      <c r="L282" s="33">
        <v>43.16</v>
      </c>
      <c r="M282" s="33">
        <v>420</v>
      </c>
      <c r="N282" s="33"/>
      <c r="O282" s="33">
        <v>771.19</v>
      </c>
      <c r="P282" s="33">
        <v>420</v>
      </c>
      <c r="Q282" s="33"/>
      <c r="R282" s="33">
        <v>1031.3900000000001</v>
      </c>
      <c r="S282" s="33">
        <v>420</v>
      </c>
      <c r="T282" s="33"/>
      <c r="U282" s="33">
        <v>96.36</v>
      </c>
      <c r="V282" s="33">
        <v>420</v>
      </c>
      <c r="W282" s="33"/>
      <c r="X282" s="33">
        <v>137.4</v>
      </c>
      <c r="Y282" s="33">
        <v>420</v>
      </c>
      <c r="Z282" s="33"/>
      <c r="AA282" s="33">
        <v>224.13</v>
      </c>
      <c r="AB282" s="33">
        <v>420</v>
      </c>
      <c r="AC282" s="32">
        <f t="shared" si="44"/>
        <v>3215.9300000000003</v>
      </c>
      <c r="AD282" s="32">
        <f t="shared" si="45"/>
        <v>3740</v>
      </c>
      <c r="AE282" s="33"/>
      <c r="AF282" s="24">
        <v>5000</v>
      </c>
      <c r="AG282" s="24">
        <v>5000</v>
      </c>
      <c r="AH282" s="39"/>
      <c r="AI282" s="24">
        <f t="shared" si="46"/>
        <v>5000</v>
      </c>
      <c r="AJ282" s="24"/>
      <c r="AK282" s="3"/>
    </row>
    <row r="283" spans="1:38">
      <c r="A283" s="17" t="s">
        <v>459</v>
      </c>
      <c r="B283" s="16" t="s">
        <v>219</v>
      </c>
      <c r="C283" s="33"/>
      <c r="D283" s="33">
        <v>12</v>
      </c>
      <c r="E283" s="33"/>
      <c r="F283" s="33">
        <v>10.48</v>
      </c>
      <c r="G283" s="33">
        <v>13</v>
      </c>
      <c r="H283" s="33"/>
      <c r="I283" s="33">
        <v>25.76</v>
      </c>
      <c r="J283" s="33">
        <v>12</v>
      </c>
      <c r="K283" s="33"/>
      <c r="L283" s="33"/>
      <c r="M283" s="33">
        <v>13</v>
      </c>
      <c r="N283" s="33"/>
      <c r="O283" s="33"/>
      <c r="P283" s="33">
        <v>12</v>
      </c>
      <c r="Q283" s="33"/>
      <c r="R283" s="33">
        <v>0</v>
      </c>
      <c r="S283" s="33">
        <v>13</v>
      </c>
      <c r="T283" s="33"/>
      <c r="U283" s="33">
        <v>0</v>
      </c>
      <c r="V283" s="33">
        <v>12</v>
      </c>
      <c r="W283" s="33"/>
      <c r="X283" s="33">
        <v>0</v>
      </c>
      <c r="Y283" s="33">
        <v>13</v>
      </c>
      <c r="Z283" s="33"/>
      <c r="AA283" s="33">
        <v>0</v>
      </c>
      <c r="AB283" s="33">
        <v>12</v>
      </c>
      <c r="AC283" s="32">
        <f t="shared" si="44"/>
        <v>36.24</v>
      </c>
      <c r="AD283" s="32">
        <f t="shared" si="45"/>
        <v>112</v>
      </c>
      <c r="AE283" s="33"/>
      <c r="AF283" s="24">
        <v>150</v>
      </c>
      <c r="AG283" s="24">
        <v>150</v>
      </c>
      <c r="AH283" s="39"/>
      <c r="AI283" s="24">
        <f t="shared" si="46"/>
        <v>150</v>
      </c>
      <c r="AJ283" s="24"/>
      <c r="AK283" s="3"/>
    </row>
    <row r="284" spans="1:38">
      <c r="A284" s="17" t="s">
        <v>460</v>
      </c>
      <c r="B284" s="16" t="s">
        <v>350</v>
      </c>
      <c r="C284" s="33"/>
      <c r="D284" s="33">
        <v>200</v>
      </c>
      <c r="E284" s="33"/>
      <c r="F284" s="33"/>
      <c r="G284" s="33">
        <v>210</v>
      </c>
      <c r="H284" s="33"/>
      <c r="I284" s="33"/>
      <c r="J284" s="33">
        <v>200</v>
      </c>
      <c r="K284" s="33"/>
      <c r="L284" s="33"/>
      <c r="M284" s="33">
        <v>210</v>
      </c>
      <c r="N284" s="33"/>
      <c r="O284" s="33">
        <v>29.96</v>
      </c>
      <c r="P284" s="33">
        <v>210</v>
      </c>
      <c r="Q284" s="33"/>
      <c r="R284" s="33">
        <v>63.96</v>
      </c>
      <c r="S284" s="33">
        <v>210</v>
      </c>
      <c r="T284" s="33"/>
      <c r="U284" s="33">
        <v>0</v>
      </c>
      <c r="V284" s="33">
        <v>210</v>
      </c>
      <c r="W284" s="33"/>
      <c r="X284" s="33">
        <v>0</v>
      </c>
      <c r="Y284" s="33">
        <v>210</v>
      </c>
      <c r="Z284" s="33"/>
      <c r="AA284" s="33">
        <v>0</v>
      </c>
      <c r="AB284" s="33">
        <v>210</v>
      </c>
      <c r="AC284" s="32">
        <f t="shared" si="44"/>
        <v>93.92</v>
      </c>
      <c r="AD284" s="32">
        <f t="shared" si="45"/>
        <v>1870</v>
      </c>
      <c r="AE284" s="33"/>
      <c r="AF284" s="24">
        <v>2500</v>
      </c>
      <c r="AG284" s="24">
        <v>2500</v>
      </c>
      <c r="AH284" s="39"/>
      <c r="AI284" s="24">
        <f t="shared" si="46"/>
        <v>2500</v>
      </c>
      <c r="AJ284" s="24"/>
      <c r="AK284" s="3"/>
    </row>
    <row r="285" spans="1:38">
      <c r="A285" s="17">
        <v>6042000</v>
      </c>
      <c r="B285" s="16" t="s">
        <v>264</v>
      </c>
      <c r="C285" s="33"/>
      <c r="D285" s="33">
        <v>500</v>
      </c>
      <c r="E285" s="33"/>
      <c r="F285" s="33"/>
      <c r="G285" s="33">
        <v>500</v>
      </c>
      <c r="H285" s="33"/>
      <c r="I285" s="33"/>
      <c r="J285" s="33">
        <v>500</v>
      </c>
      <c r="K285" s="33"/>
      <c r="L285" s="33"/>
      <c r="M285" s="33">
        <v>500</v>
      </c>
      <c r="N285" s="33"/>
      <c r="O285" s="33"/>
      <c r="P285" s="33">
        <v>500</v>
      </c>
      <c r="Q285" s="33"/>
      <c r="R285" s="33">
        <v>0</v>
      </c>
      <c r="S285" s="33">
        <v>500</v>
      </c>
      <c r="T285" s="33"/>
      <c r="U285" s="33">
        <v>0</v>
      </c>
      <c r="V285" s="33">
        <v>500</v>
      </c>
      <c r="W285" s="33"/>
      <c r="X285" s="33">
        <v>0</v>
      </c>
      <c r="Y285" s="33">
        <v>500</v>
      </c>
      <c r="Z285" s="33"/>
      <c r="AA285" s="33">
        <v>0</v>
      </c>
      <c r="AB285" s="33">
        <v>500</v>
      </c>
      <c r="AC285" s="32">
        <f t="shared" si="44"/>
        <v>0</v>
      </c>
      <c r="AD285" s="32">
        <f t="shared" si="45"/>
        <v>4500</v>
      </c>
      <c r="AE285" s="33"/>
      <c r="AF285" s="24">
        <v>6000</v>
      </c>
      <c r="AG285" s="24">
        <v>6000</v>
      </c>
      <c r="AH285" s="39"/>
      <c r="AI285" s="24">
        <v>0</v>
      </c>
      <c r="AJ285" s="24">
        <f>+AG285-AI285</f>
        <v>6000</v>
      </c>
      <c r="AK285" s="3"/>
    </row>
    <row r="286" spans="1:38">
      <c r="A286" s="17">
        <v>6042050</v>
      </c>
      <c r="B286" s="16" t="s">
        <v>323</v>
      </c>
      <c r="C286" s="33">
        <v>6046</v>
      </c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>
        <v>0</v>
      </c>
      <c r="V286" s="33">
        <v>0</v>
      </c>
      <c r="W286" s="33"/>
      <c r="X286" s="33">
        <v>0</v>
      </c>
      <c r="Y286" s="33">
        <v>0</v>
      </c>
      <c r="Z286" s="33"/>
      <c r="AA286" s="33">
        <v>0</v>
      </c>
      <c r="AB286" s="33">
        <v>0</v>
      </c>
      <c r="AC286" s="32">
        <f t="shared" si="44"/>
        <v>6046</v>
      </c>
      <c r="AD286" s="32">
        <f t="shared" si="45"/>
        <v>0</v>
      </c>
      <c r="AE286" s="33"/>
      <c r="AF286" s="24"/>
      <c r="AG286" s="24"/>
      <c r="AH286" s="39"/>
      <c r="AI286" s="24"/>
      <c r="AJ286" s="24"/>
      <c r="AK286" s="3"/>
    </row>
    <row r="287" spans="1:38">
      <c r="A287" s="17"/>
      <c r="B287" s="16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24"/>
      <c r="AG287" s="24"/>
      <c r="AH287" s="39"/>
      <c r="AI287" s="24"/>
      <c r="AJ287" s="24"/>
      <c r="AK287" s="3"/>
    </row>
    <row r="288" spans="1:38">
      <c r="A288" s="21"/>
      <c r="B288" s="20" t="s">
        <v>461</v>
      </c>
      <c r="C288" s="36">
        <f>SUM(C269:C286)</f>
        <v>18040.050000000003</v>
      </c>
      <c r="D288" s="36">
        <f>SUM(D269:D285)</f>
        <v>15651</v>
      </c>
      <c r="E288" s="40"/>
      <c r="F288" s="36">
        <f>SUM(F269:F285)</f>
        <v>17333.509999999995</v>
      </c>
      <c r="G288" s="36">
        <f>SUM(G269:G285)</f>
        <v>16843</v>
      </c>
      <c r="H288" s="40"/>
      <c r="I288" s="36">
        <f>SUM(I269:I285)</f>
        <v>16392.41</v>
      </c>
      <c r="J288" s="36">
        <f>SUM(J269:J285)</f>
        <v>17882</v>
      </c>
      <c r="K288" s="40"/>
      <c r="L288" s="36">
        <f>SUM(L269:L285)</f>
        <v>18812.510000000002</v>
      </c>
      <c r="M288" s="36">
        <f>SUM(M269:M285)</f>
        <v>17883</v>
      </c>
      <c r="N288" s="40"/>
      <c r="O288" s="36">
        <f>SUM(O269:O285)</f>
        <v>28788.609999999997</v>
      </c>
      <c r="P288" s="36">
        <f>SUM(P269:P285)</f>
        <v>23396</v>
      </c>
      <c r="Q288" s="40"/>
      <c r="R288" s="36">
        <f>SUM(R269:R286)</f>
        <v>19816.749999999996</v>
      </c>
      <c r="S288" s="36">
        <f>SUM(S269:S286)</f>
        <v>17932</v>
      </c>
      <c r="T288" s="40"/>
      <c r="U288" s="36">
        <f>SUM(U269:U286)</f>
        <v>17425.8</v>
      </c>
      <c r="V288" s="36">
        <f>SUM(V269:V286)</f>
        <v>15702</v>
      </c>
      <c r="W288" s="40"/>
      <c r="X288" s="36">
        <f>SUM(X269:X286)</f>
        <v>16247.919999999998</v>
      </c>
      <c r="Y288" s="36">
        <f>SUM(Y269:Y286)</f>
        <v>15754</v>
      </c>
      <c r="Z288" s="40"/>
      <c r="AA288" s="36">
        <f>SUM(AA269:AA286)</f>
        <v>16508.199999999997</v>
      </c>
      <c r="AB288" s="36">
        <f>SUM(AB269:AB286)</f>
        <v>15752</v>
      </c>
      <c r="AC288" s="36">
        <f>SUM(AC269:AC286)</f>
        <v>169365.75999999998</v>
      </c>
      <c r="AD288" s="36">
        <f>SUM(AD269:AD286)</f>
        <v>156795</v>
      </c>
      <c r="AE288" s="40"/>
      <c r="AF288" s="36">
        <f>SUM(AF269:AF285)</f>
        <v>208476</v>
      </c>
      <c r="AG288" s="36">
        <f>SUM(AG269:AG285)</f>
        <v>208476</v>
      </c>
      <c r="AH288" s="44"/>
      <c r="AI288" s="36">
        <f>SUM(AI269:AI285)</f>
        <v>202476</v>
      </c>
      <c r="AJ288" s="36">
        <f>SUM(AJ269:AJ285)</f>
        <v>6000</v>
      </c>
      <c r="AK288" s="3"/>
    </row>
    <row r="289" spans="1:38">
      <c r="A289" s="15"/>
      <c r="B289" s="1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39"/>
      <c r="AI289" s="24"/>
      <c r="AJ289" s="24"/>
      <c r="AK289" s="3"/>
    </row>
    <row r="290" spans="1:38">
      <c r="A290" s="12" t="s">
        <v>104</v>
      </c>
      <c r="B290" s="11" t="s">
        <v>462</v>
      </c>
      <c r="C290" s="34">
        <f>C288+C267</f>
        <v>34229.83</v>
      </c>
      <c r="D290" s="34">
        <f>D288+D267</f>
        <v>49741</v>
      </c>
      <c r="E290" s="40"/>
      <c r="F290" s="34">
        <f>F288+F267</f>
        <v>24786.389999999992</v>
      </c>
      <c r="G290" s="34">
        <f>G288+G267</f>
        <v>50918</v>
      </c>
      <c r="H290" s="40"/>
      <c r="I290" s="34">
        <f>I288+I267</f>
        <v>26774.86</v>
      </c>
      <c r="J290" s="34">
        <f>J288+J267</f>
        <v>51967</v>
      </c>
      <c r="K290" s="40"/>
      <c r="L290" s="34">
        <f>L288+L267</f>
        <v>89462.62</v>
      </c>
      <c r="M290" s="34">
        <f>M288+M267</f>
        <v>104708</v>
      </c>
      <c r="N290" s="40"/>
      <c r="O290" s="34">
        <f>O288+O267</f>
        <v>32713.489999999998</v>
      </c>
      <c r="P290" s="34">
        <f>P288+P267</f>
        <v>57486</v>
      </c>
      <c r="Q290" s="40"/>
      <c r="R290" s="34">
        <f>R288+R267</f>
        <v>96343.06</v>
      </c>
      <c r="S290" s="34">
        <f>S288+S267</f>
        <v>110257</v>
      </c>
      <c r="T290" s="40"/>
      <c r="U290" s="34">
        <f>U288+U267</f>
        <v>26558.199999999997</v>
      </c>
      <c r="V290" s="34">
        <f>V288+V267</f>
        <v>49792</v>
      </c>
      <c r="W290" s="40"/>
      <c r="X290" s="34">
        <f>X288+X267</f>
        <v>44629.189999999995</v>
      </c>
      <c r="Y290" s="34">
        <f>Y288+Y267</f>
        <v>73084</v>
      </c>
      <c r="Z290" s="40"/>
      <c r="AA290" s="34">
        <f>AA288+AA267</f>
        <v>38255.99</v>
      </c>
      <c r="AB290" s="34">
        <f>AB288+AB267</f>
        <v>50587</v>
      </c>
      <c r="AC290" s="34">
        <f>AC288+AC267</f>
        <v>413753.63</v>
      </c>
      <c r="AD290" s="34">
        <f>AD288+AD267</f>
        <v>598540</v>
      </c>
      <c r="AE290" s="40"/>
      <c r="AF290" s="34">
        <f>AF288+AF267</f>
        <v>2616476</v>
      </c>
      <c r="AG290" s="34">
        <f>AG288+AG267</f>
        <v>752476</v>
      </c>
      <c r="AH290" s="39"/>
      <c r="AI290" s="34">
        <f>AI288+AI267</f>
        <v>311476</v>
      </c>
      <c r="AJ290" s="34">
        <f>AJ288+AJ267</f>
        <v>441000</v>
      </c>
      <c r="AK290" s="3"/>
    </row>
    <row r="291" spans="1:38">
      <c r="C291" s="41"/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F291" s="41"/>
      <c r="AG291" s="41"/>
      <c r="AH291" s="39"/>
      <c r="AI291" s="41"/>
      <c r="AJ291" s="41"/>
      <c r="AK291" s="3"/>
    </row>
    <row r="292" spans="1:38">
      <c r="A292" s="19" t="s">
        <v>463</v>
      </c>
      <c r="B292" s="18" t="s">
        <v>464</v>
      </c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  <c r="AE292" s="42"/>
      <c r="AF292" s="41"/>
      <c r="AG292" s="41"/>
      <c r="AH292" s="39"/>
      <c r="AI292" s="41"/>
      <c r="AJ292" s="41"/>
      <c r="AK292" s="3"/>
    </row>
    <row r="293" spans="1:38">
      <c r="A293" s="17" t="s">
        <v>465</v>
      </c>
      <c r="B293" s="16" t="s">
        <v>283</v>
      </c>
      <c r="C293" s="33">
        <v>1890.74</v>
      </c>
      <c r="D293" s="33">
        <v>1923</v>
      </c>
      <c r="E293" s="33"/>
      <c r="F293" s="33">
        <v>1923.08</v>
      </c>
      <c r="G293" s="33">
        <v>1923</v>
      </c>
      <c r="H293" s="33"/>
      <c r="I293" s="33">
        <v>1923.08</v>
      </c>
      <c r="J293" s="33">
        <v>1923</v>
      </c>
      <c r="K293" s="33"/>
      <c r="L293" s="33">
        <v>1923.08</v>
      </c>
      <c r="M293" s="33">
        <v>1923</v>
      </c>
      <c r="N293" s="33"/>
      <c r="O293" s="33">
        <v>2884.62</v>
      </c>
      <c r="P293" s="33">
        <v>2885</v>
      </c>
      <c r="Q293" s="33"/>
      <c r="R293" s="33">
        <v>1923.08</v>
      </c>
      <c r="S293" s="33">
        <v>1923</v>
      </c>
      <c r="T293" s="33"/>
      <c r="U293" s="33">
        <v>1923.08</v>
      </c>
      <c r="V293" s="33">
        <v>1923</v>
      </c>
      <c r="W293" s="33"/>
      <c r="X293" s="33">
        <v>1923.08</v>
      </c>
      <c r="Y293" s="33">
        <v>1923</v>
      </c>
      <c r="Z293" s="33"/>
      <c r="AA293" s="33">
        <v>1923.08</v>
      </c>
      <c r="AB293" s="33">
        <v>1923</v>
      </c>
      <c r="AC293" s="32">
        <f t="shared" ref="AC293:AC318" si="47">+C293+F293+I293+L293+O293+R293+U293+X293+AA293</f>
        <v>18236.919999999998</v>
      </c>
      <c r="AD293" s="32">
        <f t="shared" ref="AD293:AD318" si="48">+D293+G293+J293+M293+P293+S293+V293+Y293+AB293</f>
        <v>18269</v>
      </c>
      <c r="AE293" s="33"/>
      <c r="AF293" s="24">
        <v>25000</v>
      </c>
      <c r="AG293" s="24">
        <v>25000</v>
      </c>
      <c r="AH293" s="39"/>
      <c r="AI293" s="24">
        <f t="shared" ref="AI293:AI314" si="49">+AG293</f>
        <v>25000</v>
      </c>
      <c r="AJ293" s="24"/>
      <c r="AK293" s="3"/>
    </row>
    <row r="294" spans="1:38">
      <c r="A294" s="17" t="s">
        <v>466</v>
      </c>
      <c r="B294" s="16" t="s">
        <v>285</v>
      </c>
      <c r="C294" s="33">
        <v>167.33</v>
      </c>
      <c r="D294" s="33">
        <v>155</v>
      </c>
      <c r="E294" s="33"/>
      <c r="F294" s="33">
        <v>170.2</v>
      </c>
      <c r="G294" s="33">
        <v>155</v>
      </c>
      <c r="H294" s="33"/>
      <c r="I294" s="33">
        <v>152</v>
      </c>
      <c r="J294" s="33">
        <v>155</v>
      </c>
      <c r="K294" s="33"/>
      <c r="L294" s="33">
        <v>147.12</v>
      </c>
      <c r="M294" s="33">
        <v>155</v>
      </c>
      <c r="N294" s="33"/>
      <c r="O294" s="33">
        <v>228.32</v>
      </c>
      <c r="P294" s="33">
        <v>225</v>
      </c>
      <c r="Q294" s="33"/>
      <c r="R294" s="33">
        <v>147.12</v>
      </c>
      <c r="S294" s="33">
        <v>155</v>
      </c>
      <c r="T294" s="33"/>
      <c r="U294" s="33">
        <v>147.11000000000001</v>
      </c>
      <c r="V294" s="33">
        <v>155</v>
      </c>
      <c r="W294" s="33"/>
      <c r="X294" s="33">
        <v>147.12</v>
      </c>
      <c r="Y294" s="33">
        <v>155</v>
      </c>
      <c r="Z294" s="33"/>
      <c r="AA294" s="33">
        <v>166.24</v>
      </c>
      <c r="AB294" s="33">
        <v>155</v>
      </c>
      <c r="AC294" s="32">
        <f t="shared" si="47"/>
        <v>1472.5600000000002</v>
      </c>
      <c r="AD294" s="32">
        <f t="shared" si="48"/>
        <v>1465</v>
      </c>
      <c r="AE294" s="33"/>
      <c r="AF294" s="24">
        <v>2000</v>
      </c>
      <c r="AG294" s="24">
        <v>2000</v>
      </c>
      <c r="AH294" s="39"/>
      <c r="AI294" s="24">
        <f t="shared" si="49"/>
        <v>2000</v>
      </c>
      <c r="AJ294" s="24"/>
      <c r="AK294" s="3"/>
    </row>
    <row r="295" spans="1:38">
      <c r="A295" s="17" t="s">
        <v>467</v>
      </c>
      <c r="B295" s="16" t="s">
        <v>287</v>
      </c>
      <c r="C295" s="33">
        <v>58.7</v>
      </c>
      <c r="D295" s="33">
        <v>59</v>
      </c>
      <c r="E295" s="33"/>
      <c r="F295" s="33">
        <v>58.7</v>
      </c>
      <c r="G295" s="33">
        <v>59</v>
      </c>
      <c r="H295" s="33"/>
      <c r="I295" s="33">
        <v>58.7</v>
      </c>
      <c r="J295" s="33">
        <v>59</v>
      </c>
      <c r="K295" s="33"/>
      <c r="L295" s="33">
        <v>58.7</v>
      </c>
      <c r="M295" s="33">
        <v>58</v>
      </c>
      <c r="N295" s="33"/>
      <c r="O295" s="33">
        <v>58.7</v>
      </c>
      <c r="P295" s="33">
        <v>58</v>
      </c>
      <c r="Q295" s="33"/>
      <c r="R295" s="33">
        <v>58.7</v>
      </c>
      <c r="S295" s="33">
        <v>59</v>
      </c>
      <c r="T295" s="33"/>
      <c r="U295" s="33">
        <v>58.7</v>
      </c>
      <c r="V295" s="33">
        <v>59</v>
      </c>
      <c r="W295" s="33"/>
      <c r="X295" s="33">
        <v>58.7</v>
      </c>
      <c r="Y295" s="33">
        <v>59</v>
      </c>
      <c r="Z295" s="33"/>
      <c r="AA295" s="33">
        <v>58.7</v>
      </c>
      <c r="AB295" s="33">
        <v>58</v>
      </c>
      <c r="AC295" s="32">
        <f t="shared" si="47"/>
        <v>528.29999999999995</v>
      </c>
      <c r="AD295" s="32">
        <f t="shared" si="48"/>
        <v>528</v>
      </c>
      <c r="AE295" s="33"/>
      <c r="AF295" s="24">
        <v>704</v>
      </c>
      <c r="AG295" s="24">
        <v>704</v>
      </c>
      <c r="AH295" s="39"/>
      <c r="AI295" s="24">
        <f t="shared" si="49"/>
        <v>704</v>
      </c>
      <c r="AJ295" s="24"/>
      <c r="AK295" s="3"/>
    </row>
    <row r="296" spans="1:38">
      <c r="A296" s="17" t="s">
        <v>468</v>
      </c>
      <c r="B296" s="16" t="s">
        <v>291</v>
      </c>
      <c r="C296" s="33">
        <v>32.380000000000003</v>
      </c>
      <c r="D296" s="33">
        <v>64</v>
      </c>
      <c r="E296" s="33"/>
      <c r="F296" s="33">
        <v>32.380000000000003</v>
      </c>
      <c r="G296" s="33">
        <v>64</v>
      </c>
      <c r="H296" s="33"/>
      <c r="I296" s="33">
        <v>32.380000000000003</v>
      </c>
      <c r="J296" s="33">
        <v>64</v>
      </c>
      <c r="K296" s="33"/>
      <c r="L296" s="33">
        <v>32.380000000000003</v>
      </c>
      <c r="M296" s="33">
        <v>64</v>
      </c>
      <c r="N296" s="33"/>
      <c r="O296" s="33">
        <v>32.380000000000003</v>
      </c>
      <c r="P296" s="33">
        <v>65</v>
      </c>
      <c r="Q296" s="33"/>
      <c r="R296" s="33">
        <v>62.77</v>
      </c>
      <c r="S296" s="33">
        <v>64</v>
      </c>
      <c r="T296" s="33"/>
      <c r="U296" s="33">
        <v>156.68</v>
      </c>
      <c r="V296" s="33">
        <v>64</v>
      </c>
      <c r="W296" s="33"/>
      <c r="X296" s="33">
        <v>62.77</v>
      </c>
      <c r="Y296" s="33">
        <v>64</v>
      </c>
      <c r="Z296" s="33"/>
      <c r="AA296" s="33">
        <v>62.77</v>
      </c>
      <c r="AB296" s="33">
        <v>64</v>
      </c>
      <c r="AC296" s="32">
        <f t="shared" si="47"/>
        <v>506.89</v>
      </c>
      <c r="AD296" s="32">
        <f t="shared" si="48"/>
        <v>577</v>
      </c>
      <c r="AE296" s="33"/>
      <c r="AF296" s="24">
        <v>770</v>
      </c>
      <c r="AG296" s="24">
        <v>770</v>
      </c>
      <c r="AH296" s="39"/>
      <c r="AI296" s="24">
        <f t="shared" si="49"/>
        <v>770</v>
      </c>
      <c r="AJ296" s="24"/>
      <c r="AK296" s="3"/>
      <c r="AL296" s="3"/>
    </row>
    <row r="297" spans="1:38">
      <c r="A297" s="17">
        <v>6080300</v>
      </c>
      <c r="B297" s="16" t="s">
        <v>293</v>
      </c>
      <c r="C297" s="33"/>
      <c r="D297" s="33"/>
      <c r="E297" s="33"/>
      <c r="F297" s="33"/>
      <c r="G297" s="33">
        <v>40250</v>
      </c>
      <c r="H297" s="33"/>
      <c r="I297" s="33">
        <v>96036.15</v>
      </c>
      <c r="J297" s="33">
        <v>80250</v>
      </c>
      <c r="K297" s="33"/>
      <c r="L297" s="33">
        <v>127133.78</v>
      </c>
      <c r="M297" s="33">
        <v>80246</v>
      </c>
      <c r="N297" s="33"/>
      <c r="O297" s="33">
        <v>157195.43</v>
      </c>
      <c r="P297" s="33">
        <v>121000</v>
      </c>
      <c r="Q297" s="33"/>
      <c r="R297" s="33">
        <v>21707</v>
      </c>
      <c r="S297" s="33">
        <v>80247</v>
      </c>
      <c r="T297" s="33"/>
      <c r="U297" s="33">
        <v>0</v>
      </c>
      <c r="V297" s="33">
        <v>0</v>
      </c>
      <c r="W297" s="33"/>
      <c r="X297" s="33">
        <v>0</v>
      </c>
      <c r="Y297" s="33">
        <v>0</v>
      </c>
      <c r="Z297" s="33"/>
      <c r="AA297" s="33">
        <v>0</v>
      </c>
      <c r="AB297" s="33">
        <v>0</v>
      </c>
      <c r="AC297" s="32">
        <f t="shared" si="47"/>
        <v>402072.36</v>
      </c>
      <c r="AD297" s="32">
        <f t="shared" si="48"/>
        <v>401993</v>
      </c>
      <c r="AE297" s="33"/>
      <c r="AF297" s="24">
        <v>401992.5</v>
      </c>
      <c r="AG297" s="24">
        <v>401993</v>
      </c>
      <c r="AH297" s="39"/>
      <c r="AI297" s="24">
        <f t="shared" si="49"/>
        <v>401993</v>
      </c>
      <c r="AJ297" s="24"/>
      <c r="AK297" s="3"/>
    </row>
    <row r="298" spans="1:38">
      <c r="A298" s="17">
        <v>6080310</v>
      </c>
      <c r="B298" s="16" t="s">
        <v>295</v>
      </c>
      <c r="C298" s="33"/>
      <c r="D298" s="33"/>
      <c r="E298" s="33"/>
      <c r="F298" s="33"/>
      <c r="G298" s="33">
        <v>4120</v>
      </c>
      <c r="H298" s="33"/>
      <c r="I298" s="33">
        <v>8499.17</v>
      </c>
      <c r="J298" s="33">
        <v>8240</v>
      </c>
      <c r="K298" s="33"/>
      <c r="L298" s="33">
        <v>12245.42</v>
      </c>
      <c r="M298" s="33">
        <v>8240</v>
      </c>
      <c r="N298" s="33"/>
      <c r="O298" s="33">
        <v>14275.77</v>
      </c>
      <c r="P298" s="33">
        <v>12360</v>
      </c>
      <c r="Q298" s="33"/>
      <c r="R298" s="33">
        <v>1851.79</v>
      </c>
      <c r="S298" s="33">
        <v>8239</v>
      </c>
      <c r="T298" s="33"/>
      <c r="U298" s="33">
        <v>0</v>
      </c>
      <c r="V298" s="33">
        <v>0</v>
      </c>
      <c r="W298" s="33"/>
      <c r="X298" s="33">
        <v>0</v>
      </c>
      <c r="Y298" s="33">
        <v>0</v>
      </c>
      <c r="Z298" s="33"/>
      <c r="AA298" s="33">
        <v>0</v>
      </c>
      <c r="AB298" s="33">
        <v>0</v>
      </c>
      <c r="AC298" s="32">
        <f t="shared" si="47"/>
        <v>36872.15</v>
      </c>
      <c r="AD298" s="32">
        <f t="shared" si="48"/>
        <v>41199</v>
      </c>
      <c r="AE298" s="33"/>
      <c r="AF298" s="24">
        <v>40199.25</v>
      </c>
      <c r="AG298" s="24">
        <v>40199</v>
      </c>
      <c r="AH298" s="39"/>
      <c r="AI298" s="24">
        <f t="shared" si="49"/>
        <v>40199</v>
      </c>
      <c r="AJ298" s="24"/>
      <c r="AK298" s="3"/>
    </row>
    <row r="299" spans="1:38">
      <c r="A299" s="17">
        <v>6080320</v>
      </c>
      <c r="B299" s="16" t="s">
        <v>469</v>
      </c>
      <c r="C299" s="33"/>
      <c r="D299" s="33"/>
      <c r="E299" s="33"/>
      <c r="F299" s="33"/>
      <c r="G299" s="33">
        <v>0</v>
      </c>
      <c r="H299" s="33"/>
      <c r="I299" s="33"/>
      <c r="J299" s="33">
        <v>0</v>
      </c>
      <c r="K299" s="33"/>
      <c r="L299" s="33"/>
      <c r="M299" s="33">
        <v>0</v>
      </c>
      <c r="N299" s="33"/>
      <c r="O299" s="33"/>
      <c r="P299" s="33"/>
      <c r="Q299" s="33"/>
      <c r="R299" s="33">
        <v>0</v>
      </c>
      <c r="S299" s="33">
        <v>0</v>
      </c>
      <c r="T299" s="33"/>
      <c r="U299" s="33">
        <v>0</v>
      </c>
      <c r="V299" s="33">
        <v>0</v>
      </c>
      <c r="W299" s="33"/>
      <c r="X299" s="33">
        <v>0</v>
      </c>
      <c r="Y299" s="33">
        <v>0</v>
      </c>
      <c r="Z299" s="33"/>
      <c r="AA299" s="33">
        <v>0</v>
      </c>
      <c r="AB299" s="33">
        <v>0</v>
      </c>
      <c r="AC299" s="32">
        <f t="shared" si="47"/>
        <v>0</v>
      </c>
      <c r="AD299" s="32">
        <f t="shared" si="48"/>
        <v>0</v>
      </c>
      <c r="AE299" s="33"/>
      <c r="AF299" s="24">
        <v>1000</v>
      </c>
      <c r="AG299" s="24">
        <v>1000</v>
      </c>
      <c r="AH299" s="39"/>
      <c r="AI299" s="24">
        <f t="shared" si="49"/>
        <v>1000</v>
      </c>
      <c r="AJ299" s="24"/>
      <c r="AK299" s="3"/>
    </row>
    <row r="300" spans="1:38">
      <c r="A300" s="17">
        <v>6080350</v>
      </c>
      <c r="B300" s="16" t="s">
        <v>334</v>
      </c>
      <c r="C300" s="33">
        <v>2363</v>
      </c>
      <c r="D300" s="33">
        <v>5000</v>
      </c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>
        <v>0</v>
      </c>
      <c r="S300" s="33">
        <v>0</v>
      </c>
      <c r="T300" s="33"/>
      <c r="U300" s="33">
        <v>143.6</v>
      </c>
      <c r="V300" s="33">
        <v>0</v>
      </c>
      <c r="W300" s="33"/>
      <c r="X300" s="33">
        <v>2755</v>
      </c>
      <c r="Y300" s="33">
        <v>0</v>
      </c>
      <c r="Z300" s="33"/>
      <c r="AA300" s="33">
        <v>0</v>
      </c>
      <c r="AB300" s="33">
        <v>0</v>
      </c>
      <c r="AC300" s="32">
        <f t="shared" si="47"/>
        <v>5261.6</v>
      </c>
      <c r="AD300" s="32">
        <f t="shared" si="48"/>
        <v>5000</v>
      </c>
      <c r="AE300" s="33"/>
      <c r="AF300" s="24">
        <v>10000</v>
      </c>
      <c r="AG300" s="24">
        <v>10000</v>
      </c>
      <c r="AH300" s="39"/>
      <c r="AI300" s="24">
        <f t="shared" si="49"/>
        <v>10000</v>
      </c>
      <c r="AJ300" s="24"/>
      <c r="AK300" s="3"/>
    </row>
    <row r="301" spans="1:38">
      <c r="A301" s="17">
        <v>6080360</v>
      </c>
      <c r="B301" s="16" t="s">
        <v>297</v>
      </c>
      <c r="C301" s="33">
        <v>-1759.53</v>
      </c>
      <c r="D301" s="33">
        <v>1032</v>
      </c>
      <c r="E301" s="33"/>
      <c r="F301" s="33">
        <v>-1759.53</v>
      </c>
      <c r="G301" s="33">
        <v>1032</v>
      </c>
      <c r="H301" s="33"/>
      <c r="I301" s="33">
        <v>-1759.53</v>
      </c>
      <c r="J301" s="33">
        <v>1032</v>
      </c>
      <c r="K301" s="33"/>
      <c r="L301" s="33">
        <v>-1759.53</v>
      </c>
      <c r="M301" s="33">
        <v>1031</v>
      </c>
      <c r="N301" s="33"/>
      <c r="O301" s="33">
        <v>-1759.53</v>
      </c>
      <c r="P301" s="33">
        <v>1031</v>
      </c>
      <c r="Q301" s="33"/>
      <c r="R301" s="33">
        <v>1009.36</v>
      </c>
      <c r="S301" s="33">
        <v>1031</v>
      </c>
      <c r="T301" s="33"/>
      <c r="U301" s="33">
        <v>2519.39</v>
      </c>
      <c r="V301" s="33">
        <v>1032</v>
      </c>
      <c r="W301" s="33"/>
      <c r="X301" s="33">
        <v>1009.36</v>
      </c>
      <c r="Y301" s="33">
        <v>1032</v>
      </c>
      <c r="Z301" s="33"/>
      <c r="AA301" s="33">
        <v>1009.36</v>
      </c>
      <c r="AB301" s="33">
        <v>1032</v>
      </c>
      <c r="AC301" s="32">
        <f t="shared" si="47"/>
        <v>-3250.18</v>
      </c>
      <c r="AD301" s="32">
        <f t="shared" si="48"/>
        <v>9285</v>
      </c>
      <c r="AE301" s="33"/>
      <c r="AF301" s="24">
        <v>12381.37</v>
      </c>
      <c r="AG301" s="24">
        <v>12381</v>
      </c>
      <c r="AH301" s="39"/>
      <c r="AI301" s="24">
        <f t="shared" si="49"/>
        <v>12381</v>
      </c>
      <c r="AJ301" s="24"/>
      <c r="AK301" s="3"/>
      <c r="AL301" s="3"/>
    </row>
    <row r="302" spans="1:38">
      <c r="A302" s="17" t="s">
        <v>470</v>
      </c>
      <c r="B302" s="16" t="s">
        <v>299</v>
      </c>
      <c r="C302" s="33">
        <v>524.23</v>
      </c>
      <c r="D302" s="33">
        <v>667</v>
      </c>
      <c r="E302" s="33"/>
      <c r="F302" s="33">
        <v>890.52</v>
      </c>
      <c r="G302" s="33">
        <v>666</v>
      </c>
      <c r="H302" s="33"/>
      <c r="I302" s="33">
        <v>514.63</v>
      </c>
      <c r="J302" s="33">
        <v>667</v>
      </c>
      <c r="K302" s="33"/>
      <c r="L302" s="33">
        <v>276.7</v>
      </c>
      <c r="M302" s="33">
        <v>667</v>
      </c>
      <c r="N302" s="33"/>
      <c r="O302" s="33">
        <v>1388.4</v>
      </c>
      <c r="P302" s="33">
        <v>666</v>
      </c>
      <c r="Q302" s="33"/>
      <c r="R302" s="33">
        <v>584.23</v>
      </c>
      <c r="S302" s="33">
        <v>667</v>
      </c>
      <c r="T302" s="33"/>
      <c r="U302" s="33">
        <v>506.27</v>
      </c>
      <c r="V302" s="33">
        <v>667</v>
      </c>
      <c r="W302" s="33"/>
      <c r="X302" s="33">
        <v>527.97</v>
      </c>
      <c r="Y302" s="33">
        <v>666</v>
      </c>
      <c r="Z302" s="33"/>
      <c r="AA302" s="33">
        <v>946.25</v>
      </c>
      <c r="AB302" s="33">
        <v>667</v>
      </c>
      <c r="AC302" s="32">
        <f t="shared" si="47"/>
        <v>6159.2</v>
      </c>
      <c r="AD302" s="32">
        <f t="shared" si="48"/>
        <v>6000</v>
      </c>
      <c r="AE302" s="33"/>
      <c r="AF302" s="24">
        <v>8000</v>
      </c>
      <c r="AG302" s="24">
        <v>8000</v>
      </c>
      <c r="AH302" s="39"/>
      <c r="AI302" s="24">
        <f t="shared" si="49"/>
        <v>8000</v>
      </c>
      <c r="AJ302" s="24"/>
      <c r="AK302" s="3"/>
    </row>
    <row r="303" spans="1:38">
      <c r="A303" s="17" t="s">
        <v>471</v>
      </c>
      <c r="B303" s="16" t="s">
        <v>301</v>
      </c>
      <c r="C303" s="33">
        <v>300</v>
      </c>
      <c r="D303" s="33">
        <v>195</v>
      </c>
      <c r="E303" s="33"/>
      <c r="F303" s="33"/>
      <c r="G303" s="33">
        <v>195</v>
      </c>
      <c r="H303" s="33"/>
      <c r="I303" s="33">
        <v>415</v>
      </c>
      <c r="J303" s="33">
        <v>195</v>
      </c>
      <c r="K303" s="33"/>
      <c r="L303" s="33">
        <v>300</v>
      </c>
      <c r="M303" s="33">
        <v>195</v>
      </c>
      <c r="N303" s="33"/>
      <c r="O303" s="33"/>
      <c r="P303" s="33">
        <v>195</v>
      </c>
      <c r="Q303" s="33"/>
      <c r="R303" s="33">
        <v>493</v>
      </c>
      <c r="S303" s="33">
        <v>195</v>
      </c>
      <c r="T303" s="33"/>
      <c r="U303" s="33">
        <v>0</v>
      </c>
      <c r="V303" s="33">
        <v>195</v>
      </c>
      <c r="W303" s="33"/>
      <c r="X303" s="33">
        <v>300</v>
      </c>
      <c r="Y303" s="33">
        <v>195</v>
      </c>
      <c r="Z303" s="33"/>
      <c r="AA303" s="33">
        <v>180</v>
      </c>
      <c r="AB303" s="33">
        <v>195</v>
      </c>
      <c r="AC303" s="32">
        <f t="shared" si="47"/>
        <v>1988</v>
      </c>
      <c r="AD303" s="32">
        <f t="shared" si="48"/>
        <v>1755</v>
      </c>
      <c r="AE303" s="33"/>
      <c r="AF303" s="24">
        <v>2340</v>
      </c>
      <c r="AG303" s="24">
        <v>2340</v>
      </c>
      <c r="AH303" s="39"/>
      <c r="AI303" s="24">
        <f t="shared" si="49"/>
        <v>2340</v>
      </c>
      <c r="AJ303" s="24"/>
      <c r="AK303" s="3"/>
    </row>
    <row r="304" spans="1:38">
      <c r="A304" s="17">
        <v>6080520</v>
      </c>
      <c r="B304" s="16" t="s">
        <v>303</v>
      </c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>
        <v>444</v>
      </c>
      <c r="Y304" s="33">
        <v>0</v>
      </c>
      <c r="Z304" s="33"/>
      <c r="AA304" s="33">
        <v>0</v>
      </c>
      <c r="AB304" s="33">
        <v>0</v>
      </c>
      <c r="AC304" s="32">
        <f t="shared" si="47"/>
        <v>444</v>
      </c>
      <c r="AD304" s="32">
        <f t="shared" si="48"/>
        <v>0</v>
      </c>
      <c r="AE304" s="33"/>
      <c r="AF304" s="24"/>
      <c r="AG304" s="24"/>
      <c r="AH304" s="39"/>
      <c r="AI304" s="24">
        <f t="shared" si="49"/>
        <v>0</v>
      </c>
      <c r="AJ304" s="24"/>
      <c r="AK304" s="3"/>
    </row>
    <row r="305" spans="1:37">
      <c r="A305" s="17" t="s">
        <v>472</v>
      </c>
      <c r="B305" s="16" t="s">
        <v>305</v>
      </c>
      <c r="C305" s="33">
        <v>34.18</v>
      </c>
      <c r="D305" s="33">
        <v>125</v>
      </c>
      <c r="E305" s="33"/>
      <c r="F305" s="33">
        <v>162.58000000000001</v>
      </c>
      <c r="G305" s="33">
        <v>125</v>
      </c>
      <c r="H305" s="33"/>
      <c r="I305" s="33">
        <v>289.17</v>
      </c>
      <c r="J305" s="33">
        <v>125</v>
      </c>
      <c r="K305" s="33"/>
      <c r="L305" s="33">
        <v>110.07</v>
      </c>
      <c r="M305" s="33">
        <v>125</v>
      </c>
      <c r="N305" s="33"/>
      <c r="O305" s="33">
        <v>337.62</v>
      </c>
      <c r="P305" s="33">
        <v>125</v>
      </c>
      <c r="Q305" s="33"/>
      <c r="R305" s="33">
        <v>36.06</v>
      </c>
      <c r="S305" s="33">
        <v>125</v>
      </c>
      <c r="T305" s="33"/>
      <c r="U305" s="33">
        <v>82.23</v>
      </c>
      <c r="V305" s="33">
        <v>125</v>
      </c>
      <c r="W305" s="33"/>
      <c r="X305" s="33">
        <v>0</v>
      </c>
      <c r="Y305" s="33">
        <v>125</v>
      </c>
      <c r="Z305" s="33"/>
      <c r="AA305" s="33">
        <v>1566.18</v>
      </c>
      <c r="AB305" s="33">
        <v>125</v>
      </c>
      <c r="AC305" s="32">
        <f t="shared" si="47"/>
        <v>2618.09</v>
      </c>
      <c r="AD305" s="32">
        <f t="shared" si="48"/>
        <v>1125</v>
      </c>
      <c r="AE305" s="33"/>
      <c r="AF305" s="24">
        <v>1500</v>
      </c>
      <c r="AG305" s="24">
        <v>1500</v>
      </c>
      <c r="AH305" s="39"/>
      <c r="AI305" s="24">
        <f t="shared" si="49"/>
        <v>1500</v>
      </c>
      <c r="AJ305" s="24"/>
      <c r="AK305" s="3"/>
    </row>
    <row r="306" spans="1:37">
      <c r="A306" s="17" t="s">
        <v>473</v>
      </c>
      <c r="B306" s="16" t="s">
        <v>474</v>
      </c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>
        <v>0</v>
      </c>
      <c r="S306" s="33">
        <v>0</v>
      </c>
      <c r="T306" s="33"/>
      <c r="U306" s="33"/>
      <c r="V306" s="33"/>
      <c r="W306" s="33"/>
      <c r="X306" s="33">
        <v>0</v>
      </c>
      <c r="Y306" s="33">
        <v>0</v>
      </c>
      <c r="Z306" s="33"/>
      <c r="AA306" s="33">
        <v>0</v>
      </c>
      <c r="AB306" s="33">
        <v>0</v>
      </c>
      <c r="AC306" s="32">
        <f t="shared" si="47"/>
        <v>0</v>
      </c>
      <c r="AD306" s="32">
        <f t="shared" si="48"/>
        <v>0</v>
      </c>
      <c r="AE306" s="33"/>
      <c r="AF306" s="24"/>
      <c r="AG306" s="24"/>
      <c r="AH306" s="39"/>
      <c r="AI306" s="24">
        <f t="shared" si="49"/>
        <v>0</v>
      </c>
      <c r="AJ306" s="24"/>
      <c r="AK306" s="3"/>
    </row>
    <row r="307" spans="1:37">
      <c r="A307" s="17" t="s">
        <v>475</v>
      </c>
      <c r="B307" s="16" t="s">
        <v>341</v>
      </c>
      <c r="C307" s="33">
        <v>18.559999999999999</v>
      </c>
      <c r="D307" s="33"/>
      <c r="E307" s="33"/>
      <c r="F307" s="33"/>
      <c r="G307" s="33">
        <v>125</v>
      </c>
      <c r="H307" s="33"/>
      <c r="I307" s="33">
        <v>228.51</v>
      </c>
      <c r="J307" s="33">
        <v>250</v>
      </c>
      <c r="K307" s="33"/>
      <c r="L307" s="33">
        <v>202.75</v>
      </c>
      <c r="M307" s="33">
        <v>250</v>
      </c>
      <c r="N307" s="33"/>
      <c r="O307" s="33">
        <v>187.67</v>
      </c>
      <c r="P307" s="33">
        <v>250</v>
      </c>
      <c r="Q307" s="33"/>
      <c r="R307" s="33">
        <v>144.96</v>
      </c>
      <c r="S307" s="33">
        <v>125</v>
      </c>
      <c r="T307" s="33"/>
      <c r="U307" s="33">
        <v>0</v>
      </c>
      <c r="V307" s="33">
        <v>0</v>
      </c>
      <c r="W307" s="33"/>
      <c r="X307" s="33">
        <v>0</v>
      </c>
      <c r="Y307" s="33">
        <v>0</v>
      </c>
      <c r="Z307" s="33"/>
      <c r="AA307" s="33">
        <v>0</v>
      </c>
      <c r="AB307" s="33">
        <v>0</v>
      </c>
      <c r="AC307" s="32">
        <f t="shared" si="47"/>
        <v>782.45</v>
      </c>
      <c r="AD307" s="32">
        <f t="shared" si="48"/>
        <v>1000</v>
      </c>
      <c r="AE307" s="33"/>
      <c r="AF307" s="24">
        <v>1000</v>
      </c>
      <c r="AG307" s="24">
        <v>1000</v>
      </c>
      <c r="AH307" s="39"/>
      <c r="AI307" s="24">
        <f t="shared" si="49"/>
        <v>1000</v>
      </c>
      <c r="AJ307" s="24"/>
      <c r="AK307" s="3"/>
    </row>
    <row r="308" spans="1:37">
      <c r="A308" s="17" t="s">
        <v>476</v>
      </c>
      <c r="B308" s="16" t="s">
        <v>343</v>
      </c>
      <c r="C308" s="33">
        <v>17.989999999999998</v>
      </c>
      <c r="D308" s="33">
        <v>750</v>
      </c>
      <c r="E308" s="33"/>
      <c r="F308" s="33">
        <v>16.96</v>
      </c>
      <c r="G308" s="33"/>
      <c r="H308" s="33"/>
      <c r="I308" s="33">
        <v>259.98</v>
      </c>
      <c r="J308" s="33"/>
      <c r="K308" s="33"/>
      <c r="L308" s="33">
        <v>36.99</v>
      </c>
      <c r="M308" s="33"/>
      <c r="N308" s="33"/>
      <c r="O308" s="33"/>
      <c r="P308" s="33"/>
      <c r="Q308" s="33"/>
      <c r="R308" s="33">
        <v>0</v>
      </c>
      <c r="S308" s="33">
        <v>0</v>
      </c>
      <c r="T308" s="33"/>
      <c r="U308" s="33">
        <v>334.67</v>
      </c>
      <c r="V308" s="33">
        <v>0</v>
      </c>
      <c r="W308" s="33"/>
      <c r="X308" s="33">
        <v>0</v>
      </c>
      <c r="Y308" s="33">
        <v>0</v>
      </c>
      <c r="Z308" s="33"/>
      <c r="AA308" s="33">
        <v>0</v>
      </c>
      <c r="AB308" s="33">
        <v>0</v>
      </c>
      <c r="AC308" s="32">
        <f t="shared" si="47"/>
        <v>666.59</v>
      </c>
      <c r="AD308" s="32">
        <f t="shared" si="48"/>
        <v>750</v>
      </c>
      <c r="AE308" s="33"/>
      <c r="AF308" s="24">
        <v>1500</v>
      </c>
      <c r="AG308" s="24">
        <v>1500</v>
      </c>
      <c r="AH308" s="39"/>
      <c r="AI308" s="24">
        <f t="shared" si="49"/>
        <v>1500</v>
      </c>
      <c r="AJ308" s="24"/>
      <c r="AK308" s="3"/>
    </row>
    <row r="309" spans="1:37">
      <c r="A309" s="17" t="s">
        <v>477</v>
      </c>
      <c r="B309" s="16" t="s">
        <v>313</v>
      </c>
      <c r="C309" s="33">
        <v>121.92</v>
      </c>
      <c r="D309" s="33">
        <v>62</v>
      </c>
      <c r="E309" s="33"/>
      <c r="F309" s="33">
        <v>121.92</v>
      </c>
      <c r="G309" s="33">
        <v>63</v>
      </c>
      <c r="H309" s="33"/>
      <c r="I309" s="33">
        <v>121.92</v>
      </c>
      <c r="J309" s="33">
        <v>62</v>
      </c>
      <c r="K309" s="33"/>
      <c r="L309" s="33">
        <v>121.92</v>
      </c>
      <c r="M309" s="33">
        <v>63</v>
      </c>
      <c r="N309" s="33"/>
      <c r="O309" s="33">
        <v>121.92</v>
      </c>
      <c r="P309" s="33">
        <v>62</v>
      </c>
      <c r="Q309" s="33"/>
      <c r="R309" s="33">
        <v>121.92</v>
      </c>
      <c r="S309" s="33">
        <v>63</v>
      </c>
      <c r="T309" s="33"/>
      <c r="U309" s="33">
        <v>121.92</v>
      </c>
      <c r="V309" s="33">
        <v>62</v>
      </c>
      <c r="W309" s="33"/>
      <c r="X309" s="33">
        <v>121.92</v>
      </c>
      <c r="Y309" s="33">
        <v>63</v>
      </c>
      <c r="Z309" s="33"/>
      <c r="AA309" s="33">
        <v>121.92</v>
      </c>
      <c r="AB309" s="33">
        <v>62</v>
      </c>
      <c r="AC309" s="32">
        <f t="shared" si="47"/>
        <v>1097.28</v>
      </c>
      <c r="AD309" s="32">
        <f t="shared" si="48"/>
        <v>562</v>
      </c>
      <c r="AE309" s="33"/>
      <c r="AF309" s="24">
        <v>750</v>
      </c>
      <c r="AG309" s="24">
        <v>750</v>
      </c>
      <c r="AH309" s="39"/>
      <c r="AI309" s="24">
        <f t="shared" si="49"/>
        <v>750</v>
      </c>
      <c r="AJ309" s="24"/>
      <c r="AK309" s="3"/>
    </row>
    <row r="310" spans="1:37">
      <c r="A310" s="17" t="s">
        <v>478</v>
      </c>
      <c r="B310" s="16" t="s">
        <v>315</v>
      </c>
      <c r="C310" s="33"/>
      <c r="D310" s="33">
        <v>41</v>
      </c>
      <c r="E310" s="33"/>
      <c r="F310" s="33"/>
      <c r="G310" s="33">
        <v>42</v>
      </c>
      <c r="H310" s="33"/>
      <c r="I310" s="33"/>
      <c r="J310" s="33">
        <v>42</v>
      </c>
      <c r="K310" s="33"/>
      <c r="L310" s="33"/>
      <c r="M310" s="33">
        <v>41</v>
      </c>
      <c r="N310" s="33"/>
      <c r="O310" s="33"/>
      <c r="P310" s="33">
        <v>41</v>
      </c>
      <c r="Q310" s="33"/>
      <c r="R310" s="33">
        <v>0</v>
      </c>
      <c r="S310" s="33">
        <v>42</v>
      </c>
      <c r="T310" s="33"/>
      <c r="U310" s="33">
        <v>0</v>
      </c>
      <c r="V310" s="33">
        <v>41</v>
      </c>
      <c r="W310" s="33"/>
      <c r="X310" s="33">
        <v>0</v>
      </c>
      <c r="Y310" s="33">
        <v>42</v>
      </c>
      <c r="Z310" s="33"/>
      <c r="AA310" s="33">
        <v>0</v>
      </c>
      <c r="AB310" s="33">
        <v>42</v>
      </c>
      <c r="AC310" s="32">
        <f t="shared" si="47"/>
        <v>0</v>
      </c>
      <c r="AD310" s="32">
        <f t="shared" si="48"/>
        <v>374</v>
      </c>
      <c r="AE310" s="33"/>
      <c r="AF310" s="24">
        <v>500</v>
      </c>
      <c r="AG310" s="24">
        <v>500</v>
      </c>
      <c r="AH310" s="39"/>
      <c r="AI310" s="24">
        <f t="shared" si="49"/>
        <v>500</v>
      </c>
      <c r="AJ310" s="24"/>
      <c r="AK310" s="3"/>
    </row>
    <row r="311" spans="1:37">
      <c r="A311" s="17" t="s">
        <v>479</v>
      </c>
      <c r="B311" s="16" t="s">
        <v>317</v>
      </c>
      <c r="C311" s="33"/>
      <c r="D311" s="33"/>
      <c r="E311" s="33"/>
      <c r="F311" s="33">
        <v>270</v>
      </c>
      <c r="G311" s="33"/>
      <c r="H311" s="33"/>
      <c r="I311" s="33"/>
      <c r="J311" s="33"/>
      <c r="K311" s="33"/>
      <c r="L311" s="33">
        <v>2100</v>
      </c>
      <c r="M311" s="33">
        <v>10000</v>
      </c>
      <c r="N311" s="33"/>
      <c r="O311" s="33">
        <v>6650</v>
      </c>
      <c r="P311" s="33"/>
      <c r="Q311" s="33"/>
      <c r="R311" s="33">
        <v>0</v>
      </c>
      <c r="S311" s="33">
        <v>0</v>
      </c>
      <c r="T311" s="33"/>
      <c r="U311" s="33">
        <v>0</v>
      </c>
      <c r="V311" s="33">
        <v>0</v>
      </c>
      <c r="W311" s="33"/>
      <c r="X311" s="33">
        <v>0</v>
      </c>
      <c r="Y311" s="33">
        <v>0</v>
      </c>
      <c r="Z311" s="33"/>
      <c r="AA311" s="33">
        <v>0</v>
      </c>
      <c r="AB311" s="33">
        <v>0</v>
      </c>
      <c r="AC311" s="32">
        <f t="shared" si="47"/>
        <v>9020</v>
      </c>
      <c r="AD311" s="32">
        <f t="shared" si="48"/>
        <v>10000</v>
      </c>
      <c r="AE311" s="33"/>
      <c r="AF311" s="24">
        <v>10000</v>
      </c>
      <c r="AG311" s="24">
        <v>10000</v>
      </c>
      <c r="AH311" s="39"/>
      <c r="AI311" s="24">
        <f t="shared" si="49"/>
        <v>10000</v>
      </c>
      <c r="AJ311" s="24"/>
      <c r="AK311" s="3"/>
    </row>
    <row r="312" spans="1:37">
      <c r="A312" s="17" t="s">
        <v>480</v>
      </c>
      <c r="B312" s="16" t="s">
        <v>319</v>
      </c>
      <c r="C312" s="33">
        <v>628.29</v>
      </c>
      <c r="D312" s="33">
        <v>500</v>
      </c>
      <c r="E312" s="33"/>
      <c r="F312" s="33">
        <v>143.82</v>
      </c>
      <c r="G312" s="33">
        <v>500</v>
      </c>
      <c r="H312" s="33"/>
      <c r="I312" s="33">
        <v>416.04</v>
      </c>
      <c r="J312" s="33">
        <v>1500</v>
      </c>
      <c r="K312" s="33"/>
      <c r="L312" s="33">
        <v>813.39</v>
      </c>
      <c r="M312" s="33">
        <v>1500</v>
      </c>
      <c r="N312" s="33"/>
      <c r="O312" s="33">
        <v>109.25</v>
      </c>
      <c r="P312" s="33">
        <v>1500</v>
      </c>
      <c r="Q312" s="33"/>
      <c r="R312" s="33">
        <v>127.22</v>
      </c>
      <c r="S312" s="33">
        <v>500</v>
      </c>
      <c r="T312" s="33"/>
      <c r="U312" s="33">
        <v>0</v>
      </c>
      <c r="V312" s="33">
        <v>0</v>
      </c>
      <c r="W312" s="33"/>
      <c r="X312" s="33">
        <v>95.66</v>
      </c>
      <c r="Y312" s="33">
        <v>0</v>
      </c>
      <c r="Z312" s="33"/>
      <c r="AA312" s="33">
        <v>223.51</v>
      </c>
      <c r="AB312" s="33">
        <v>0</v>
      </c>
      <c r="AC312" s="32">
        <f t="shared" si="47"/>
        <v>2557.1799999999994</v>
      </c>
      <c r="AD312" s="32">
        <f t="shared" si="48"/>
        <v>6000</v>
      </c>
      <c r="AE312" s="33"/>
      <c r="AF312" s="24">
        <v>6000</v>
      </c>
      <c r="AG312" s="24">
        <v>6000</v>
      </c>
      <c r="AH312" s="39"/>
      <c r="AI312" s="24">
        <f t="shared" si="49"/>
        <v>6000</v>
      </c>
      <c r="AJ312" s="24"/>
      <c r="AK312" s="3"/>
    </row>
    <row r="313" spans="1:37">
      <c r="A313" s="17" t="s">
        <v>481</v>
      </c>
      <c r="B313" s="16" t="s">
        <v>321</v>
      </c>
      <c r="C313" s="33">
        <v>967.14</v>
      </c>
      <c r="D313" s="33"/>
      <c r="E313" s="33"/>
      <c r="F313" s="33"/>
      <c r="G313" s="33"/>
      <c r="H313" s="33"/>
      <c r="I313" s="33">
        <v>281.64999999999998</v>
      </c>
      <c r="J313" s="33"/>
      <c r="K313" s="33"/>
      <c r="L313" s="33"/>
      <c r="M313" s="33"/>
      <c r="N313" s="33"/>
      <c r="O313" s="33"/>
      <c r="P313" s="33"/>
      <c r="Q313" s="33"/>
      <c r="R313" s="33">
        <v>0</v>
      </c>
      <c r="S313" s="33">
        <v>0</v>
      </c>
      <c r="T313" s="33"/>
      <c r="U313" s="33">
        <v>0</v>
      </c>
      <c r="V313" s="33">
        <v>0</v>
      </c>
      <c r="W313" s="33"/>
      <c r="X313" s="33">
        <v>0</v>
      </c>
      <c r="Y313" s="33">
        <v>0</v>
      </c>
      <c r="Z313" s="33"/>
      <c r="AA313" s="33">
        <v>0</v>
      </c>
      <c r="AB313" s="33">
        <v>0</v>
      </c>
      <c r="AC313" s="32">
        <f t="shared" si="47"/>
        <v>1248.79</v>
      </c>
      <c r="AD313" s="32">
        <f t="shared" si="48"/>
        <v>0</v>
      </c>
      <c r="AE313" s="33"/>
      <c r="AF313" s="24"/>
      <c r="AG313" s="24"/>
      <c r="AH313" s="39"/>
      <c r="AI313" s="24">
        <f t="shared" si="49"/>
        <v>0</v>
      </c>
      <c r="AJ313" s="24"/>
      <c r="AK313" s="3"/>
    </row>
    <row r="314" spans="1:37">
      <c r="A314" s="17" t="s">
        <v>482</v>
      </c>
      <c r="B314" s="16" t="s">
        <v>219</v>
      </c>
      <c r="C314" s="33"/>
      <c r="D314" s="33"/>
      <c r="E314" s="33"/>
      <c r="F314" s="33"/>
      <c r="G314" s="33"/>
      <c r="H314" s="33"/>
      <c r="I314" s="33">
        <v>158</v>
      </c>
      <c r="J314" s="33"/>
      <c r="K314" s="33"/>
      <c r="L314" s="33"/>
      <c r="M314" s="33"/>
      <c r="N314" s="33"/>
      <c r="O314" s="33">
        <v>80.180000000000007</v>
      </c>
      <c r="P314" s="33"/>
      <c r="Q314" s="33"/>
      <c r="R314" s="33">
        <v>245.05</v>
      </c>
      <c r="S314" s="33">
        <v>0</v>
      </c>
      <c r="T314" s="33"/>
      <c r="U314" s="33">
        <v>0</v>
      </c>
      <c r="V314" s="33">
        <v>0</v>
      </c>
      <c r="W314" s="33"/>
      <c r="X314" s="33">
        <v>0</v>
      </c>
      <c r="Y314" s="33">
        <v>0</v>
      </c>
      <c r="Z314" s="33"/>
      <c r="AA314" s="33">
        <v>350</v>
      </c>
      <c r="AB314" s="33">
        <v>0</v>
      </c>
      <c r="AC314" s="32">
        <f t="shared" si="47"/>
        <v>833.23</v>
      </c>
      <c r="AD314" s="32">
        <f t="shared" si="48"/>
        <v>0</v>
      </c>
      <c r="AE314" s="33"/>
      <c r="AF314" s="24"/>
      <c r="AG314" s="24"/>
      <c r="AH314" s="39"/>
      <c r="AI314" s="24">
        <f t="shared" si="49"/>
        <v>0</v>
      </c>
      <c r="AJ314" s="24"/>
      <c r="AK314" s="3"/>
    </row>
    <row r="315" spans="1:37">
      <c r="A315" s="17" t="s">
        <v>483</v>
      </c>
      <c r="B315" s="16" t="s">
        <v>484</v>
      </c>
      <c r="C315" s="33"/>
      <c r="D315" s="33">
        <v>900</v>
      </c>
      <c r="E315" s="33"/>
      <c r="F315" s="33">
        <v>2170.8000000000002</v>
      </c>
      <c r="G315" s="33">
        <v>900</v>
      </c>
      <c r="H315" s="33"/>
      <c r="I315" s="33"/>
      <c r="J315" s="33">
        <v>900</v>
      </c>
      <c r="K315" s="33"/>
      <c r="L315" s="33">
        <v>1845</v>
      </c>
      <c r="M315" s="33">
        <v>900</v>
      </c>
      <c r="N315" s="33"/>
      <c r="O315" s="33">
        <v>7081.47</v>
      </c>
      <c r="P315" s="33">
        <v>925</v>
      </c>
      <c r="Q315" s="33"/>
      <c r="R315" s="33">
        <v>235</v>
      </c>
      <c r="S315" s="33">
        <v>925</v>
      </c>
      <c r="T315" s="33"/>
      <c r="U315" s="33">
        <v>0</v>
      </c>
      <c r="V315" s="33">
        <v>925</v>
      </c>
      <c r="W315" s="33"/>
      <c r="X315" s="33">
        <v>0</v>
      </c>
      <c r="Y315" s="33">
        <v>925</v>
      </c>
      <c r="Z315" s="33"/>
      <c r="AA315" s="33">
        <v>0</v>
      </c>
      <c r="AB315" s="33">
        <v>925</v>
      </c>
      <c r="AC315" s="32">
        <f t="shared" si="47"/>
        <v>11332.27</v>
      </c>
      <c r="AD315" s="32">
        <f t="shared" si="48"/>
        <v>8225</v>
      </c>
      <c r="AE315" s="33"/>
      <c r="AF315" s="24">
        <v>8000</v>
      </c>
      <c r="AG315" s="24">
        <v>11000</v>
      </c>
      <c r="AH315" s="39"/>
      <c r="AI315" s="24"/>
      <c r="AJ315" s="24">
        <f>+AG315-AI315</f>
        <v>11000</v>
      </c>
      <c r="AK315" s="3"/>
    </row>
    <row r="316" spans="1:37">
      <c r="A316" s="17" t="s">
        <v>485</v>
      </c>
      <c r="B316" s="16" t="s">
        <v>350</v>
      </c>
      <c r="C316" s="33">
        <v>1554.8</v>
      </c>
      <c r="D316" s="33">
        <v>1250</v>
      </c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>
        <v>0</v>
      </c>
      <c r="S316" s="33">
        <v>0</v>
      </c>
      <c r="T316" s="33"/>
      <c r="U316" s="33">
        <v>0</v>
      </c>
      <c r="V316" s="33">
        <v>0</v>
      </c>
      <c r="W316" s="33"/>
      <c r="X316" s="33">
        <v>83.92</v>
      </c>
      <c r="Y316" s="33">
        <v>0</v>
      </c>
      <c r="Z316" s="33"/>
      <c r="AA316" s="33">
        <v>130.71</v>
      </c>
      <c r="AB316" s="33">
        <v>0</v>
      </c>
      <c r="AC316" s="32">
        <f t="shared" si="47"/>
        <v>1769.43</v>
      </c>
      <c r="AD316" s="32">
        <f t="shared" si="48"/>
        <v>1250</v>
      </c>
      <c r="AE316" s="33"/>
      <c r="AF316" s="24">
        <v>2500</v>
      </c>
      <c r="AG316" s="24">
        <v>2500</v>
      </c>
      <c r="AH316" s="39"/>
      <c r="AI316" s="24">
        <f>+AG316</f>
        <v>2500</v>
      </c>
      <c r="AJ316" s="24"/>
      <c r="AK316" s="3"/>
    </row>
    <row r="317" spans="1:37">
      <c r="A317" s="17">
        <v>6082000</v>
      </c>
      <c r="B317" s="16" t="s">
        <v>351</v>
      </c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>
        <v>0</v>
      </c>
      <c r="S317" s="33">
        <v>0</v>
      </c>
      <c r="T317" s="33"/>
      <c r="U317" s="33"/>
      <c r="V317" s="33"/>
      <c r="W317" s="33"/>
      <c r="X317" s="33">
        <v>0</v>
      </c>
      <c r="Y317" s="33">
        <v>0</v>
      </c>
      <c r="Z317" s="33"/>
      <c r="AA317" s="33">
        <v>0</v>
      </c>
      <c r="AB317" s="33">
        <v>0</v>
      </c>
      <c r="AC317" s="32">
        <f t="shared" si="47"/>
        <v>0</v>
      </c>
      <c r="AD317" s="32">
        <f t="shared" si="48"/>
        <v>0</v>
      </c>
      <c r="AE317" s="33"/>
      <c r="AF317" s="24"/>
      <c r="AG317" s="24"/>
      <c r="AH317" s="39"/>
      <c r="AI317" s="24">
        <f>+AG317</f>
        <v>0</v>
      </c>
      <c r="AJ317" s="24"/>
      <c r="AK317" s="3"/>
    </row>
    <row r="318" spans="1:37">
      <c r="A318" s="17">
        <v>6082050</v>
      </c>
      <c r="B318" s="16" t="s">
        <v>323</v>
      </c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>
        <v>0</v>
      </c>
      <c r="S318" s="33">
        <v>0</v>
      </c>
      <c r="T318" s="33"/>
      <c r="U318" s="33"/>
      <c r="V318" s="33"/>
      <c r="W318" s="33"/>
      <c r="X318" s="33">
        <v>0</v>
      </c>
      <c r="Y318" s="33">
        <v>0</v>
      </c>
      <c r="Z318" s="33"/>
      <c r="AA318" s="33">
        <v>0</v>
      </c>
      <c r="AB318" s="33">
        <v>0</v>
      </c>
      <c r="AC318" s="32">
        <f t="shared" si="47"/>
        <v>0</v>
      </c>
      <c r="AD318" s="32">
        <f t="shared" si="48"/>
        <v>0</v>
      </c>
      <c r="AE318" s="33"/>
      <c r="AF318" s="24"/>
      <c r="AG318" s="24"/>
      <c r="AH318" s="39"/>
      <c r="AI318" s="24"/>
      <c r="AJ318" s="24"/>
      <c r="AK318" s="3"/>
    </row>
    <row r="319" spans="1:37">
      <c r="A319" s="15"/>
      <c r="B319" s="1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  <c r="AE319" s="24"/>
      <c r="AF319" s="24"/>
      <c r="AG319" s="24"/>
      <c r="AH319" s="39"/>
      <c r="AI319" s="24"/>
      <c r="AJ319" s="24"/>
      <c r="AK319" s="3"/>
    </row>
    <row r="320" spans="1:37">
      <c r="A320" s="12" t="s">
        <v>104</v>
      </c>
      <c r="B320" s="11" t="s">
        <v>486</v>
      </c>
      <c r="C320" s="34">
        <f>SUM(C293:C319)</f>
        <v>6919.73</v>
      </c>
      <c r="D320" s="34">
        <f>SUM(D293:D319)</f>
        <v>12723</v>
      </c>
      <c r="E320" s="40"/>
      <c r="F320" s="34">
        <f>SUM(F293:F319)</f>
        <v>4201.43</v>
      </c>
      <c r="G320" s="34">
        <f>SUM(G293:G319)</f>
        <v>50219</v>
      </c>
      <c r="H320" s="40"/>
      <c r="I320" s="34">
        <f>SUM(I293:I319)</f>
        <v>107626.84999999998</v>
      </c>
      <c r="J320" s="34">
        <f>SUM(J293:J319)</f>
        <v>95464</v>
      </c>
      <c r="K320" s="40"/>
      <c r="L320" s="34">
        <f>SUM(L293:L319)</f>
        <v>145587.77000000005</v>
      </c>
      <c r="M320" s="34">
        <f>SUM(M293:M319)</f>
        <v>105458</v>
      </c>
      <c r="N320" s="40"/>
      <c r="O320" s="34">
        <f>SUM(O293:O319)</f>
        <v>188872.19999999998</v>
      </c>
      <c r="P320" s="34">
        <f>SUM(P293:P319)</f>
        <v>141388</v>
      </c>
      <c r="Q320" s="40"/>
      <c r="R320" s="34">
        <f>SUM(R293:R319)</f>
        <v>28747.26</v>
      </c>
      <c r="S320" s="34">
        <f>SUM(S293:S319)</f>
        <v>94360</v>
      </c>
      <c r="T320" s="40"/>
      <c r="U320" s="34">
        <f>SUM(U293:U319)</f>
        <v>5993.65</v>
      </c>
      <c r="V320" s="34">
        <f>SUM(V293:V319)</f>
        <v>5248</v>
      </c>
      <c r="W320" s="40"/>
      <c r="X320" s="34">
        <f>SUM(X293:X319)</f>
        <v>7529.5</v>
      </c>
      <c r="Y320" s="34">
        <f>SUM(Y293:Y319)</f>
        <v>5249</v>
      </c>
      <c r="Z320" s="40"/>
      <c r="AA320" s="34">
        <f>SUM(AA293:AA319)</f>
        <v>6738.72</v>
      </c>
      <c r="AB320" s="34">
        <f>SUM(AB293:AB319)</f>
        <v>5248</v>
      </c>
      <c r="AC320" s="34">
        <f>SUM(AC293:AC319)</f>
        <v>502217.11000000004</v>
      </c>
      <c r="AD320" s="34">
        <f>SUM(AD293:AD319)</f>
        <v>515357</v>
      </c>
      <c r="AE320" s="40"/>
      <c r="AF320" s="34">
        <f>SUM(AF293:AF319)</f>
        <v>536137.12</v>
      </c>
      <c r="AG320" s="34">
        <f>SUM(AG293:AG319)</f>
        <v>539137</v>
      </c>
      <c r="AH320" s="39"/>
      <c r="AI320" s="34">
        <f>SUM(AI293:AI319)</f>
        <v>528137</v>
      </c>
      <c r="AJ320" s="34">
        <f>SUM(AJ293:AJ319)</f>
        <v>11000</v>
      </c>
      <c r="AK320" s="3"/>
    </row>
    <row r="321" spans="1:37">
      <c r="C321" s="41"/>
      <c r="D321" s="41"/>
      <c r="E321" s="41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F321" s="41"/>
      <c r="AG321" s="41"/>
      <c r="AH321" s="39"/>
      <c r="AI321" s="41"/>
      <c r="AJ321" s="41"/>
      <c r="AK321" s="3"/>
    </row>
    <row r="322" spans="1:37" ht="12" thickBot="1">
      <c r="A322" s="9" t="s">
        <v>487</v>
      </c>
      <c r="B322" s="8" t="s">
        <v>488</v>
      </c>
      <c r="C322" s="35">
        <f>+C320+C290+C255+C210</f>
        <v>393271.56</v>
      </c>
      <c r="D322" s="35">
        <f>+D320+D290+D255+D210</f>
        <v>494890</v>
      </c>
      <c r="E322" s="40"/>
      <c r="F322" s="35">
        <f>+F320+F290+F255+F210</f>
        <v>542606.97</v>
      </c>
      <c r="G322" s="35">
        <f>+G320+G290+G255+G210</f>
        <v>553661</v>
      </c>
      <c r="H322" s="40"/>
      <c r="I322" s="35">
        <f>+I320+I290+I255+I210</f>
        <v>625561.11</v>
      </c>
      <c r="J322" s="35">
        <f>+J320+J290+J255+J210</f>
        <v>622496</v>
      </c>
      <c r="K322" s="40"/>
      <c r="L322" s="35">
        <f>+L320+L290+L255+L210</f>
        <v>726877.56</v>
      </c>
      <c r="M322" s="35">
        <f>+M320+M290+M255+M210</f>
        <v>718152</v>
      </c>
      <c r="N322" s="40"/>
      <c r="O322" s="35">
        <f>+O320+O290+O255+O210</f>
        <v>878361.02999999991</v>
      </c>
      <c r="P322" s="35">
        <f>+P320+P290+P255+P210</f>
        <v>814335</v>
      </c>
      <c r="Q322" s="40"/>
      <c r="R322" s="35">
        <f>+R320+R290+R255+R210</f>
        <v>616162.17000000004</v>
      </c>
      <c r="S322" s="35">
        <f>+S320+S290+S255+S210</f>
        <v>666594</v>
      </c>
      <c r="T322" s="40"/>
      <c r="U322" s="35">
        <f>+U320+U290+U255+U210</f>
        <v>373035.85</v>
      </c>
      <c r="V322" s="35">
        <f>+V320+V290+V255+V210</f>
        <v>475441</v>
      </c>
      <c r="W322" s="40"/>
      <c r="X322" s="35">
        <f>+X320+X290+X255+X210</f>
        <v>485104</v>
      </c>
      <c r="Y322" s="35">
        <f>+Y320+Y290+Y255+Y210</f>
        <v>477422</v>
      </c>
      <c r="Z322" s="40"/>
      <c r="AA322" s="35">
        <f>+AA320+AA290+AA255+AA210</f>
        <v>422229.94</v>
      </c>
      <c r="AB322" s="35">
        <f>+AB320+AB290+AB255+AB210</f>
        <v>458603</v>
      </c>
      <c r="AC322" s="56">
        <f>+AC320+AC290+AC255+AC210</f>
        <v>5063210.1900000013</v>
      </c>
      <c r="AD322" s="35">
        <f>+AD320+AD290+AD255+AD210</f>
        <v>5281594</v>
      </c>
      <c r="AE322" s="40"/>
      <c r="AF322" s="35">
        <f>+AF320+AF290+AF255+AF210</f>
        <v>8022036.3300000001</v>
      </c>
      <c r="AG322" s="35">
        <f>+AG320+AG290+AG255+AG210</f>
        <v>11495827</v>
      </c>
      <c r="AH322" s="39"/>
      <c r="AI322" s="35">
        <f>+AI320+AI290+AI255+AI210</f>
        <v>5613827</v>
      </c>
      <c r="AJ322" s="35">
        <f>+AJ320+AJ290+AJ255+AJ210</f>
        <v>5882000</v>
      </c>
      <c r="AK322" s="3"/>
    </row>
    <row r="323" spans="1:37" ht="12" thickTop="1">
      <c r="C323" s="41"/>
      <c r="D323" s="41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F323" s="41"/>
      <c r="AG323" s="41"/>
      <c r="AH323" s="39"/>
      <c r="AI323" s="41"/>
      <c r="AJ323" s="41"/>
      <c r="AK323" s="3"/>
    </row>
    <row r="324" spans="1:37">
      <c r="C324" s="41"/>
      <c r="D324" s="41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F324" s="41"/>
      <c r="AG324" s="41"/>
      <c r="AH324" s="39"/>
      <c r="AI324" s="41"/>
      <c r="AJ324" s="41"/>
      <c r="AK324" s="3"/>
    </row>
    <row r="325" spans="1:37" ht="12" thickBot="1">
      <c r="A325" s="6"/>
      <c r="B325" s="5" t="s">
        <v>489</v>
      </c>
      <c r="C325" s="38">
        <f>+C100-C322</f>
        <v>37424.98000000004</v>
      </c>
      <c r="D325" s="38">
        <f>+D100-D322</f>
        <v>-54220</v>
      </c>
      <c r="E325" s="46"/>
      <c r="F325" s="38">
        <f>+F100-F322</f>
        <v>286421.20000000007</v>
      </c>
      <c r="G325" s="38">
        <f>+G100-G322</f>
        <v>216499</v>
      </c>
      <c r="H325" s="46"/>
      <c r="I325" s="38">
        <f>+I100-I322</f>
        <v>-5670.5999999999767</v>
      </c>
      <c r="J325" s="38">
        <f>+J100-J322</f>
        <v>80449</v>
      </c>
      <c r="K325" s="46"/>
      <c r="L325" s="38">
        <f>+L100-L322</f>
        <v>111720.02999999991</v>
      </c>
      <c r="M325" s="38">
        <f>+M100-M322</f>
        <v>-6572</v>
      </c>
      <c r="N325" s="46"/>
      <c r="O325" s="38">
        <f>+O100-O322</f>
        <v>42370.060000000172</v>
      </c>
      <c r="P325" s="38">
        <f>+P100-P322</f>
        <v>-31590</v>
      </c>
      <c r="Q325" s="46"/>
      <c r="R325" s="38">
        <f>+R100-R322</f>
        <v>128813.35999999999</v>
      </c>
      <c r="S325" s="38">
        <f>+S100-S322</f>
        <v>-12229</v>
      </c>
      <c r="T325" s="46"/>
      <c r="U325" s="38">
        <f>+U100-U322</f>
        <v>781570.15</v>
      </c>
      <c r="V325" s="38">
        <f>+V100-V322</f>
        <v>604209</v>
      </c>
      <c r="W325" s="46"/>
      <c r="X325" s="38">
        <f>+X100-X322</f>
        <v>-124826.73999999999</v>
      </c>
      <c r="Y325" s="38">
        <f>+Y100-Y322</f>
        <v>-139212</v>
      </c>
      <c r="Z325" s="46"/>
      <c r="AA325" s="38">
        <f>+AA100-AA322</f>
        <v>-124187.59999999998</v>
      </c>
      <c r="AB325" s="38">
        <f>+AB100-AB322</f>
        <v>-180908</v>
      </c>
      <c r="AC325" s="38">
        <f>+AC100-AC322</f>
        <v>1133634.8399999989</v>
      </c>
      <c r="AD325" s="38">
        <f>+AD100-AD322</f>
        <v>476426</v>
      </c>
      <c r="AE325" s="46"/>
      <c r="AF325" s="38">
        <f>+AF100-AF322</f>
        <v>3069968.67</v>
      </c>
      <c r="AG325" s="38">
        <f>+AG100-AG322</f>
        <v>127473</v>
      </c>
      <c r="AH325" s="39"/>
      <c r="AI325" s="38">
        <f>+AI100-AI322</f>
        <v>53173</v>
      </c>
      <c r="AJ325" s="38">
        <f>+AJ100-AJ322</f>
        <v>74300</v>
      </c>
      <c r="AK325" s="3"/>
    </row>
    <row r="326" spans="1:37" ht="12" thickTop="1">
      <c r="A326" s="2"/>
      <c r="B326" s="2"/>
      <c r="C326" s="47"/>
      <c r="D326" s="47"/>
      <c r="E326" s="47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  <c r="X326" s="47"/>
      <c r="Y326" s="47"/>
      <c r="Z326" s="47"/>
      <c r="AA326" s="47"/>
      <c r="AB326" s="47"/>
      <c r="AC326" s="47"/>
      <c r="AD326" s="47"/>
      <c r="AE326" s="47"/>
      <c r="AF326" s="47"/>
      <c r="AG326" s="47"/>
      <c r="AH326" s="41"/>
      <c r="AI326" s="47"/>
      <c r="AJ326" s="47"/>
    </row>
    <row r="327" spans="1:37">
      <c r="A327" s="2"/>
      <c r="B327" s="2"/>
      <c r="C327" s="47"/>
      <c r="D327" s="47"/>
      <c r="E327" s="47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  <c r="AA327" s="47"/>
      <c r="AB327" s="47"/>
      <c r="AC327" s="47"/>
      <c r="AD327" s="47"/>
      <c r="AE327" s="47"/>
      <c r="AF327" s="47"/>
      <c r="AG327" s="47"/>
      <c r="AH327" s="41"/>
      <c r="AI327" s="47"/>
      <c r="AJ327" s="47"/>
    </row>
    <row r="328" spans="1:37">
      <c r="A328" s="2"/>
      <c r="B328" s="2"/>
      <c r="C328" s="47"/>
      <c r="D328" s="47"/>
      <c r="E328" s="47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47"/>
      <c r="Y328" s="47"/>
      <c r="Z328" s="47"/>
      <c r="AA328" s="47"/>
      <c r="AB328" s="47"/>
      <c r="AC328" s="47"/>
      <c r="AD328" s="47"/>
      <c r="AE328" s="47"/>
      <c r="AF328" s="47"/>
      <c r="AG328" s="60"/>
      <c r="AH328" s="41"/>
      <c r="AI328" s="60"/>
      <c r="AJ328" s="60"/>
    </row>
    <row r="329" spans="1:37">
      <c r="A329" s="2"/>
      <c r="B329" s="2"/>
      <c r="C329" s="47"/>
      <c r="D329" s="47"/>
      <c r="E329" s="47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  <c r="X329" s="47"/>
      <c r="Y329" s="47"/>
      <c r="Z329" s="47"/>
      <c r="AA329" s="47"/>
      <c r="AB329" s="47"/>
      <c r="AC329" s="47"/>
      <c r="AD329" s="47"/>
      <c r="AE329" s="47"/>
      <c r="AF329" s="47"/>
      <c r="AG329" s="47"/>
      <c r="AH329" s="41"/>
      <c r="AI329" s="47"/>
      <c r="AJ329" s="47"/>
    </row>
    <row r="330" spans="1:37">
      <c r="A330" s="2"/>
      <c r="B330" s="2"/>
      <c r="C330" s="47"/>
      <c r="D330" s="47"/>
      <c r="E330" s="47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  <c r="X330" s="47"/>
      <c r="Y330" s="47"/>
      <c r="Z330" s="47"/>
      <c r="AA330" s="47"/>
      <c r="AB330" s="47"/>
      <c r="AC330" s="47"/>
      <c r="AD330" s="47"/>
      <c r="AE330" s="47"/>
      <c r="AF330" s="47"/>
      <c r="AG330" s="47"/>
      <c r="AH330" s="41"/>
      <c r="AI330" s="47"/>
      <c r="AJ330" s="47"/>
    </row>
    <row r="331" spans="1:37">
      <c r="A331" s="2"/>
      <c r="B331" s="2"/>
      <c r="C331" s="47"/>
      <c r="D331" s="47"/>
      <c r="E331" s="47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  <c r="X331" s="47"/>
      <c r="Y331" s="47"/>
      <c r="Z331" s="47"/>
      <c r="AA331" s="47"/>
      <c r="AB331" s="47"/>
      <c r="AC331" s="47"/>
      <c r="AD331" s="47"/>
      <c r="AE331" s="47"/>
      <c r="AF331" s="47"/>
      <c r="AG331" s="47"/>
      <c r="AH331" s="41"/>
      <c r="AI331" s="47"/>
      <c r="AJ331" s="47"/>
    </row>
    <row r="332" spans="1:37">
      <c r="A332" s="2"/>
      <c r="B332" s="2"/>
      <c r="C332" s="47"/>
      <c r="D332" s="47"/>
      <c r="E332" s="47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  <c r="X332" s="47"/>
      <c r="Y332" s="47"/>
      <c r="Z332" s="47"/>
      <c r="AA332" s="47"/>
      <c r="AB332" s="47"/>
      <c r="AC332" s="47"/>
      <c r="AD332" s="47"/>
      <c r="AE332" s="47"/>
      <c r="AF332" s="47"/>
      <c r="AG332" s="47"/>
      <c r="AH332" s="41"/>
      <c r="AI332" s="47"/>
      <c r="AJ332" s="47"/>
    </row>
    <row r="333" spans="1:37">
      <c r="A333" s="2"/>
      <c r="B333" s="2"/>
      <c r="C333" s="47"/>
      <c r="D333" s="47"/>
      <c r="E333" s="47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  <c r="AA333" s="47"/>
      <c r="AB333" s="47"/>
      <c r="AC333" s="47"/>
      <c r="AD333" s="47"/>
      <c r="AE333" s="47"/>
      <c r="AF333" s="47"/>
      <c r="AG333" s="47"/>
      <c r="AH333" s="41"/>
      <c r="AI333" s="47"/>
      <c r="AJ333" s="47"/>
    </row>
    <row r="334" spans="1:37">
      <c r="A334" s="2"/>
      <c r="B334" s="2"/>
      <c r="C334" s="47"/>
      <c r="D334" s="47"/>
      <c r="E334" s="47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  <c r="X334" s="47"/>
      <c r="Y334" s="47"/>
      <c r="Z334" s="47"/>
      <c r="AA334" s="47"/>
      <c r="AB334" s="47"/>
      <c r="AC334" s="47"/>
      <c r="AD334" s="47"/>
      <c r="AE334" s="47"/>
      <c r="AF334" s="47"/>
      <c r="AG334" s="47"/>
      <c r="AH334" s="41"/>
      <c r="AI334" s="47"/>
      <c r="AJ334" s="47"/>
    </row>
    <row r="335" spans="1:37">
      <c r="A335" s="2"/>
      <c r="B335" s="2"/>
      <c r="C335" s="47"/>
      <c r="D335" s="47"/>
      <c r="E335" s="47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  <c r="AA335" s="47"/>
      <c r="AB335" s="47"/>
      <c r="AC335" s="47"/>
      <c r="AD335" s="47"/>
      <c r="AE335" s="47"/>
      <c r="AF335" s="47"/>
      <c r="AG335" s="47"/>
      <c r="AH335" s="41"/>
      <c r="AI335" s="47"/>
      <c r="AJ335" s="47"/>
    </row>
    <row r="336" spans="1:37">
      <c r="A336" s="2"/>
      <c r="B336" s="2"/>
      <c r="C336" s="47"/>
      <c r="D336" s="47"/>
      <c r="E336" s="47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  <c r="X336" s="47"/>
      <c r="Y336" s="47"/>
      <c r="Z336" s="47"/>
      <c r="AA336" s="47"/>
      <c r="AB336" s="47"/>
      <c r="AC336" s="47"/>
      <c r="AD336" s="47"/>
      <c r="AE336" s="47"/>
      <c r="AF336" s="47"/>
      <c r="AG336" s="47"/>
      <c r="AH336" s="41"/>
      <c r="AI336" s="47"/>
      <c r="AJ336" s="47"/>
    </row>
    <row r="337" spans="1:36">
      <c r="A337" s="2"/>
      <c r="B337" s="2"/>
      <c r="C337" s="47"/>
      <c r="D337" s="47"/>
      <c r="E337" s="47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  <c r="X337" s="47"/>
      <c r="Y337" s="47"/>
      <c r="Z337" s="47"/>
      <c r="AA337" s="47"/>
      <c r="AB337" s="47"/>
      <c r="AC337" s="47"/>
      <c r="AD337" s="47"/>
      <c r="AE337" s="47"/>
      <c r="AF337" s="47"/>
      <c r="AG337" s="47"/>
      <c r="AH337" s="41"/>
      <c r="AI337" s="47"/>
      <c r="AJ337" s="47"/>
    </row>
    <row r="338" spans="1:36">
      <c r="A338" s="2"/>
      <c r="B338" s="2"/>
      <c r="C338" s="47"/>
      <c r="D338" s="47"/>
      <c r="E338" s="47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  <c r="X338" s="47"/>
      <c r="Y338" s="47"/>
      <c r="Z338" s="47"/>
      <c r="AA338" s="47"/>
      <c r="AB338" s="47"/>
      <c r="AC338" s="47"/>
      <c r="AD338" s="47"/>
      <c r="AE338" s="47"/>
      <c r="AF338" s="47"/>
      <c r="AG338" s="47"/>
      <c r="AH338" s="41"/>
      <c r="AI338" s="47"/>
      <c r="AJ338" s="47"/>
    </row>
    <row r="339" spans="1:36">
      <c r="A339" s="2"/>
      <c r="B339" s="2"/>
      <c r="C339" s="47"/>
      <c r="D339" s="47"/>
      <c r="E339" s="47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  <c r="X339" s="47"/>
      <c r="Y339" s="47"/>
      <c r="Z339" s="47"/>
      <c r="AA339" s="47"/>
      <c r="AB339" s="47"/>
      <c r="AC339" s="47"/>
      <c r="AD339" s="47"/>
      <c r="AE339" s="47"/>
      <c r="AF339" s="47"/>
      <c r="AG339" s="47"/>
      <c r="AH339" s="41"/>
      <c r="AI339" s="47"/>
      <c r="AJ339" s="47"/>
    </row>
    <row r="340" spans="1:36">
      <c r="A340" s="2"/>
      <c r="B340" s="2"/>
      <c r="C340" s="47"/>
      <c r="D340" s="47"/>
      <c r="E340" s="47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  <c r="X340" s="47"/>
      <c r="Y340" s="47"/>
      <c r="Z340" s="47"/>
      <c r="AA340" s="47"/>
      <c r="AB340" s="47"/>
      <c r="AC340" s="47"/>
      <c r="AD340" s="47"/>
      <c r="AE340" s="47"/>
      <c r="AF340" s="47"/>
      <c r="AG340" s="47"/>
      <c r="AH340" s="41"/>
      <c r="AI340" s="47"/>
      <c r="AJ340" s="47"/>
    </row>
    <row r="341" spans="1:36">
      <c r="A341" s="2"/>
      <c r="B341" s="2"/>
      <c r="C341" s="47"/>
      <c r="D341" s="47"/>
      <c r="E341" s="47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  <c r="AA341" s="47"/>
      <c r="AB341" s="47"/>
      <c r="AC341" s="47"/>
      <c r="AD341" s="47"/>
      <c r="AE341" s="47"/>
      <c r="AF341" s="47"/>
      <c r="AG341" s="47"/>
      <c r="AH341" s="41"/>
      <c r="AI341" s="47"/>
      <c r="AJ341" s="47"/>
    </row>
    <row r="342" spans="1:36">
      <c r="A342" s="2"/>
      <c r="B342" s="2"/>
      <c r="C342" s="47"/>
      <c r="D342" s="47"/>
      <c r="E342" s="47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  <c r="X342" s="47"/>
      <c r="Y342" s="47"/>
      <c r="Z342" s="47"/>
      <c r="AA342" s="47"/>
      <c r="AB342" s="47"/>
      <c r="AC342" s="47"/>
      <c r="AD342" s="47"/>
      <c r="AE342" s="47"/>
      <c r="AF342" s="47"/>
      <c r="AG342" s="47"/>
      <c r="AH342" s="41"/>
      <c r="AI342" s="47"/>
      <c r="AJ342" s="47"/>
    </row>
    <row r="343" spans="1:36">
      <c r="A343" s="2"/>
      <c r="B343" s="2"/>
      <c r="C343" s="47"/>
      <c r="D343" s="47"/>
      <c r="E343" s="47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7"/>
      <c r="Z343" s="47"/>
      <c r="AA343" s="47"/>
      <c r="AB343" s="47"/>
      <c r="AC343" s="47"/>
      <c r="AD343" s="47"/>
      <c r="AE343" s="47"/>
      <c r="AF343" s="47"/>
      <c r="AG343" s="47"/>
      <c r="AH343" s="41"/>
      <c r="AI343" s="47"/>
      <c r="AJ343" s="47"/>
    </row>
    <row r="344" spans="1:36">
      <c r="A344" s="2"/>
      <c r="B344" s="2"/>
      <c r="C344" s="47"/>
      <c r="D344" s="47"/>
      <c r="E344" s="47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  <c r="AA344" s="47"/>
      <c r="AB344" s="47"/>
      <c r="AC344" s="47"/>
      <c r="AD344" s="47"/>
      <c r="AE344" s="47"/>
      <c r="AF344" s="47"/>
      <c r="AG344" s="47"/>
      <c r="AH344" s="41"/>
      <c r="AI344" s="47"/>
      <c r="AJ344" s="47"/>
    </row>
    <row r="345" spans="1:36">
      <c r="A345" s="2"/>
      <c r="B345" s="2"/>
      <c r="C345" s="47"/>
      <c r="D345" s="47"/>
      <c r="E345" s="47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  <c r="X345" s="47"/>
      <c r="Y345" s="47"/>
      <c r="Z345" s="47"/>
      <c r="AA345" s="47"/>
      <c r="AB345" s="47"/>
      <c r="AC345" s="47"/>
      <c r="AD345" s="47"/>
      <c r="AE345" s="47"/>
      <c r="AF345" s="47"/>
      <c r="AG345" s="47"/>
      <c r="AH345" s="41"/>
      <c r="AI345" s="47"/>
      <c r="AJ345" s="47"/>
    </row>
    <row r="346" spans="1:36">
      <c r="A346" s="2"/>
      <c r="B346" s="2"/>
      <c r="C346" s="47"/>
      <c r="D346" s="47"/>
      <c r="E346" s="47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  <c r="X346" s="47"/>
      <c r="Y346" s="47"/>
      <c r="Z346" s="47"/>
      <c r="AA346" s="47"/>
      <c r="AB346" s="47"/>
      <c r="AC346" s="47"/>
      <c r="AD346" s="47"/>
      <c r="AE346" s="47"/>
      <c r="AF346" s="47"/>
      <c r="AG346" s="47"/>
      <c r="AH346" s="41"/>
      <c r="AI346" s="47"/>
      <c r="AJ346" s="47"/>
    </row>
    <row r="347" spans="1:36">
      <c r="A347" s="2"/>
      <c r="B347" s="2"/>
      <c r="C347" s="47"/>
      <c r="D347" s="47"/>
      <c r="E347" s="47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  <c r="X347" s="47"/>
      <c r="Y347" s="47"/>
      <c r="Z347" s="47"/>
      <c r="AA347" s="47"/>
      <c r="AB347" s="47"/>
      <c r="AC347" s="47"/>
      <c r="AD347" s="47"/>
      <c r="AE347" s="47"/>
      <c r="AF347" s="47"/>
      <c r="AG347" s="47"/>
      <c r="AH347" s="41"/>
      <c r="AI347" s="47"/>
      <c r="AJ347" s="47"/>
    </row>
    <row r="348" spans="1:36">
      <c r="A348" s="2"/>
      <c r="B348" s="2"/>
      <c r="C348" s="47"/>
      <c r="D348" s="47"/>
      <c r="E348" s="47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7"/>
      <c r="Z348" s="47"/>
      <c r="AA348" s="47"/>
      <c r="AB348" s="47"/>
      <c r="AC348" s="47"/>
      <c r="AD348" s="47"/>
      <c r="AE348" s="47"/>
      <c r="AF348" s="47"/>
      <c r="AG348" s="47"/>
      <c r="AH348" s="41"/>
      <c r="AI348" s="47"/>
      <c r="AJ348" s="47"/>
    </row>
    <row r="349" spans="1:36">
      <c r="A349" s="2"/>
      <c r="B349" s="2"/>
      <c r="C349" s="47"/>
      <c r="D349" s="47"/>
      <c r="E349" s="47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  <c r="X349" s="47"/>
      <c r="Y349" s="47"/>
      <c r="Z349" s="47"/>
      <c r="AA349" s="47"/>
      <c r="AB349" s="47"/>
      <c r="AC349" s="47"/>
      <c r="AD349" s="47"/>
      <c r="AE349" s="47"/>
      <c r="AF349" s="47"/>
      <c r="AG349" s="47"/>
      <c r="AH349" s="41"/>
      <c r="AI349" s="47"/>
      <c r="AJ349" s="47"/>
    </row>
    <row r="350" spans="1:36">
      <c r="A350" s="2"/>
      <c r="B350" s="2"/>
      <c r="C350" s="47"/>
      <c r="D350" s="47"/>
      <c r="E350" s="47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  <c r="Z350" s="47"/>
      <c r="AA350" s="47"/>
      <c r="AB350" s="47"/>
      <c r="AC350" s="47"/>
      <c r="AD350" s="47"/>
      <c r="AE350" s="47"/>
      <c r="AF350" s="47"/>
      <c r="AG350" s="47"/>
      <c r="AH350" s="41"/>
      <c r="AI350" s="47"/>
      <c r="AJ350" s="47"/>
    </row>
    <row r="351" spans="1:36">
      <c r="A351" s="2"/>
      <c r="B351" s="2"/>
      <c r="C351" s="47"/>
      <c r="D351" s="47"/>
      <c r="E351" s="47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  <c r="AA351" s="47"/>
      <c r="AB351" s="47"/>
      <c r="AC351" s="47"/>
      <c r="AD351" s="47"/>
      <c r="AE351" s="47"/>
      <c r="AF351" s="47"/>
      <c r="AG351" s="47"/>
      <c r="AH351" s="41"/>
      <c r="AI351" s="47"/>
      <c r="AJ351" s="47"/>
    </row>
    <row r="352" spans="1:36">
      <c r="A352" s="2"/>
      <c r="B352" s="2"/>
      <c r="C352" s="47"/>
      <c r="D352" s="47"/>
      <c r="E352" s="47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  <c r="AA352" s="47"/>
      <c r="AB352" s="47"/>
      <c r="AC352" s="47"/>
      <c r="AD352" s="47"/>
      <c r="AE352" s="47"/>
      <c r="AF352" s="47"/>
      <c r="AG352" s="47"/>
      <c r="AH352" s="41"/>
      <c r="AI352" s="47"/>
      <c r="AJ352" s="47"/>
    </row>
    <row r="353" spans="1:36">
      <c r="A353" s="2"/>
      <c r="B353" s="2"/>
      <c r="C353" s="47"/>
      <c r="D353" s="47"/>
      <c r="E353" s="47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  <c r="AA353" s="47"/>
      <c r="AB353" s="47"/>
      <c r="AC353" s="47"/>
      <c r="AD353" s="47"/>
      <c r="AE353" s="47"/>
      <c r="AF353" s="47"/>
      <c r="AG353" s="47"/>
      <c r="AH353" s="41"/>
      <c r="AI353" s="47"/>
      <c r="AJ353" s="47"/>
    </row>
    <row r="354" spans="1:36">
      <c r="A354" s="2"/>
      <c r="B354" s="2"/>
      <c r="C354" s="47"/>
      <c r="D354" s="47"/>
      <c r="E354" s="47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  <c r="AA354" s="47"/>
      <c r="AB354" s="47"/>
      <c r="AC354" s="47"/>
      <c r="AD354" s="47"/>
      <c r="AE354" s="47"/>
      <c r="AF354" s="47"/>
      <c r="AG354" s="47"/>
      <c r="AH354" s="41"/>
      <c r="AI354" s="47"/>
      <c r="AJ354" s="47"/>
    </row>
    <row r="355" spans="1:36">
      <c r="A355" s="2"/>
      <c r="B355" s="2"/>
      <c r="C355" s="47"/>
      <c r="D355" s="47"/>
      <c r="E355" s="47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  <c r="AA355" s="47"/>
      <c r="AB355" s="47"/>
      <c r="AC355" s="47"/>
      <c r="AD355" s="47"/>
      <c r="AE355" s="47"/>
      <c r="AF355" s="47"/>
      <c r="AG355" s="47"/>
      <c r="AH355" s="41"/>
      <c r="AI355" s="47"/>
      <c r="AJ355" s="47"/>
    </row>
    <row r="356" spans="1:36">
      <c r="A356" s="2"/>
      <c r="B356" s="2"/>
      <c r="C356" s="47"/>
      <c r="D356" s="47"/>
      <c r="E356" s="47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  <c r="AA356" s="47"/>
      <c r="AB356" s="47"/>
      <c r="AC356" s="47"/>
      <c r="AD356" s="47"/>
      <c r="AE356" s="47"/>
      <c r="AF356" s="47"/>
      <c r="AG356" s="47"/>
      <c r="AH356" s="41"/>
      <c r="AI356" s="47"/>
      <c r="AJ356" s="47"/>
    </row>
    <row r="357" spans="1:36">
      <c r="A357" s="2"/>
      <c r="B357" s="2"/>
      <c r="C357" s="47"/>
      <c r="D357" s="47"/>
      <c r="E357" s="47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  <c r="Z357" s="47"/>
      <c r="AA357" s="47"/>
      <c r="AB357" s="47"/>
      <c r="AC357" s="47"/>
      <c r="AD357" s="47"/>
      <c r="AE357" s="47"/>
      <c r="AF357" s="47"/>
      <c r="AG357" s="47"/>
      <c r="AH357" s="41"/>
      <c r="AI357" s="47"/>
      <c r="AJ357" s="47"/>
    </row>
    <row r="358" spans="1:36">
      <c r="A358" s="2"/>
      <c r="B358" s="2"/>
      <c r="C358" s="47"/>
      <c r="D358" s="47"/>
      <c r="E358" s="47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  <c r="AA358" s="47"/>
      <c r="AB358" s="47"/>
      <c r="AC358" s="47"/>
      <c r="AD358" s="47"/>
      <c r="AE358" s="47"/>
      <c r="AF358" s="47"/>
      <c r="AG358" s="53"/>
      <c r="AH358" s="41"/>
      <c r="AI358" s="53"/>
      <c r="AJ358" s="53"/>
    </row>
    <row r="359" spans="1:36">
      <c r="A359" s="2"/>
      <c r="B359" s="2"/>
      <c r="C359" s="2"/>
      <c r="D359" s="53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53"/>
      <c r="AI359" s="53"/>
      <c r="AJ359" s="53"/>
    </row>
    <row r="360" spans="1:36">
      <c r="A360" s="2"/>
      <c r="B360" s="2"/>
      <c r="C360" s="2"/>
      <c r="D360" s="53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53"/>
      <c r="AI360" s="53"/>
      <c r="AJ360" s="53"/>
    </row>
    <row r="361" spans="1:36">
      <c r="A361" s="2"/>
      <c r="B361" s="2"/>
      <c r="C361" s="2"/>
      <c r="D361" s="53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53"/>
      <c r="AI361" s="53"/>
      <c r="AJ361" s="53"/>
    </row>
    <row r="362" spans="1:36">
      <c r="A362" s="2"/>
      <c r="B362" s="2"/>
      <c r="C362" s="2"/>
      <c r="D362" s="53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53"/>
      <c r="AI362" s="53"/>
      <c r="AJ362" s="53"/>
    </row>
    <row r="363" spans="1:36">
      <c r="A363" s="2"/>
      <c r="B363" s="2"/>
      <c r="C363" s="2"/>
      <c r="D363" s="53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53"/>
      <c r="AI363" s="53"/>
      <c r="AJ363" s="53"/>
    </row>
    <row r="364" spans="1:36">
      <c r="A364" s="2"/>
      <c r="B364" s="2"/>
      <c r="C364" s="2"/>
      <c r="D364" s="53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53"/>
      <c r="AI364" s="53"/>
      <c r="AJ364" s="53"/>
    </row>
    <row r="365" spans="1:36">
      <c r="A365" s="2"/>
      <c r="B365" s="2"/>
      <c r="C365" s="2"/>
      <c r="D365" s="53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53"/>
      <c r="AI365" s="53"/>
      <c r="AJ365" s="53"/>
    </row>
    <row r="366" spans="1:36">
      <c r="A366" s="2"/>
      <c r="B366" s="2"/>
      <c r="C366" s="2"/>
      <c r="D366" s="53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53"/>
      <c r="AI366" s="53"/>
      <c r="AJ366" s="53"/>
    </row>
    <row r="367" spans="1:36">
      <c r="A367" s="2"/>
      <c r="B367" s="2"/>
      <c r="C367" s="2"/>
      <c r="D367" s="53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53"/>
      <c r="AI367" s="53"/>
      <c r="AJ367" s="53"/>
    </row>
    <row r="368" spans="1:36">
      <c r="A368" s="2"/>
      <c r="B368" s="2"/>
      <c r="C368" s="2"/>
      <c r="D368" s="53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53"/>
      <c r="AI368" s="53"/>
      <c r="AJ368" s="53"/>
    </row>
    <row r="369" spans="1:36">
      <c r="A369" s="2"/>
      <c r="B369" s="2"/>
      <c r="C369" s="2"/>
      <c r="D369" s="53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53"/>
      <c r="AI369" s="53"/>
      <c r="AJ369" s="53"/>
    </row>
    <row r="370" spans="1:36">
      <c r="A370" s="2"/>
      <c r="B370" s="2"/>
      <c r="C370" s="2"/>
      <c r="D370" s="53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53"/>
      <c r="AI370" s="53"/>
      <c r="AJ370" s="53"/>
    </row>
    <row r="371" spans="1:36">
      <c r="A371" s="2"/>
      <c r="B371" s="2"/>
      <c r="C371" s="2"/>
      <c r="D371" s="53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53"/>
      <c r="AI371" s="53"/>
      <c r="AJ371" s="53"/>
    </row>
    <row r="372" spans="1:36">
      <c r="A372" s="2"/>
      <c r="B372" s="2"/>
      <c r="C372" s="2"/>
      <c r="D372" s="53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53"/>
      <c r="AI372" s="53"/>
      <c r="AJ372" s="53"/>
    </row>
    <row r="373" spans="1:36">
      <c r="A373" s="2"/>
      <c r="B373" s="2"/>
      <c r="C373" s="2"/>
      <c r="D373" s="53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53"/>
      <c r="AI373" s="53"/>
      <c r="AJ373" s="53"/>
    </row>
    <row r="374" spans="1:36">
      <c r="A374" s="2"/>
      <c r="B374" s="2"/>
      <c r="C374" s="2"/>
      <c r="D374" s="53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53"/>
      <c r="AI374" s="53"/>
      <c r="AJ374" s="53"/>
    </row>
    <row r="375" spans="1:36">
      <c r="A375" s="2"/>
      <c r="B375" s="2"/>
      <c r="C375" s="2"/>
      <c r="D375" s="53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53"/>
      <c r="AI375" s="53"/>
      <c r="AJ375" s="53"/>
    </row>
    <row r="376" spans="1:36">
      <c r="A376" s="2"/>
      <c r="B376" s="2"/>
      <c r="C376" s="2"/>
      <c r="D376" s="53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53"/>
      <c r="AI376" s="53"/>
      <c r="AJ376" s="53"/>
    </row>
    <row r="377" spans="1:36">
      <c r="A377" s="2"/>
      <c r="B377" s="2"/>
      <c r="C377" s="2"/>
      <c r="D377" s="53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53"/>
      <c r="AI377" s="53"/>
      <c r="AJ377" s="53"/>
    </row>
    <row r="378" spans="1:36">
      <c r="A378" s="2"/>
      <c r="B378" s="2"/>
      <c r="C378" s="2"/>
      <c r="D378" s="53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53"/>
      <c r="AI378" s="53"/>
      <c r="AJ378" s="53"/>
    </row>
    <row r="379" spans="1:36">
      <c r="A379" s="2"/>
      <c r="B379" s="2"/>
      <c r="C379" s="2"/>
      <c r="D379" s="53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53"/>
      <c r="AI379" s="53"/>
      <c r="AJ379" s="53"/>
    </row>
    <row r="380" spans="1:36">
      <c r="A380" s="2"/>
      <c r="B380" s="2"/>
      <c r="C380" s="2"/>
      <c r="D380" s="53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53"/>
      <c r="AI380" s="53"/>
      <c r="AJ380" s="53"/>
    </row>
    <row r="381" spans="1:36">
      <c r="A381" s="2"/>
      <c r="B381" s="2"/>
      <c r="C381" s="2"/>
      <c r="D381" s="53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53"/>
      <c r="AI381" s="53"/>
      <c r="AJ381" s="53"/>
    </row>
    <row r="382" spans="1:36">
      <c r="A382" s="2"/>
      <c r="B382" s="2"/>
      <c r="C382" s="2"/>
      <c r="D382" s="53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53"/>
      <c r="AI382" s="53"/>
      <c r="AJ382" s="53"/>
    </row>
    <row r="383" spans="1:36">
      <c r="A383" s="2"/>
      <c r="B383" s="2"/>
      <c r="C383" s="2"/>
      <c r="D383" s="53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53"/>
      <c r="AI383" s="53"/>
      <c r="AJ383" s="53"/>
    </row>
    <row r="384" spans="1:36">
      <c r="A384" s="2"/>
      <c r="B384" s="2"/>
      <c r="C384" s="2"/>
      <c r="D384" s="53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53"/>
      <c r="AI384" s="53"/>
      <c r="AJ384" s="53"/>
    </row>
    <row r="385" spans="1:36">
      <c r="A385" s="2"/>
      <c r="B385" s="2"/>
      <c r="C385" s="2"/>
      <c r="D385" s="53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53"/>
      <c r="AI385" s="53"/>
      <c r="AJ385" s="53"/>
    </row>
    <row r="386" spans="1:36">
      <c r="A386" s="2"/>
      <c r="B386" s="2"/>
      <c r="C386" s="2"/>
      <c r="D386" s="53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53"/>
      <c r="AI386" s="53"/>
      <c r="AJ386" s="53"/>
    </row>
    <row r="387" spans="1:36">
      <c r="A387" s="2"/>
      <c r="B387" s="2"/>
      <c r="C387" s="2"/>
      <c r="D387" s="53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53"/>
      <c r="AI387" s="53"/>
      <c r="AJ387" s="53"/>
    </row>
    <row r="388" spans="1:36">
      <c r="A388" s="2"/>
      <c r="B388" s="2"/>
      <c r="C388" s="2"/>
      <c r="D388" s="53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53"/>
      <c r="AI388" s="53"/>
      <c r="AJ388" s="53"/>
    </row>
    <row r="389" spans="1:36">
      <c r="A389" s="2"/>
      <c r="B389" s="2"/>
      <c r="C389" s="2"/>
      <c r="D389" s="53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53"/>
      <c r="AI389" s="53"/>
      <c r="AJ389" s="53"/>
    </row>
    <row r="390" spans="1:36">
      <c r="A390" s="2"/>
      <c r="B390" s="2"/>
      <c r="C390" s="2"/>
      <c r="D390" s="53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53"/>
      <c r="AI390" s="53"/>
      <c r="AJ390" s="53"/>
    </row>
    <row r="391" spans="1:36">
      <c r="A391" s="2"/>
      <c r="B391" s="2"/>
      <c r="C391" s="2"/>
      <c r="D391" s="53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</row>
  </sheetData>
  <mergeCells count="26">
    <mergeCell ref="AG1:AG2"/>
    <mergeCell ref="AI1:AI2"/>
    <mergeCell ref="AJ1:AJ2"/>
    <mergeCell ref="AF1:AF2"/>
    <mergeCell ref="I1:I2"/>
    <mergeCell ref="J1:J2"/>
    <mergeCell ref="L1:L2"/>
    <mergeCell ref="M1:M2"/>
    <mergeCell ref="O1:O2"/>
    <mergeCell ref="P1:P2"/>
    <mergeCell ref="R1:R2"/>
    <mergeCell ref="S1:S2"/>
    <mergeCell ref="U1:U2"/>
    <mergeCell ref="V1:V2"/>
    <mergeCell ref="X1:X2"/>
    <mergeCell ref="Y1:Y2"/>
    <mergeCell ref="AA1:AA2"/>
    <mergeCell ref="G1:G2"/>
    <mergeCell ref="AC1:AC2"/>
    <mergeCell ref="AD1:AD2"/>
    <mergeCell ref="A1:A2"/>
    <mergeCell ref="B1:B2"/>
    <mergeCell ref="C1:C2"/>
    <mergeCell ref="D1:D2"/>
    <mergeCell ref="F1:F2"/>
    <mergeCell ref="AB1:AB2"/>
  </mergeCells>
  <conditionalFormatting sqref="AH3:AH1048576">
    <cfRule type="cellIs" dxfId="6" priority="6" operator="lessThan">
      <formula>-0.1</formula>
    </cfRule>
    <cfRule type="cellIs" dxfId="5" priority="7" operator="greaterThan">
      <formula>0.1</formula>
    </cfRule>
  </conditionalFormatting>
  <conditionalFormatting sqref="AH5:AH8">
    <cfRule type="cellIs" dxfId="4" priority="1" operator="greaterThan">
      <formula>0.1</formula>
    </cfRule>
  </conditionalFormatting>
  <conditionalFormatting sqref="AH14:AH82">
    <cfRule type="cellIs" dxfId="3" priority="2" operator="greaterThan">
      <formula>0.1</formula>
    </cfRule>
  </conditionalFormatting>
  <conditionalFormatting sqref="AH100">
    <cfRule type="cellIs" dxfId="2" priority="5" operator="greaterThan">
      <formula>0.1</formula>
    </cfRule>
  </conditionalFormatting>
  <conditionalFormatting sqref="AH104:AH322">
    <cfRule type="cellIs" dxfId="1" priority="4" operator="lessThan">
      <formula>-0.1</formula>
    </cfRule>
  </conditionalFormatting>
  <conditionalFormatting sqref="AH325">
    <cfRule type="cellIs" dxfId="0" priority="3" operator="greaterThan">
      <formula>0.1</formula>
    </cfRule>
  </conditionalFormatting>
  <pageMargins left="0.2" right="0.2" top="0.5" bottom="0.5" header="0.3" footer="0.3"/>
  <pageSetup paperSize="17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4C009-9A48-4B15-A3C8-B2A48C6222A2}">
  <dimension ref="A1:U46"/>
  <sheetViews>
    <sheetView zoomScaleNormal="100" workbookViewId="0">
      <selection activeCell="H31" sqref="H31"/>
    </sheetView>
  </sheetViews>
  <sheetFormatPr defaultRowHeight="15"/>
  <cols>
    <col min="1" max="1" width="7.5703125" bestFit="1" customWidth="1"/>
    <col min="2" max="2" width="17.42578125" bestFit="1" customWidth="1"/>
    <col min="3" max="3" width="11.28515625" bestFit="1" customWidth="1"/>
    <col min="4" max="4" width="12.28515625" bestFit="1" customWidth="1"/>
    <col min="5" max="5" width="14.42578125" bestFit="1" customWidth="1"/>
    <col min="6" max="6" width="2.7109375" customWidth="1"/>
    <col min="7" max="7" width="7.5703125" bestFit="1" customWidth="1"/>
    <col min="8" max="8" width="17.42578125" bestFit="1" customWidth="1"/>
    <col min="9" max="9" width="11.5703125" bestFit="1" customWidth="1"/>
    <col min="10" max="10" width="12.28515625" bestFit="1" customWidth="1"/>
    <col min="11" max="11" width="14.42578125" bestFit="1" customWidth="1"/>
    <col min="12" max="12" width="2.7109375" customWidth="1"/>
    <col min="13" max="13" width="7.5703125" bestFit="1" customWidth="1"/>
    <col min="14" max="14" width="11.140625" bestFit="1" customWidth="1"/>
    <col min="15" max="15" width="17.42578125" bestFit="1" customWidth="1"/>
    <col min="16" max="16" width="13.28515625" bestFit="1" customWidth="1"/>
    <col min="17" max="17" width="12.28515625" bestFit="1" customWidth="1"/>
    <col min="18" max="18" width="14.42578125" bestFit="1" customWidth="1"/>
    <col min="19" max="19" width="12.28515625" bestFit="1" customWidth="1"/>
    <col min="20" max="20" width="9.5703125" bestFit="1" customWidth="1"/>
    <col min="21" max="21" width="17.42578125" bestFit="1" customWidth="1"/>
    <col min="22" max="22" width="9.5703125" bestFit="1" customWidth="1"/>
    <col min="23" max="23" width="12" bestFit="1" customWidth="1"/>
    <col min="24" max="24" width="14.42578125" bestFit="1" customWidth="1"/>
    <col min="25" max="25" width="7.5703125" bestFit="1" customWidth="1"/>
    <col min="26" max="26" width="17.42578125" bestFit="1" customWidth="1"/>
    <col min="27" max="27" width="9.5703125" bestFit="1" customWidth="1"/>
    <col min="28" max="28" width="12" bestFit="1" customWidth="1"/>
    <col min="29" max="29" width="14.42578125" bestFit="1" customWidth="1"/>
    <col min="30" max="30" width="2.7109375" customWidth="1"/>
    <col min="31" max="31" width="7.5703125" bestFit="1" customWidth="1"/>
    <col min="32" max="32" width="17.42578125" bestFit="1" customWidth="1"/>
    <col min="33" max="33" width="10.5703125" bestFit="1" customWidth="1"/>
    <col min="34" max="34" width="12" bestFit="1" customWidth="1"/>
    <col min="35" max="35" width="14.42578125" bestFit="1" customWidth="1"/>
    <col min="36" max="36" width="2.7109375" customWidth="1"/>
    <col min="37" max="37" width="7.5703125" bestFit="1" customWidth="1"/>
    <col min="38" max="38" width="17.42578125" bestFit="1" customWidth="1"/>
    <col min="39" max="39" width="9.5703125" bestFit="1" customWidth="1"/>
    <col min="40" max="40" width="12" bestFit="1" customWidth="1"/>
    <col min="41" max="41" width="14.42578125" bestFit="1" customWidth="1"/>
  </cols>
  <sheetData>
    <row r="1" spans="1:19">
      <c r="B1" s="123" t="s">
        <v>103</v>
      </c>
      <c r="C1" s="123"/>
      <c r="D1" s="123"/>
      <c r="E1" s="123"/>
      <c r="H1" s="123" t="s">
        <v>490</v>
      </c>
      <c r="I1" s="123"/>
      <c r="J1" s="123"/>
      <c r="K1" s="123"/>
      <c r="O1" t="s">
        <v>491</v>
      </c>
      <c r="P1" t="s">
        <v>492</v>
      </c>
      <c r="Q1" t="s">
        <v>493</v>
      </c>
    </row>
    <row r="2" spans="1:19">
      <c r="A2" t="s">
        <v>494</v>
      </c>
      <c r="B2" t="s">
        <v>495</v>
      </c>
      <c r="C2" t="s">
        <v>496</v>
      </c>
      <c r="D2" t="s">
        <v>497</v>
      </c>
      <c r="E2" t="s">
        <v>498</v>
      </c>
      <c r="G2" t="s">
        <v>494</v>
      </c>
      <c r="H2" t="s">
        <v>495</v>
      </c>
      <c r="I2" t="s">
        <v>496</v>
      </c>
      <c r="J2" t="s">
        <v>497</v>
      </c>
      <c r="K2" t="s">
        <v>498</v>
      </c>
      <c r="N2" t="s">
        <v>499</v>
      </c>
      <c r="O2" s="111">
        <f>5334980.05*0.5</f>
        <v>2667490.0249999999</v>
      </c>
      <c r="P2" s="111">
        <f>+E14</f>
        <v>2704471.3399999994</v>
      </c>
      <c r="Q2" s="111">
        <f>+P2-O2</f>
        <v>36981.314999999478</v>
      </c>
    </row>
    <row r="3" spans="1:19">
      <c r="A3" s="112" t="s">
        <v>500</v>
      </c>
      <c r="B3" s="111">
        <v>2667490.0299999998</v>
      </c>
      <c r="C3" s="111"/>
      <c r="D3" s="111"/>
      <c r="E3" s="111">
        <f t="shared" ref="E3:E14" si="0">+B3+C3+D3</f>
        <v>2667490.0299999998</v>
      </c>
      <c r="G3" s="112" t="s">
        <v>500</v>
      </c>
      <c r="H3" s="111">
        <v>935690.21</v>
      </c>
      <c r="I3" s="111">
        <f t="shared" ref="I3:I14" si="1">-D3-D19-J19-Q19-D35-Q35</f>
        <v>49162.39</v>
      </c>
      <c r="J3" s="111">
        <f t="shared" ref="J3:J14" si="2">-C3-C19-C35-I19-P19-P35</f>
        <v>-25235.67</v>
      </c>
      <c r="K3" s="111">
        <f t="shared" ref="K3:K8" si="3">+H3+I3+J3</f>
        <v>959616.92999999993</v>
      </c>
      <c r="N3" t="s">
        <v>501</v>
      </c>
      <c r="O3" s="111">
        <f>5334980.05*0.15</f>
        <v>800247.00749999995</v>
      </c>
      <c r="P3" s="111">
        <f>+K14</f>
        <v>932540.54500000004</v>
      </c>
      <c r="Q3" s="111">
        <f>+P3-O3</f>
        <v>132293.53750000009</v>
      </c>
    </row>
    <row r="4" spans="1:19">
      <c r="A4" s="112" t="s">
        <v>502</v>
      </c>
      <c r="B4" s="111">
        <f t="shared" ref="B4:B14" si="4">+E3</f>
        <v>2667490.0299999998</v>
      </c>
      <c r="C4" s="111">
        <v>5080.5</v>
      </c>
      <c r="D4" s="111"/>
      <c r="E4" s="111">
        <f t="shared" si="0"/>
        <v>2672570.5299999998</v>
      </c>
      <c r="G4" s="112" t="s">
        <v>502</v>
      </c>
      <c r="H4" s="111">
        <f t="shared" ref="H4:H14" si="5">+K3</f>
        <v>959616.92999999993</v>
      </c>
      <c r="I4" s="111">
        <f t="shared" si="1"/>
        <v>98249.29</v>
      </c>
      <c r="J4" s="111">
        <f t="shared" si="2"/>
        <v>-41592.490000000005</v>
      </c>
      <c r="K4" s="111">
        <f t="shared" si="3"/>
        <v>1016273.73</v>
      </c>
    </row>
    <row r="5" spans="1:19">
      <c r="A5" s="112" t="s">
        <v>503</v>
      </c>
      <c r="B5" s="111">
        <f t="shared" si="4"/>
        <v>2672570.5299999998</v>
      </c>
      <c r="C5" s="111">
        <v>7963.88</v>
      </c>
      <c r="D5" s="111"/>
      <c r="E5" s="111">
        <f t="shared" si="0"/>
        <v>2680534.4099999997</v>
      </c>
      <c r="G5" s="112" t="s">
        <v>503</v>
      </c>
      <c r="H5" s="111">
        <f t="shared" si="5"/>
        <v>1016273.73</v>
      </c>
      <c r="I5" s="111">
        <f t="shared" si="1"/>
        <v>96493</v>
      </c>
      <c r="J5" s="111">
        <f t="shared" si="2"/>
        <v>-44335.479999999996</v>
      </c>
      <c r="K5" s="111">
        <f t="shared" si="3"/>
        <v>1068431.25</v>
      </c>
    </row>
    <row r="6" spans="1:19">
      <c r="A6" s="112" t="s">
        <v>504</v>
      </c>
      <c r="B6" s="111">
        <f t="shared" si="4"/>
        <v>2680534.4099999997</v>
      </c>
      <c r="C6" s="111">
        <v>4553.63</v>
      </c>
      <c r="D6" s="111"/>
      <c r="E6" s="111">
        <f t="shared" si="0"/>
        <v>2685088.0399999996</v>
      </c>
      <c r="G6" s="112" t="s">
        <v>504</v>
      </c>
      <c r="H6" s="111">
        <f t="shared" si="5"/>
        <v>1068431.25</v>
      </c>
      <c r="I6" s="111">
        <f t="shared" si="1"/>
        <v>42735.87</v>
      </c>
      <c r="J6" s="111">
        <f t="shared" si="2"/>
        <v>-86717.759999999995</v>
      </c>
      <c r="K6" s="111">
        <f t="shared" si="3"/>
        <v>1024449.3600000001</v>
      </c>
      <c r="N6" t="s">
        <v>505</v>
      </c>
      <c r="O6" s="114"/>
    </row>
    <row r="7" spans="1:19">
      <c r="A7" s="112" t="s">
        <v>506</v>
      </c>
      <c r="B7" s="111">
        <f t="shared" si="4"/>
        <v>2685088.0399999996</v>
      </c>
      <c r="C7" s="111">
        <v>4824.75</v>
      </c>
      <c r="D7" s="111"/>
      <c r="E7" s="111">
        <f t="shared" si="0"/>
        <v>2689912.7899999996</v>
      </c>
      <c r="G7" s="112" t="s">
        <v>506</v>
      </c>
      <c r="H7" s="111">
        <f t="shared" si="5"/>
        <v>1024449.3600000001</v>
      </c>
      <c r="I7" s="111">
        <f t="shared" si="1"/>
        <v>107586.91</v>
      </c>
      <c r="J7" s="111">
        <f t="shared" si="2"/>
        <v>-78757.73</v>
      </c>
      <c r="K7" s="111">
        <f t="shared" si="3"/>
        <v>1053278.54</v>
      </c>
      <c r="N7" t="s">
        <v>507</v>
      </c>
    </row>
    <row r="8" spans="1:19">
      <c r="A8" s="112" t="s">
        <v>508</v>
      </c>
      <c r="B8" s="111">
        <f t="shared" si="4"/>
        <v>2689912.7899999996</v>
      </c>
      <c r="C8" s="111">
        <v>2988</v>
      </c>
      <c r="D8" s="111"/>
      <c r="E8" s="111">
        <f t="shared" si="0"/>
        <v>2692900.7899999996</v>
      </c>
      <c r="G8" s="112" t="s">
        <v>508</v>
      </c>
      <c r="H8" s="111">
        <f t="shared" si="5"/>
        <v>1053278.54</v>
      </c>
      <c r="I8" s="111">
        <f t="shared" si="1"/>
        <v>46095.1</v>
      </c>
      <c r="J8" s="111">
        <f t="shared" si="2"/>
        <v>-74090.58</v>
      </c>
      <c r="K8" s="111">
        <f t="shared" si="3"/>
        <v>1025283.0600000002</v>
      </c>
    </row>
    <row r="9" spans="1:19">
      <c r="A9" s="112" t="s">
        <v>509</v>
      </c>
      <c r="B9" s="111">
        <f t="shared" si="4"/>
        <v>2692900.7899999996</v>
      </c>
      <c r="C9" s="111">
        <v>3882.3</v>
      </c>
      <c r="D9" s="111"/>
      <c r="E9" s="111">
        <f t="shared" si="0"/>
        <v>2696783.0899999994</v>
      </c>
      <c r="G9" s="112" t="s">
        <v>509</v>
      </c>
      <c r="H9" s="111">
        <f t="shared" si="5"/>
        <v>1025283.0600000002</v>
      </c>
      <c r="I9" s="111">
        <f t="shared" si="1"/>
        <v>8610.08</v>
      </c>
      <c r="J9" s="111">
        <f t="shared" si="2"/>
        <v>-52690.794999999998</v>
      </c>
      <c r="K9" s="111">
        <f>+H9+I9+J9-0.01</f>
        <v>981202.33500000008</v>
      </c>
      <c r="O9" s="115"/>
      <c r="P9" s="114"/>
      <c r="Q9" s="115"/>
      <c r="R9" s="113"/>
      <c r="S9" s="113"/>
    </row>
    <row r="10" spans="1:19">
      <c r="A10" s="112" t="s">
        <v>510</v>
      </c>
      <c r="B10" s="111">
        <f t="shared" si="4"/>
        <v>2696783.0899999994</v>
      </c>
      <c r="C10" s="111">
        <v>1935</v>
      </c>
      <c r="D10" s="111"/>
      <c r="E10" s="111">
        <f t="shared" si="0"/>
        <v>2698718.0899999994</v>
      </c>
      <c r="G10" s="112" t="s">
        <v>510</v>
      </c>
      <c r="H10" s="111">
        <f t="shared" si="5"/>
        <v>981202.33500000008</v>
      </c>
      <c r="I10" s="111">
        <f t="shared" si="1"/>
        <v>17537.84</v>
      </c>
      <c r="J10" s="111">
        <f t="shared" si="2"/>
        <v>-46316.7</v>
      </c>
      <c r="K10" s="111">
        <f>+H10+I10+J10</f>
        <v>952423.47500000009</v>
      </c>
      <c r="O10" s="115"/>
      <c r="P10" s="114"/>
      <c r="Q10" s="115"/>
      <c r="S10" s="113"/>
    </row>
    <row r="11" spans="1:19">
      <c r="A11" s="112" t="s">
        <v>511</v>
      </c>
      <c r="B11" s="111">
        <f t="shared" si="4"/>
        <v>2698718.0899999994</v>
      </c>
      <c r="C11" s="111">
        <v>5753.25</v>
      </c>
      <c r="D11" s="111"/>
      <c r="E11" s="111">
        <f t="shared" si="0"/>
        <v>2704471.3399999994</v>
      </c>
      <c r="G11" s="112" t="s">
        <v>511</v>
      </c>
      <c r="H11" s="111">
        <f t="shared" si="5"/>
        <v>952423.47500000009</v>
      </c>
      <c r="I11" s="111">
        <f t="shared" si="1"/>
        <v>11884.35</v>
      </c>
      <c r="J11" s="111">
        <f t="shared" si="2"/>
        <v>-31767.279999999999</v>
      </c>
      <c r="K11" s="111">
        <f>+H11+I11+J11</f>
        <v>932540.54500000004</v>
      </c>
      <c r="O11" s="115"/>
      <c r="P11" s="114"/>
      <c r="Q11" s="115"/>
      <c r="R11" s="113"/>
      <c r="S11" s="113"/>
    </row>
    <row r="12" spans="1:19">
      <c r="A12" s="112" t="s">
        <v>512</v>
      </c>
      <c r="B12" s="111">
        <f t="shared" si="4"/>
        <v>2704471.3399999994</v>
      </c>
      <c r="C12" s="111"/>
      <c r="D12" s="111"/>
      <c r="E12" s="111">
        <f t="shared" si="0"/>
        <v>2704471.3399999994</v>
      </c>
      <c r="G12" s="112" t="s">
        <v>512</v>
      </c>
      <c r="H12" s="111">
        <f t="shared" si="5"/>
        <v>932540.54500000004</v>
      </c>
      <c r="I12" s="111">
        <f t="shared" si="1"/>
        <v>0</v>
      </c>
      <c r="J12" s="111">
        <f t="shared" si="2"/>
        <v>0</v>
      </c>
      <c r="K12" s="111">
        <f>+H12+I12+J12</f>
        <v>932540.54500000004</v>
      </c>
      <c r="O12" s="115"/>
      <c r="Q12" s="115"/>
    </row>
    <row r="13" spans="1:19">
      <c r="A13" s="112" t="s">
        <v>513</v>
      </c>
      <c r="B13" s="111">
        <f t="shared" si="4"/>
        <v>2704471.3399999994</v>
      </c>
      <c r="C13" s="111"/>
      <c r="D13" s="111"/>
      <c r="E13" s="111">
        <f t="shared" si="0"/>
        <v>2704471.3399999994</v>
      </c>
      <c r="G13" s="112" t="s">
        <v>513</v>
      </c>
      <c r="H13" s="111">
        <f t="shared" si="5"/>
        <v>932540.54500000004</v>
      </c>
      <c r="I13" s="111">
        <f t="shared" si="1"/>
        <v>0</v>
      </c>
      <c r="J13" s="111">
        <f t="shared" si="2"/>
        <v>0</v>
      </c>
      <c r="K13" s="111">
        <f>+H13+I13+J13</f>
        <v>932540.54500000004</v>
      </c>
      <c r="O13" s="115"/>
      <c r="P13" s="114"/>
      <c r="Q13" s="115"/>
      <c r="R13" s="114"/>
      <c r="S13" s="111"/>
    </row>
    <row r="14" spans="1:19">
      <c r="A14" s="112" t="s">
        <v>514</v>
      </c>
      <c r="B14" s="111">
        <f t="shared" si="4"/>
        <v>2704471.3399999994</v>
      </c>
      <c r="C14" s="111"/>
      <c r="D14" s="111"/>
      <c r="E14" s="111">
        <f t="shared" si="0"/>
        <v>2704471.3399999994</v>
      </c>
      <c r="G14" s="112" t="s">
        <v>514</v>
      </c>
      <c r="H14" s="111">
        <f t="shared" si="5"/>
        <v>932540.54500000004</v>
      </c>
      <c r="I14" s="111">
        <f t="shared" si="1"/>
        <v>0</v>
      </c>
      <c r="J14" s="111">
        <f t="shared" si="2"/>
        <v>0</v>
      </c>
      <c r="K14" s="111">
        <f>+H14+I14+J14</f>
        <v>932540.54500000004</v>
      </c>
    </row>
    <row r="15" spans="1:19">
      <c r="R15" s="113"/>
    </row>
    <row r="17" spans="1:21">
      <c r="B17" s="123" t="s">
        <v>515</v>
      </c>
      <c r="C17" s="123"/>
      <c r="D17" s="123"/>
      <c r="E17" s="123"/>
      <c r="H17" s="123" t="s">
        <v>61</v>
      </c>
      <c r="I17" s="123"/>
      <c r="J17" s="123"/>
      <c r="K17" s="123"/>
      <c r="O17" s="123" t="s">
        <v>516</v>
      </c>
      <c r="P17" s="123"/>
      <c r="Q17" s="123"/>
      <c r="R17" s="123"/>
    </row>
    <row r="18" spans="1:21">
      <c r="A18" t="s">
        <v>494</v>
      </c>
      <c r="B18" t="s">
        <v>495</v>
      </c>
      <c r="C18" t="s">
        <v>496</v>
      </c>
      <c r="D18" t="s">
        <v>497</v>
      </c>
      <c r="E18" t="s">
        <v>498</v>
      </c>
      <c r="G18" t="s">
        <v>494</v>
      </c>
      <c r="H18" t="s">
        <v>495</v>
      </c>
      <c r="I18" t="s">
        <v>496</v>
      </c>
      <c r="J18" t="s">
        <v>497</v>
      </c>
      <c r="K18" t="s">
        <v>498</v>
      </c>
      <c r="N18" t="s">
        <v>494</v>
      </c>
      <c r="O18" t="s">
        <v>495</v>
      </c>
      <c r="P18" t="s">
        <v>496</v>
      </c>
      <c r="Q18" t="s">
        <v>497</v>
      </c>
      <c r="R18" t="s">
        <v>498</v>
      </c>
    </row>
    <row r="19" spans="1:21">
      <c r="A19" s="112" t="s">
        <v>500</v>
      </c>
      <c r="B19" s="111">
        <v>682398.03</v>
      </c>
      <c r="C19" s="111">
        <v>20485.669999999998</v>
      </c>
      <c r="D19" s="111"/>
      <c r="E19" s="111">
        <f t="shared" ref="E19:E30" si="6">+B19+C19+D19</f>
        <v>702883.70000000007</v>
      </c>
      <c r="G19" s="112" t="s">
        <v>500</v>
      </c>
      <c r="H19" s="111">
        <v>296000</v>
      </c>
      <c r="I19" s="111"/>
      <c r="J19" s="111">
        <v>-13993</v>
      </c>
      <c r="K19" s="111">
        <f t="shared" ref="K19:K30" si="7">+H19+I19+J19</f>
        <v>282007</v>
      </c>
      <c r="N19" s="112" t="s">
        <v>500</v>
      </c>
      <c r="O19" s="111">
        <v>91528.29</v>
      </c>
      <c r="P19" s="111">
        <v>4750</v>
      </c>
      <c r="Q19" s="111"/>
      <c r="R19" s="111">
        <f t="shared" ref="R19:R30" si="8">+O19+P19+Q19</f>
        <v>96278.29</v>
      </c>
    </row>
    <row r="20" spans="1:21">
      <c r="A20" s="112" t="s">
        <v>502</v>
      </c>
      <c r="B20" s="111">
        <f t="shared" ref="B20:B30" si="9">+E19</f>
        <v>702883.70000000007</v>
      </c>
      <c r="C20" s="111">
        <v>27485.49</v>
      </c>
      <c r="D20" s="111"/>
      <c r="E20" s="111">
        <f t="shared" si="6"/>
        <v>730369.19000000006</v>
      </c>
      <c r="G20" s="112" t="s">
        <v>502</v>
      </c>
      <c r="H20" s="111">
        <f t="shared" ref="H20:H30" si="10">+K19</f>
        <v>282007</v>
      </c>
      <c r="I20" s="111"/>
      <c r="J20" s="111">
        <v>-65280.7</v>
      </c>
      <c r="K20" s="111">
        <f t="shared" si="7"/>
        <v>216726.3</v>
      </c>
      <c r="N20" s="112" t="s">
        <v>502</v>
      </c>
      <c r="O20" s="111">
        <f t="shared" ref="O20:O30" si="11">+R19</f>
        <v>96278.29</v>
      </c>
      <c r="P20" s="111"/>
      <c r="Q20" s="111"/>
      <c r="R20" s="111">
        <f t="shared" si="8"/>
        <v>96278.29</v>
      </c>
    </row>
    <row r="21" spans="1:21">
      <c r="A21" s="112" t="s">
        <v>503</v>
      </c>
      <c r="B21" s="111">
        <f t="shared" si="9"/>
        <v>730369.19000000006</v>
      </c>
      <c r="C21" s="111">
        <v>13753.19</v>
      </c>
      <c r="D21" s="111"/>
      <c r="E21" s="111">
        <f t="shared" si="6"/>
        <v>744122.38</v>
      </c>
      <c r="G21" s="112" t="s">
        <v>503</v>
      </c>
      <c r="H21" s="111">
        <f t="shared" si="10"/>
        <v>216726.3</v>
      </c>
      <c r="I21" s="111"/>
      <c r="J21" s="111">
        <v>-31205.31</v>
      </c>
      <c r="K21" s="111">
        <f t="shared" si="7"/>
        <v>185520.99</v>
      </c>
      <c r="N21" s="112" t="s">
        <v>503</v>
      </c>
      <c r="O21" s="111">
        <f t="shared" si="11"/>
        <v>96278.29</v>
      </c>
      <c r="P21" s="111"/>
      <c r="Q21" s="111">
        <v>-31568.57</v>
      </c>
      <c r="R21" s="111">
        <f t="shared" si="8"/>
        <v>64709.719999999994</v>
      </c>
    </row>
    <row r="22" spans="1:21">
      <c r="A22" s="112" t="s">
        <v>504</v>
      </c>
      <c r="B22" s="111">
        <f t="shared" si="9"/>
        <v>744122.38</v>
      </c>
      <c r="C22" s="111">
        <v>12053.73</v>
      </c>
      <c r="D22" s="111"/>
      <c r="E22" s="111">
        <f t="shared" si="6"/>
        <v>756176.11</v>
      </c>
      <c r="G22" s="112" t="s">
        <v>504</v>
      </c>
      <c r="H22" s="111">
        <f t="shared" si="10"/>
        <v>185520.99</v>
      </c>
      <c r="I22" s="111"/>
      <c r="J22" s="111"/>
      <c r="K22" s="111">
        <f t="shared" si="7"/>
        <v>185520.99</v>
      </c>
      <c r="N22" s="112" t="s">
        <v>504</v>
      </c>
      <c r="O22" s="111">
        <f t="shared" si="11"/>
        <v>64709.719999999994</v>
      </c>
      <c r="P22" s="111">
        <v>18732.05</v>
      </c>
      <c r="Q22" s="111"/>
      <c r="R22" s="111">
        <f t="shared" si="8"/>
        <v>83441.76999999999</v>
      </c>
    </row>
    <row r="23" spans="1:21">
      <c r="A23" s="112" t="s">
        <v>506</v>
      </c>
      <c r="B23" s="111">
        <f t="shared" si="9"/>
        <v>756176.11</v>
      </c>
      <c r="C23" s="111">
        <v>15259.53</v>
      </c>
      <c r="D23" s="111"/>
      <c r="E23" s="111">
        <f t="shared" si="6"/>
        <v>771435.64</v>
      </c>
      <c r="G23" s="112" t="s">
        <v>506</v>
      </c>
      <c r="H23" s="111">
        <f t="shared" si="10"/>
        <v>185520.99</v>
      </c>
      <c r="I23" s="111"/>
      <c r="J23" s="111">
        <v>-73469.240000000005</v>
      </c>
      <c r="K23" s="111">
        <f t="shared" si="7"/>
        <v>112051.74999999999</v>
      </c>
      <c r="N23" s="112" t="s">
        <v>506</v>
      </c>
      <c r="O23" s="111">
        <f t="shared" si="11"/>
        <v>83441.76999999999</v>
      </c>
      <c r="P23" s="111">
        <v>2602.8000000000002</v>
      </c>
      <c r="Q23" s="111"/>
      <c r="R23" s="111">
        <f t="shared" si="8"/>
        <v>86044.569999999992</v>
      </c>
    </row>
    <row r="24" spans="1:21">
      <c r="A24" s="112" t="s">
        <v>508</v>
      </c>
      <c r="B24" s="111">
        <f t="shared" si="9"/>
        <v>771435.64</v>
      </c>
      <c r="C24" s="111">
        <v>17545.78</v>
      </c>
      <c r="D24" s="111"/>
      <c r="E24" s="111">
        <f t="shared" si="6"/>
        <v>788981.42</v>
      </c>
      <c r="G24" s="112" t="s">
        <v>508</v>
      </c>
      <c r="H24" s="111">
        <f t="shared" si="10"/>
        <v>112051.74999999999</v>
      </c>
      <c r="I24" s="111"/>
      <c r="J24" s="111"/>
      <c r="K24" s="111">
        <f t="shared" si="7"/>
        <v>112051.74999999999</v>
      </c>
      <c r="N24" s="112" t="s">
        <v>508</v>
      </c>
      <c r="O24" s="111">
        <f t="shared" si="11"/>
        <v>86044.569999999992</v>
      </c>
      <c r="P24" s="111"/>
      <c r="Q24" s="111">
        <v>-31350.76</v>
      </c>
      <c r="R24" s="111">
        <f t="shared" si="8"/>
        <v>54693.81</v>
      </c>
    </row>
    <row r="25" spans="1:21">
      <c r="A25" s="112" t="s">
        <v>509</v>
      </c>
      <c r="B25" s="111">
        <f t="shared" si="9"/>
        <v>788981.42</v>
      </c>
      <c r="C25" s="111">
        <f>21508.73+2329.38+606.05</f>
        <v>24444.16</v>
      </c>
      <c r="D25" s="111"/>
      <c r="E25" s="111">
        <f t="shared" si="6"/>
        <v>813425.58000000007</v>
      </c>
      <c r="G25" s="112" t="s">
        <v>509</v>
      </c>
      <c r="H25" s="111">
        <f t="shared" si="10"/>
        <v>112051.74999999999</v>
      </c>
      <c r="I25" s="111"/>
      <c r="J25" s="111"/>
      <c r="K25" s="111">
        <f t="shared" si="7"/>
        <v>112051.74999999999</v>
      </c>
      <c r="N25" s="112" t="s">
        <v>509</v>
      </c>
      <c r="O25" s="111">
        <f t="shared" si="11"/>
        <v>54693.81</v>
      </c>
      <c r="P25" s="111"/>
      <c r="Q25" s="111"/>
      <c r="R25" s="111">
        <f t="shared" si="8"/>
        <v>54693.81</v>
      </c>
      <c r="U25" s="113"/>
    </row>
    <row r="26" spans="1:21">
      <c r="A26" s="112" t="s">
        <v>510</v>
      </c>
      <c r="B26" s="111">
        <f t="shared" si="9"/>
        <v>813425.58000000007</v>
      </c>
      <c r="C26" s="111">
        <v>35784.93</v>
      </c>
      <c r="D26" s="111"/>
      <c r="E26" s="111">
        <f t="shared" si="6"/>
        <v>849210.51000000013</v>
      </c>
      <c r="G26" s="112" t="s">
        <v>510</v>
      </c>
      <c r="H26" s="111">
        <f t="shared" si="10"/>
        <v>112051.74999999999</v>
      </c>
      <c r="I26" s="111"/>
      <c r="J26" s="111"/>
      <c r="K26" s="111">
        <f t="shared" si="7"/>
        <v>112051.74999999999</v>
      </c>
      <c r="N26" s="112" t="s">
        <v>510</v>
      </c>
      <c r="O26" s="111">
        <f t="shared" si="11"/>
        <v>54693.81</v>
      </c>
      <c r="P26" s="111"/>
      <c r="Q26" s="111"/>
      <c r="R26" s="111">
        <f t="shared" si="8"/>
        <v>54693.81</v>
      </c>
    </row>
    <row r="27" spans="1:21">
      <c r="A27" s="112" t="s">
        <v>511</v>
      </c>
      <c r="B27" s="111">
        <f t="shared" si="9"/>
        <v>849210.51000000013</v>
      </c>
      <c r="C27" s="111">
        <v>17561.7</v>
      </c>
      <c r="D27" s="111"/>
      <c r="E27" s="111">
        <f t="shared" si="6"/>
        <v>866772.21000000008</v>
      </c>
      <c r="G27" s="112" t="s">
        <v>511</v>
      </c>
      <c r="H27" s="111">
        <f t="shared" si="10"/>
        <v>112051.74999999999</v>
      </c>
      <c r="I27" s="111"/>
      <c r="J27" s="111"/>
      <c r="K27" s="111">
        <f t="shared" si="7"/>
        <v>112051.74999999999</v>
      </c>
      <c r="N27" s="112" t="s">
        <v>511</v>
      </c>
      <c r="O27" s="111">
        <f t="shared" si="11"/>
        <v>54693.81</v>
      </c>
      <c r="P27" s="111"/>
      <c r="Q27" s="111"/>
      <c r="R27" s="111">
        <f t="shared" si="8"/>
        <v>54693.81</v>
      </c>
    </row>
    <row r="28" spans="1:21">
      <c r="A28" s="112" t="s">
        <v>512</v>
      </c>
      <c r="B28" s="111">
        <f t="shared" si="9"/>
        <v>866772.21000000008</v>
      </c>
      <c r="C28" s="111"/>
      <c r="D28" s="111"/>
      <c r="E28" s="111">
        <f t="shared" si="6"/>
        <v>866772.21000000008</v>
      </c>
      <c r="G28" s="112" t="s">
        <v>512</v>
      </c>
      <c r="H28" s="111">
        <f t="shared" si="10"/>
        <v>112051.74999999999</v>
      </c>
      <c r="I28" s="111"/>
      <c r="J28" s="111"/>
      <c r="K28" s="111">
        <f t="shared" si="7"/>
        <v>112051.74999999999</v>
      </c>
      <c r="N28" s="112" t="s">
        <v>512</v>
      </c>
      <c r="O28" s="111">
        <f t="shared" si="11"/>
        <v>54693.81</v>
      </c>
      <c r="P28" s="111"/>
      <c r="Q28" s="111"/>
      <c r="R28" s="111">
        <f t="shared" si="8"/>
        <v>54693.81</v>
      </c>
    </row>
    <row r="29" spans="1:21">
      <c r="A29" s="112" t="s">
        <v>513</v>
      </c>
      <c r="B29" s="111">
        <f t="shared" si="9"/>
        <v>866772.21000000008</v>
      </c>
      <c r="C29" s="111"/>
      <c r="D29" s="111"/>
      <c r="E29" s="111">
        <f t="shared" si="6"/>
        <v>866772.21000000008</v>
      </c>
      <c r="G29" s="112" t="s">
        <v>513</v>
      </c>
      <c r="H29" s="111">
        <f t="shared" si="10"/>
        <v>112051.74999999999</v>
      </c>
      <c r="I29" s="111"/>
      <c r="J29" s="111"/>
      <c r="K29" s="111">
        <f t="shared" si="7"/>
        <v>112051.74999999999</v>
      </c>
      <c r="N29" s="112" t="s">
        <v>513</v>
      </c>
      <c r="O29" s="111">
        <f t="shared" si="11"/>
        <v>54693.81</v>
      </c>
      <c r="P29" s="111"/>
      <c r="Q29" s="111"/>
      <c r="R29" s="111">
        <f t="shared" si="8"/>
        <v>54693.81</v>
      </c>
    </row>
    <row r="30" spans="1:21">
      <c r="A30" s="112" t="s">
        <v>514</v>
      </c>
      <c r="B30" s="111">
        <f t="shared" si="9"/>
        <v>866772.21000000008</v>
      </c>
      <c r="C30" s="111"/>
      <c r="D30" s="111"/>
      <c r="E30" s="111">
        <f t="shared" si="6"/>
        <v>866772.21000000008</v>
      </c>
      <c r="G30" s="112" t="s">
        <v>514</v>
      </c>
      <c r="H30" s="111">
        <f t="shared" si="10"/>
        <v>112051.74999999999</v>
      </c>
      <c r="I30" s="111"/>
      <c r="J30" s="111"/>
      <c r="K30" s="111">
        <f t="shared" si="7"/>
        <v>112051.74999999999</v>
      </c>
      <c r="N30" s="112" t="s">
        <v>514</v>
      </c>
      <c r="O30" s="111">
        <f t="shared" si="11"/>
        <v>54693.81</v>
      </c>
      <c r="P30" s="111"/>
      <c r="Q30" s="111"/>
      <c r="R30" s="111">
        <f t="shared" si="8"/>
        <v>54693.81</v>
      </c>
    </row>
    <row r="33" spans="1:20">
      <c r="B33" s="123" t="s">
        <v>101</v>
      </c>
      <c r="C33" s="123"/>
      <c r="D33" s="123"/>
      <c r="E33" s="123"/>
      <c r="H33" s="123" t="s">
        <v>162</v>
      </c>
      <c r="I33" s="123"/>
      <c r="J33" s="123"/>
      <c r="K33" s="123"/>
      <c r="O33" s="123" t="s">
        <v>517</v>
      </c>
      <c r="P33" s="123"/>
      <c r="Q33" s="123"/>
      <c r="R33" s="123"/>
    </row>
    <row r="34" spans="1:20">
      <c r="A34" t="s">
        <v>494</v>
      </c>
      <c r="B34" t="s">
        <v>495</v>
      </c>
      <c r="C34" t="s">
        <v>496</v>
      </c>
      <c r="D34" t="s">
        <v>497</v>
      </c>
      <c r="E34" t="s">
        <v>498</v>
      </c>
      <c r="G34" t="s">
        <v>494</v>
      </c>
      <c r="H34" t="s">
        <v>495</v>
      </c>
      <c r="I34" t="s">
        <v>496</v>
      </c>
      <c r="J34" t="s">
        <v>497</v>
      </c>
      <c r="K34" t="s">
        <v>498</v>
      </c>
      <c r="N34" t="s">
        <v>494</v>
      </c>
      <c r="O34" t="s">
        <v>495</v>
      </c>
      <c r="P34" t="s">
        <v>496</v>
      </c>
      <c r="Q34" t="s">
        <v>497</v>
      </c>
      <c r="R34" t="s">
        <v>498</v>
      </c>
    </row>
    <row r="35" spans="1:20">
      <c r="A35" s="112" t="s">
        <v>500</v>
      </c>
      <c r="B35" s="111">
        <v>2197591.39</v>
      </c>
      <c r="C35" s="111"/>
      <c r="D35" s="111">
        <f>-(316.88+34852.5+0.01)</f>
        <v>-35169.39</v>
      </c>
      <c r="E35" s="111">
        <f t="shared" ref="E35:E46" si="12">+B35+C35+D35</f>
        <v>2162422</v>
      </c>
      <c r="G35" s="112" t="s">
        <v>500</v>
      </c>
      <c r="H35" s="111">
        <v>327443.37</v>
      </c>
      <c r="I35" s="111"/>
      <c r="J35" s="111"/>
      <c r="K35" s="111">
        <f t="shared" ref="K35:K46" si="13">+H35+I35+J35</f>
        <v>327443.37</v>
      </c>
      <c r="N35" s="112" t="s">
        <v>500</v>
      </c>
      <c r="O35" s="111">
        <v>45869.37</v>
      </c>
      <c r="P35" s="111"/>
      <c r="Q35" s="111"/>
      <c r="R35" s="111">
        <f t="shared" ref="R35:R46" si="14">+O35+P35+Q35</f>
        <v>45869.37</v>
      </c>
    </row>
    <row r="36" spans="1:20">
      <c r="A36" s="112" t="s">
        <v>502</v>
      </c>
      <c r="B36" s="111">
        <f t="shared" ref="B36:B46" si="15">+E35</f>
        <v>2162422</v>
      </c>
      <c r="C36" s="111">
        <v>9026.5</v>
      </c>
      <c r="D36" s="111">
        <v>-32968.589999999997</v>
      </c>
      <c r="E36" s="111">
        <f t="shared" si="12"/>
        <v>2138479.91</v>
      </c>
      <c r="G36" s="112" t="s">
        <v>502</v>
      </c>
      <c r="H36" s="111">
        <f t="shared" ref="H36:H46" si="16">+K35</f>
        <v>327443.37</v>
      </c>
      <c r="I36" s="111"/>
      <c r="J36" s="111"/>
      <c r="K36" s="111">
        <f t="shared" si="13"/>
        <v>327443.37</v>
      </c>
      <c r="N36" s="112" t="s">
        <v>502</v>
      </c>
      <c r="O36" s="111">
        <f t="shared" ref="O36:O46" si="17">+R35</f>
        <v>45869.37</v>
      </c>
      <c r="P36" s="111"/>
      <c r="Q36" s="111"/>
      <c r="R36" s="111">
        <f t="shared" si="14"/>
        <v>45869.37</v>
      </c>
    </row>
    <row r="37" spans="1:20">
      <c r="A37" s="112" t="s">
        <v>503</v>
      </c>
      <c r="B37" s="111">
        <f t="shared" si="15"/>
        <v>2138479.91</v>
      </c>
      <c r="C37" s="111">
        <v>22618.41</v>
      </c>
      <c r="D37" s="111">
        <v>-33719.120000000003</v>
      </c>
      <c r="E37" s="111">
        <f t="shared" si="12"/>
        <v>2127379.2000000002</v>
      </c>
      <c r="G37" s="112" t="s">
        <v>503</v>
      </c>
      <c r="H37" s="111">
        <f t="shared" si="16"/>
        <v>327443.37</v>
      </c>
      <c r="I37" s="111"/>
      <c r="J37" s="111">
        <v>-3215.19</v>
      </c>
      <c r="K37" s="111">
        <f t="shared" si="13"/>
        <v>324228.18</v>
      </c>
      <c r="N37" s="112" t="s">
        <v>503</v>
      </c>
      <c r="O37" s="111">
        <f t="shared" si="17"/>
        <v>45869.37</v>
      </c>
      <c r="P37" s="111"/>
      <c r="Q37" s="111"/>
      <c r="R37" s="111">
        <f t="shared" si="14"/>
        <v>45869.37</v>
      </c>
    </row>
    <row r="38" spans="1:20">
      <c r="A38" s="112" t="s">
        <v>504</v>
      </c>
      <c r="B38" s="111">
        <f t="shared" si="15"/>
        <v>2127379.2000000002</v>
      </c>
      <c r="C38" s="111">
        <v>42009.85</v>
      </c>
      <c r="D38" s="111">
        <v>-37200.870000000003</v>
      </c>
      <c r="E38" s="111">
        <f t="shared" si="12"/>
        <v>2132188.1800000002</v>
      </c>
      <c r="G38" s="112" t="s">
        <v>504</v>
      </c>
      <c r="H38" s="111">
        <f t="shared" si="16"/>
        <v>324228.18</v>
      </c>
      <c r="I38" s="111"/>
      <c r="J38" s="111"/>
      <c r="K38" s="111">
        <f t="shared" si="13"/>
        <v>324228.18</v>
      </c>
      <c r="N38" s="112" t="s">
        <v>504</v>
      </c>
      <c r="O38" s="111">
        <f t="shared" si="17"/>
        <v>45869.37</v>
      </c>
      <c r="P38" s="111">
        <v>9368.5</v>
      </c>
      <c r="Q38" s="111">
        <v>-5535</v>
      </c>
      <c r="R38" s="111">
        <f t="shared" si="14"/>
        <v>49702.87</v>
      </c>
      <c r="T38" s="113"/>
    </row>
    <row r="39" spans="1:20">
      <c r="A39" s="112" t="s">
        <v>506</v>
      </c>
      <c r="B39" s="111">
        <f t="shared" si="15"/>
        <v>2132188.1800000002</v>
      </c>
      <c r="C39" s="111">
        <v>56070.65</v>
      </c>
      <c r="D39" s="111">
        <f>-12592.95-5266.25</f>
        <v>-17859.2</v>
      </c>
      <c r="E39" s="111">
        <f t="shared" si="12"/>
        <v>2170399.63</v>
      </c>
      <c r="G39" s="112" t="s">
        <v>506</v>
      </c>
      <c r="H39" s="111">
        <f t="shared" si="16"/>
        <v>324228.18</v>
      </c>
      <c r="I39" s="111"/>
      <c r="J39" s="111"/>
      <c r="K39" s="111">
        <f t="shared" si="13"/>
        <v>324228.18</v>
      </c>
      <c r="N39" s="112" t="s">
        <v>506</v>
      </c>
      <c r="O39" s="111">
        <f t="shared" si="17"/>
        <v>49702.87</v>
      </c>
      <c r="P39" s="111"/>
      <c r="Q39" s="111">
        <v>-16258.47</v>
      </c>
      <c r="R39" s="111">
        <f t="shared" si="14"/>
        <v>33444.400000000001</v>
      </c>
    </row>
    <row r="40" spans="1:20">
      <c r="A40" s="112" t="s">
        <v>508</v>
      </c>
      <c r="B40" s="111">
        <f t="shared" si="15"/>
        <v>2170399.63</v>
      </c>
      <c r="C40" s="111">
        <v>53556.800000000003</v>
      </c>
      <c r="D40" s="111">
        <v>-14744.34</v>
      </c>
      <c r="E40" s="111">
        <f t="shared" si="12"/>
        <v>2209212.09</v>
      </c>
      <c r="G40" s="112" t="s">
        <v>508</v>
      </c>
      <c r="H40" s="111">
        <f t="shared" si="16"/>
        <v>324228.18</v>
      </c>
      <c r="I40" s="111"/>
      <c r="J40" s="111"/>
      <c r="K40" s="111">
        <f t="shared" si="13"/>
        <v>324228.18</v>
      </c>
      <c r="N40" s="112" t="s">
        <v>508</v>
      </c>
      <c r="O40" s="111">
        <f t="shared" si="17"/>
        <v>33444.400000000001</v>
      </c>
      <c r="P40" s="111"/>
      <c r="Q40" s="111"/>
      <c r="R40" s="111">
        <f t="shared" si="14"/>
        <v>33444.400000000001</v>
      </c>
    </row>
    <row r="41" spans="1:20">
      <c r="A41" s="112" t="s">
        <v>509</v>
      </c>
      <c r="B41" s="111">
        <f t="shared" si="15"/>
        <v>2209212.09</v>
      </c>
      <c r="C41" s="111">
        <f>48728.67/2</f>
        <v>24364.334999999999</v>
      </c>
      <c r="D41" s="111">
        <v>-8375.08</v>
      </c>
      <c r="E41" s="111">
        <f t="shared" si="12"/>
        <v>2225201.3449999997</v>
      </c>
      <c r="G41" s="112" t="s">
        <v>509</v>
      </c>
      <c r="H41" s="111">
        <f t="shared" si="16"/>
        <v>324228.18</v>
      </c>
      <c r="I41" s="111"/>
      <c r="J41" s="111">
        <f>-218.75-393.75-481.25</f>
        <v>-1093.75</v>
      </c>
      <c r="K41" s="111">
        <f t="shared" si="13"/>
        <v>323134.43</v>
      </c>
      <c r="N41" s="112" t="s">
        <v>509</v>
      </c>
      <c r="O41" s="111">
        <f t="shared" si="17"/>
        <v>33444.400000000001</v>
      </c>
      <c r="P41" s="111"/>
      <c r="Q41" s="111">
        <v>-235</v>
      </c>
      <c r="R41" s="111">
        <f t="shared" si="14"/>
        <v>33209.4</v>
      </c>
    </row>
    <row r="42" spans="1:20">
      <c r="A42" s="112" t="s">
        <v>510</v>
      </c>
      <c r="B42" s="111">
        <f t="shared" si="15"/>
        <v>2225201.3449999997</v>
      </c>
      <c r="C42" s="111">
        <v>8596.77</v>
      </c>
      <c r="D42" s="111">
        <v>-17537.84</v>
      </c>
      <c r="E42" s="111">
        <f t="shared" si="12"/>
        <v>2216260.2749999999</v>
      </c>
      <c r="G42" s="112" t="s">
        <v>510</v>
      </c>
      <c r="H42" s="111">
        <f t="shared" si="16"/>
        <v>323134.43</v>
      </c>
      <c r="I42" s="111"/>
      <c r="J42" s="111">
        <v>-175</v>
      </c>
      <c r="K42" s="111">
        <f t="shared" si="13"/>
        <v>322959.43</v>
      </c>
      <c r="N42" s="112" t="s">
        <v>510</v>
      </c>
      <c r="O42" s="111">
        <f t="shared" si="17"/>
        <v>33209.4</v>
      </c>
      <c r="P42" s="111"/>
      <c r="Q42" s="111"/>
      <c r="R42" s="111">
        <f t="shared" si="14"/>
        <v>33209.4</v>
      </c>
    </row>
    <row r="43" spans="1:20">
      <c r="A43" s="112" t="s">
        <v>511</v>
      </c>
      <c r="B43" s="111">
        <f t="shared" si="15"/>
        <v>2216260.2749999999</v>
      </c>
      <c r="C43" s="111">
        <v>8452.33</v>
      </c>
      <c r="D43" s="111">
        <v>-11884.35</v>
      </c>
      <c r="E43" s="111">
        <f t="shared" si="12"/>
        <v>2212828.2549999999</v>
      </c>
      <c r="G43" s="112" t="s">
        <v>511</v>
      </c>
      <c r="H43" s="111">
        <f t="shared" si="16"/>
        <v>322959.43</v>
      </c>
      <c r="I43" s="111"/>
      <c r="J43" s="111">
        <v>-3802.86</v>
      </c>
      <c r="K43" s="111">
        <f t="shared" si="13"/>
        <v>319156.57</v>
      </c>
      <c r="N43" s="112" t="s">
        <v>511</v>
      </c>
      <c r="O43" s="111">
        <f t="shared" si="17"/>
        <v>33209.4</v>
      </c>
      <c r="P43" s="111"/>
      <c r="Q43" s="111"/>
      <c r="R43" s="111">
        <f t="shared" si="14"/>
        <v>33209.4</v>
      </c>
    </row>
    <row r="44" spans="1:20">
      <c r="A44" s="112" t="s">
        <v>512</v>
      </c>
      <c r="B44" s="111">
        <f t="shared" si="15"/>
        <v>2212828.2549999999</v>
      </c>
      <c r="C44" s="111"/>
      <c r="D44" s="111"/>
      <c r="E44" s="111">
        <f t="shared" si="12"/>
        <v>2212828.2549999999</v>
      </c>
      <c r="G44" s="112" t="s">
        <v>512</v>
      </c>
      <c r="H44" s="111">
        <f t="shared" si="16"/>
        <v>319156.57</v>
      </c>
      <c r="I44" s="111"/>
      <c r="J44" s="111"/>
      <c r="K44" s="111">
        <f t="shared" si="13"/>
        <v>319156.57</v>
      </c>
      <c r="N44" s="112" t="s">
        <v>512</v>
      </c>
      <c r="O44" s="111">
        <f t="shared" si="17"/>
        <v>33209.4</v>
      </c>
      <c r="P44" s="111"/>
      <c r="Q44" s="111"/>
      <c r="R44" s="111">
        <f t="shared" si="14"/>
        <v>33209.4</v>
      </c>
    </row>
    <row r="45" spans="1:20">
      <c r="A45" s="112" t="s">
        <v>513</v>
      </c>
      <c r="B45" s="111">
        <f t="shared" si="15"/>
        <v>2212828.2549999999</v>
      </c>
      <c r="C45" s="111"/>
      <c r="D45" s="111"/>
      <c r="E45" s="111">
        <f t="shared" si="12"/>
        <v>2212828.2549999999</v>
      </c>
      <c r="G45" s="112" t="s">
        <v>513</v>
      </c>
      <c r="H45" s="111">
        <f t="shared" si="16"/>
        <v>319156.57</v>
      </c>
      <c r="I45" s="111"/>
      <c r="J45" s="111"/>
      <c r="K45" s="111">
        <f t="shared" si="13"/>
        <v>319156.57</v>
      </c>
      <c r="N45" s="112" t="s">
        <v>513</v>
      </c>
      <c r="O45" s="111">
        <f t="shared" si="17"/>
        <v>33209.4</v>
      </c>
      <c r="P45" s="111"/>
      <c r="Q45" s="111"/>
      <c r="R45" s="111">
        <f t="shared" si="14"/>
        <v>33209.4</v>
      </c>
    </row>
    <row r="46" spans="1:20">
      <c r="A46" s="112" t="s">
        <v>514</v>
      </c>
      <c r="B46" s="111">
        <f t="shared" si="15"/>
        <v>2212828.2549999999</v>
      </c>
      <c r="C46" s="111"/>
      <c r="D46" s="111"/>
      <c r="E46" s="111">
        <f t="shared" si="12"/>
        <v>2212828.2549999999</v>
      </c>
      <c r="G46" s="112" t="s">
        <v>514</v>
      </c>
      <c r="H46" s="111">
        <f t="shared" si="16"/>
        <v>319156.57</v>
      </c>
      <c r="I46" s="111"/>
      <c r="J46" s="111"/>
      <c r="K46" s="111">
        <f t="shared" si="13"/>
        <v>319156.57</v>
      </c>
      <c r="N46" s="112" t="s">
        <v>514</v>
      </c>
      <c r="O46" s="111">
        <f t="shared" si="17"/>
        <v>33209.4</v>
      </c>
      <c r="P46" s="111"/>
      <c r="Q46" s="111"/>
      <c r="R46" s="111">
        <f t="shared" si="14"/>
        <v>33209.4</v>
      </c>
    </row>
  </sheetData>
  <mergeCells count="8">
    <mergeCell ref="O33:R33"/>
    <mergeCell ref="H33:K33"/>
    <mergeCell ref="B1:E1"/>
    <mergeCell ref="H1:K1"/>
    <mergeCell ref="B17:E17"/>
    <mergeCell ref="O17:R17"/>
    <mergeCell ref="H17:K17"/>
    <mergeCell ref="B33:E33"/>
  </mergeCells>
  <pageMargins left="0.2" right="0.2" top="0.5" bottom="0.5" header="0.3" footer="0.3"/>
  <pageSetup paperSize="1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95410c-9b0a-4dd5-9937-9f4d47175997">
      <Terms xmlns="http://schemas.microsoft.com/office/infopath/2007/PartnerControls"/>
    </lcf76f155ced4ddcb4097134ff3c332f>
    <TaxCatchAll xmlns="52c98e2c-4a99-458d-9c76-5f6b06aed83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675073CF017D4087FFE163C782575B" ma:contentTypeVersion="14" ma:contentTypeDescription="Create a new document." ma:contentTypeScope="" ma:versionID="176514e8168e3da0226035eefc723004">
  <xsd:schema xmlns:xsd="http://www.w3.org/2001/XMLSchema" xmlns:xs="http://www.w3.org/2001/XMLSchema" xmlns:p="http://schemas.microsoft.com/office/2006/metadata/properties" xmlns:ns2="9895410c-9b0a-4dd5-9937-9f4d47175997" xmlns:ns3="52c98e2c-4a99-458d-9c76-5f6b06aed835" targetNamespace="http://schemas.microsoft.com/office/2006/metadata/properties" ma:root="true" ma:fieldsID="9986215370f4f97dd6ebfed02c7deb08" ns2:_="" ns3:_="">
    <xsd:import namespace="9895410c-9b0a-4dd5-9937-9f4d47175997"/>
    <xsd:import namespace="52c98e2c-4a99-458d-9c76-5f6b06aed8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95410c-9b0a-4dd5-9937-9f4d471759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ca8ef52-efac-48c8-bbe1-35083af699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98e2c-4a99-458d-9c76-5f6b06aed8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a0306bf8-f71b-4054-902a-53d2b465257d}" ma:internalName="TaxCatchAll" ma:showField="CatchAllData" ma:web="52c98e2c-4a99-458d-9c76-5f6b06aed8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E6AC02-8CE8-47F2-A595-3AF8009D0FC2}"/>
</file>

<file path=customXml/itemProps2.xml><?xml version="1.0" encoding="utf-8"?>
<ds:datastoreItem xmlns:ds="http://schemas.openxmlformats.org/officeDocument/2006/customXml" ds:itemID="{DCB114D0-66F1-4ABC-93F0-596AA91132BA}"/>
</file>

<file path=customXml/itemProps3.xml><?xml version="1.0" encoding="utf-8"?>
<ds:datastoreItem xmlns:ds="http://schemas.openxmlformats.org/officeDocument/2006/customXml" ds:itemID="{673BBA37-13E2-4539-A767-EC544D25E9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Sheena Hall</dc:creator>
  <cp:keywords/>
  <dc:description/>
  <cp:lastModifiedBy>Gary Persinger</cp:lastModifiedBy>
  <cp:revision/>
  <dcterms:created xsi:type="dcterms:W3CDTF">2024-06-18T22:29:38Z</dcterms:created>
  <dcterms:modified xsi:type="dcterms:W3CDTF">2025-01-22T20:48:48Z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0x01010093675073CF017D4087FFE163C782575B</vt:lpwstr>
  </property>
  <property fmtid="{D5CDD505-2E9C-101B-9397-08002B2CF9AE}" pid="3" name="MediaServiceImageTags">
    <vt:lpwstr/>
  </property>
</Properties>
</file>