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priver3651017750-my.sharepoint.com/personal/sheena_townofdeweybeach_com/Documents/Accounting Supervisor/Sheena/Sheena/FY25 Financials/12 March/"/>
    </mc:Choice>
  </mc:AlternateContent>
  <xr:revisionPtr revIDLastSave="160" documentId="8_{AB98CBA0-6425-4C32-921A-B01F9CA3804F}" xr6:coauthVersionLast="47" xr6:coauthVersionMax="47" xr10:uidLastSave="{9D81FFC6-B046-4932-9124-14C43A5D747E}"/>
  <bookViews>
    <workbookView xWindow="-120" yWindow="-120" windowWidth="29040" windowHeight="15840" xr2:uid="{00000000-000D-0000-FFFF-FFFF00000000}"/>
  </bookViews>
  <sheets>
    <sheet name="Fin Summary - Operating" sheetId="1" r:id="rId1"/>
  </sheets>
  <definedNames>
    <definedName name="_xlnm.Print_Area" localSheetId="0">'Fin Summary - Operating'!$A$1:$P$81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9" i="1" l="1"/>
  <c r="I39" i="1"/>
  <c r="I28" i="1"/>
  <c r="B28" i="1"/>
  <c r="I13" i="1"/>
  <c r="B13" i="1"/>
  <c r="J53" i="1" l="1"/>
  <c r="I53" i="1"/>
  <c r="C53" i="1"/>
  <c r="B53" i="1"/>
  <c r="D52" i="1"/>
  <c r="J44" i="1"/>
  <c r="I44" i="1"/>
  <c r="C44" i="1"/>
  <c r="B44" i="1"/>
  <c r="C39" i="1"/>
  <c r="B39" i="1"/>
  <c r="J34" i="1"/>
  <c r="I34" i="1"/>
  <c r="C34" i="1"/>
  <c r="B34" i="1"/>
  <c r="J28" i="1"/>
  <c r="C28" i="1"/>
  <c r="J13" i="1"/>
  <c r="C13" i="1"/>
  <c r="N34" i="1" l="1"/>
  <c r="I40" i="1" l="1"/>
  <c r="J40" i="1"/>
  <c r="C40" i="1"/>
  <c r="B40" i="1"/>
  <c r="N39" i="1"/>
  <c r="N24" i="1"/>
  <c r="N13" i="1"/>
  <c r="E7" i="1"/>
  <c r="I77" i="1"/>
  <c r="N77" i="1"/>
  <c r="J77" i="1"/>
  <c r="N53" i="1" l="1"/>
  <c r="D11" i="1" l="1"/>
  <c r="D38" i="1" l="1"/>
  <c r="K38" i="1"/>
  <c r="L38" i="1"/>
  <c r="L8" i="1"/>
  <c r="L6" i="1"/>
  <c r="E8" i="1"/>
  <c r="E6" i="1"/>
  <c r="E52" i="1"/>
  <c r="N44" i="1"/>
  <c r="O38" i="1"/>
  <c r="K31" i="1"/>
  <c r="P38" i="1" l="1"/>
  <c r="E9" i="1"/>
  <c r="E11" i="1" l="1"/>
  <c r="E12" i="1"/>
  <c r="K34" i="1" l="1"/>
  <c r="D51" i="1"/>
  <c r="C35" i="1" l="1"/>
  <c r="N79" i="1"/>
  <c r="N78" i="1"/>
  <c r="N76" i="1"/>
  <c r="N75" i="1"/>
  <c r="J76" i="1"/>
  <c r="J79" i="1"/>
  <c r="I79" i="1"/>
  <c r="J78" i="1"/>
  <c r="I78" i="1"/>
  <c r="I76" i="1"/>
  <c r="J75" i="1"/>
  <c r="I75" i="1"/>
  <c r="C78" i="1"/>
  <c r="B78" i="1"/>
  <c r="C79" i="1"/>
  <c r="B79" i="1"/>
  <c r="C75" i="1"/>
  <c r="B75" i="1"/>
  <c r="C76" i="1"/>
  <c r="B76" i="1"/>
  <c r="N81" i="1" l="1"/>
  <c r="C81" i="1"/>
  <c r="J81" i="1"/>
  <c r="I81" i="1"/>
  <c r="B81" i="1"/>
  <c r="J16" i="1" l="1"/>
  <c r="B16" i="1"/>
  <c r="I16" i="1"/>
  <c r="C16" i="1"/>
  <c r="N16" i="1"/>
  <c r="K16" i="1" l="1"/>
  <c r="D16" i="1"/>
  <c r="D13" i="1"/>
  <c r="D32" i="1"/>
  <c r="E32" i="1"/>
  <c r="J29" i="1"/>
  <c r="I29" i="1"/>
  <c r="D7" i="1"/>
  <c r="E53" i="1"/>
  <c r="E43" i="1"/>
  <c r="E44" i="1"/>
  <c r="E33" i="1"/>
  <c r="B14" i="1"/>
  <c r="B18" i="1" s="1"/>
  <c r="D47" i="1"/>
  <c r="E27" i="1"/>
  <c r="D27" i="1"/>
  <c r="C14" i="1"/>
  <c r="C18" i="1" s="1"/>
  <c r="N54" i="1" l="1"/>
  <c r="J54" i="1" l="1"/>
  <c r="I54" i="1"/>
  <c r="C54" i="1"/>
  <c r="P52" i="1"/>
  <c r="O52" i="1"/>
  <c r="K52" i="1"/>
  <c r="L52" i="1"/>
  <c r="N45" i="1"/>
  <c r="N40" i="1"/>
  <c r="N35" i="1"/>
  <c r="N29" i="1"/>
  <c r="N14" i="1"/>
  <c r="N18" i="1" l="1"/>
  <c r="N56" i="1"/>
  <c r="B54" i="1"/>
  <c r="N58" i="1" l="1"/>
  <c r="D8" i="1"/>
  <c r="I63" i="1"/>
  <c r="J67" i="1"/>
  <c r="J68" i="1" s="1"/>
  <c r="J63" i="1"/>
  <c r="J62" i="1"/>
  <c r="J61" i="1"/>
  <c r="J64" i="1" l="1"/>
  <c r="L33" i="1" l="1"/>
  <c r="I67" i="1" l="1"/>
  <c r="I68" i="1" s="1"/>
  <c r="P8" i="1"/>
  <c r="O8" i="1"/>
  <c r="K8" i="1"/>
  <c r="J14" i="1" l="1"/>
  <c r="J18" i="1" s="1"/>
  <c r="J20" i="1"/>
  <c r="J24" i="1"/>
  <c r="J35" i="1"/>
  <c r="J45" i="1"/>
  <c r="J56" i="1" l="1"/>
  <c r="K53" i="1"/>
  <c r="K44" i="1"/>
  <c r="K43" i="1"/>
  <c r="K23" i="1"/>
  <c r="J58" i="1" l="1"/>
  <c r="K13" i="1"/>
  <c r="K51" i="1" l="1"/>
  <c r="K54" i="1" s="1"/>
  <c r="K49" i="1"/>
  <c r="K47" i="1"/>
  <c r="L43" i="1"/>
  <c r="K42" i="1"/>
  <c r="K45" i="1" s="1"/>
  <c r="K39" i="1"/>
  <c r="K37" i="1"/>
  <c r="K33" i="1"/>
  <c r="K32" i="1"/>
  <c r="K28" i="1"/>
  <c r="K26" i="1"/>
  <c r="K22" i="1"/>
  <c r="K24" i="1" s="1"/>
  <c r="K12" i="1"/>
  <c r="K10" i="1"/>
  <c r="K9" i="1"/>
  <c r="K7" i="1"/>
  <c r="K40" i="1" l="1"/>
  <c r="K11" i="1"/>
  <c r="I62" i="1"/>
  <c r="K6" i="1"/>
  <c r="I61" i="1"/>
  <c r="K35" i="1"/>
  <c r="L27" i="1"/>
  <c r="K27" i="1"/>
  <c r="K29" i="1" s="1"/>
  <c r="D53" i="1"/>
  <c r="E51" i="1"/>
  <c r="E49" i="1"/>
  <c r="D49" i="1"/>
  <c r="E47" i="1"/>
  <c r="I45" i="1"/>
  <c r="C45" i="1"/>
  <c r="B45" i="1"/>
  <c r="D43" i="1"/>
  <c r="E42" i="1"/>
  <c r="D42" i="1"/>
  <c r="E39" i="1"/>
  <c r="D39" i="1"/>
  <c r="E37" i="1"/>
  <c r="D37" i="1"/>
  <c r="B35" i="1"/>
  <c r="I35" i="1"/>
  <c r="E34" i="1"/>
  <c r="D34" i="1"/>
  <c r="D33" i="1"/>
  <c r="E31" i="1"/>
  <c r="D31" i="1"/>
  <c r="D28" i="1"/>
  <c r="C29" i="1"/>
  <c r="B29" i="1"/>
  <c r="E26" i="1"/>
  <c r="D26" i="1"/>
  <c r="I24" i="1"/>
  <c r="C24" i="1"/>
  <c r="B24" i="1"/>
  <c r="E23" i="1"/>
  <c r="D23" i="1"/>
  <c r="E22" i="1"/>
  <c r="D22" i="1"/>
  <c r="I20" i="1"/>
  <c r="B20" i="1"/>
  <c r="I14" i="1"/>
  <c r="I18" i="1" s="1"/>
  <c r="D12" i="1"/>
  <c r="D10" i="1"/>
  <c r="D9" i="1"/>
  <c r="D6" i="1"/>
  <c r="D40" i="1" l="1"/>
  <c r="I56" i="1"/>
  <c r="I58" i="1" s="1"/>
  <c r="C56" i="1"/>
  <c r="B56" i="1"/>
  <c r="B58" i="1" s="1"/>
  <c r="I64" i="1"/>
  <c r="K14" i="1"/>
  <c r="E35" i="1"/>
  <c r="E40" i="1"/>
  <c r="E24" i="1"/>
  <c r="E29" i="1"/>
  <c r="D29" i="1"/>
  <c r="E14" i="1"/>
  <c r="D54" i="1"/>
  <c r="E54" i="1"/>
  <c r="E45" i="1"/>
  <c r="D45" i="1"/>
  <c r="D44" i="1"/>
  <c r="E13" i="1"/>
  <c r="D35" i="1"/>
  <c r="D24" i="1"/>
  <c r="E28" i="1"/>
  <c r="D14" i="1"/>
  <c r="L51" i="1"/>
  <c r="L49" i="1"/>
  <c r="L47" i="1"/>
  <c r="L42" i="1"/>
  <c r="L37" i="1"/>
  <c r="L32" i="1"/>
  <c r="L31" i="1"/>
  <c r="L26" i="1"/>
  <c r="L24" i="1"/>
  <c r="L23" i="1"/>
  <c r="L22" i="1"/>
  <c r="L12" i="1"/>
  <c r="L11" i="1"/>
  <c r="L10" i="1"/>
  <c r="L9" i="1"/>
  <c r="L7" i="1"/>
  <c r="C58" i="1" l="1"/>
  <c r="E56" i="1"/>
  <c r="D56" i="1"/>
  <c r="L13" i="1"/>
  <c r="L54" i="1"/>
  <c r="L40" i="1"/>
  <c r="L35" i="1"/>
  <c r="L45" i="1"/>
  <c r="L28" i="1"/>
  <c r="L34" i="1"/>
  <c r="L39" i="1"/>
  <c r="L44" i="1"/>
  <c r="L53" i="1"/>
  <c r="K56" i="1" l="1"/>
  <c r="L29" i="1"/>
  <c r="L14" i="1"/>
  <c r="I71" i="1" l="1"/>
  <c r="J71" i="1"/>
  <c r="L56" i="1"/>
  <c r="P43" i="1"/>
  <c r="P42" i="1"/>
  <c r="P27" i="1"/>
  <c r="P26" i="1"/>
  <c r="O56" i="1" l="1"/>
  <c r="P51" i="1"/>
  <c r="P49" i="1"/>
  <c r="P47" i="1"/>
  <c r="P37" i="1"/>
  <c r="P33" i="1"/>
  <c r="P32" i="1"/>
  <c r="P31" i="1"/>
  <c r="P23" i="1"/>
  <c r="P22" i="1"/>
  <c r="P11" i="1"/>
  <c r="P10" i="1"/>
  <c r="P9" i="1"/>
  <c r="P7" i="1"/>
  <c r="P6" i="1"/>
  <c r="O49" i="1"/>
  <c r="O47" i="1"/>
  <c r="O51" i="1"/>
  <c r="O43" i="1"/>
  <c r="O42" i="1"/>
  <c r="O37" i="1"/>
  <c r="O33" i="1"/>
  <c r="O32" i="1"/>
  <c r="O31" i="1"/>
  <c r="O27" i="1"/>
  <c r="O26" i="1"/>
  <c r="O23" i="1"/>
  <c r="O22" i="1"/>
  <c r="O11" i="1"/>
  <c r="O10" i="1"/>
  <c r="O9" i="1"/>
  <c r="O7" i="1"/>
  <c r="O6" i="1"/>
  <c r="O24" i="1" l="1"/>
  <c r="O13" i="1" l="1"/>
  <c r="P13" i="1"/>
  <c r="P54" i="1"/>
  <c r="P53" i="1"/>
  <c r="O53" i="1"/>
  <c r="O54" i="1" s="1"/>
  <c r="P44" i="1"/>
  <c r="O44" i="1"/>
  <c r="O45" i="1" s="1"/>
  <c r="P34" i="1"/>
  <c r="O34" i="1"/>
  <c r="O35" i="1" s="1"/>
  <c r="O28" i="1"/>
  <c r="O29" i="1" s="1"/>
  <c r="P28" i="1"/>
  <c r="P12" i="1"/>
  <c r="O12" i="1"/>
  <c r="O39" i="1"/>
  <c r="O40" i="1" s="1"/>
  <c r="P39" i="1"/>
  <c r="P35" i="1"/>
  <c r="P29" i="1"/>
  <c r="P24" i="1"/>
  <c r="P14" i="1"/>
  <c r="O14" i="1" l="1"/>
  <c r="P45" i="1"/>
  <c r="P40" i="1"/>
  <c r="P56" i="1" l="1"/>
</calcChain>
</file>

<file path=xl/sharedStrings.xml><?xml version="1.0" encoding="utf-8"?>
<sst xmlns="http://schemas.openxmlformats.org/spreadsheetml/2006/main" count="83" uniqueCount="70">
  <si>
    <t>Budget</t>
  </si>
  <si>
    <t>$OverBud</t>
  </si>
  <si>
    <t>Transfer Tax</t>
  </si>
  <si>
    <t>Accommodation Tax</t>
  </si>
  <si>
    <t>Business Licenses</t>
  </si>
  <si>
    <t>Total Fines</t>
  </si>
  <si>
    <t>All Other Revenue</t>
  </si>
  <si>
    <t>Expenses</t>
  </si>
  <si>
    <t>Total Expense</t>
  </si>
  <si>
    <t xml:space="preserve"> </t>
  </si>
  <si>
    <t>% of Budget</t>
  </si>
  <si>
    <t>Building Permits</t>
  </si>
  <si>
    <t>Annual Budget</t>
  </si>
  <si>
    <t>Monthly</t>
  </si>
  <si>
    <t xml:space="preserve">Town Administrative Expenses </t>
  </si>
  <si>
    <t>Town Operating Expenses</t>
  </si>
  <si>
    <t>All Other Admin Expense</t>
  </si>
  <si>
    <t>Total Town Expenses</t>
  </si>
  <si>
    <t>Total Administration Expenses</t>
  </si>
  <si>
    <t>Total Police Expenses</t>
  </si>
  <si>
    <t>All Other Police Expenses</t>
  </si>
  <si>
    <t>All Other Maintenance Expenses</t>
  </si>
  <si>
    <t>Total Maintenance Expenses</t>
  </si>
  <si>
    <t>Total Alderman Court Expenses</t>
  </si>
  <si>
    <t>All Other Lifeguard &amp; LSS Expense</t>
  </si>
  <si>
    <t>Total Lifeguard &amp; LSS Expenses</t>
  </si>
  <si>
    <t>Parking Permits &amp; Meters</t>
  </si>
  <si>
    <t>% of Annual Budget</t>
  </si>
  <si>
    <t>Admin Employee Expenses</t>
  </si>
  <si>
    <t>Seasonal Admin Employee Expenses</t>
  </si>
  <si>
    <t>Police Employee Expenses</t>
  </si>
  <si>
    <t>Police Admin Employee Expenses</t>
  </si>
  <si>
    <t>Seasonal Police Employee Expenses</t>
  </si>
  <si>
    <t>Maintenance Employee Expenses</t>
  </si>
  <si>
    <t>Lifeguard Employee Expenses</t>
  </si>
  <si>
    <t>Set Asides:</t>
  </si>
  <si>
    <t>UNAUDITED</t>
  </si>
  <si>
    <t>Revenue</t>
  </si>
  <si>
    <t>Total Revenue</t>
  </si>
  <si>
    <t>Net Operations</t>
  </si>
  <si>
    <t>Hotel Tax</t>
  </si>
  <si>
    <t>Hotel Tax (50%)</t>
  </si>
  <si>
    <t>Transfer to Streets / Infrastructure</t>
  </si>
  <si>
    <t>3% Transfer Tax</t>
  </si>
  <si>
    <t>Total to Streets / Infrastructure</t>
  </si>
  <si>
    <t>Capital Improvements</t>
  </si>
  <si>
    <t>Total for Captial Improvements</t>
  </si>
  <si>
    <t>20% Building Permits</t>
  </si>
  <si>
    <t>5% Daily &amp; Seasonal Permits</t>
  </si>
  <si>
    <t>Total BuildingOfficial Expenses</t>
  </si>
  <si>
    <t>Seasonal Lifeguard Employee Expenses</t>
  </si>
  <si>
    <t>Parking Enforcement Employee Expenses</t>
  </si>
  <si>
    <t>Seasonal Parking Employee Expenses</t>
  </si>
  <si>
    <t>All Other Parking Enforcement Expenses</t>
  </si>
  <si>
    <t>% of  YTD Budget</t>
  </si>
  <si>
    <t>Net Operating Budget Performance</t>
  </si>
  <si>
    <t>Building Permints - to Streets &amp; Infrastructure</t>
  </si>
  <si>
    <t>Hotel Tax - to Capital Improvements - Town Hall</t>
  </si>
  <si>
    <t>Daily &amp; Seasonal Parking - to Streets &amp; Infrastructure</t>
  </si>
  <si>
    <t>Tranfer Tax - to Streets &amp; Infrastructure</t>
  </si>
  <si>
    <t>Tranfer Tax - to Rainy Day</t>
  </si>
  <si>
    <t>Annual FY25</t>
  </si>
  <si>
    <t>Seasonal Maintenance Employee Expenses</t>
  </si>
  <si>
    <t>Net Revenues</t>
  </si>
  <si>
    <t>Annual Budget - Amended</t>
  </si>
  <si>
    <t>Allocations</t>
  </si>
  <si>
    <t>General Fund Financial Overview: March 2025 - OPERATING</t>
  </si>
  <si>
    <t>Actual April - March 2025</t>
  </si>
  <si>
    <t>Budgeted April - March 2025</t>
  </si>
  <si>
    <t>Total Parking Enforcement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</si>
</sst>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NumberFormat="1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165" fontId="4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2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3" fillId="0" borderId="2" xfId="2" applyNumberFormat="1" applyFont="1" applyBorder="1"/>
    <xf numFmtId="9" fontId="3" fillId="0" borderId="0" xfId="1" applyFont="1" applyAlignment="1">
      <alignment horizontal="center"/>
    </xf>
    <xf numFmtId="164" fontId="4" fillId="2" borderId="2" xfId="2" applyNumberFormat="1" applyFont="1" applyFill="1" applyBorder="1"/>
    <xf numFmtId="0" fontId="4" fillId="2" borderId="0" xfId="0" applyFont="1" applyFill="1"/>
    <xf numFmtId="0" fontId="3" fillId="0" borderId="0" xfId="0" applyFont="1" applyAlignment="1">
      <alignment horizontal="center"/>
    </xf>
    <xf numFmtId="165" fontId="7" fillId="0" borderId="0" xfId="0" quotePrefix="1" applyNumberFormat="1" applyFont="1" applyAlignment="1">
      <alignment horizontal="center"/>
    </xf>
    <xf numFmtId="0" fontId="7" fillId="0" borderId="0" xfId="0" applyFont="1"/>
    <xf numFmtId="164" fontId="4" fillId="0" borderId="1" xfId="2" applyNumberFormat="1" applyFont="1" applyBorder="1"/>
    <xf numFmtId="9" fontId="4" fillId="0" borderId="0" xfId="1" applyFont="1" applyAlignment="1">
      <alignment horizontal="center"/>
    </xf>
    <xf numFmtId="164" fontId="4" fillId="3" borderId="2" xfId="2" applyNumberFormat="1" applyFont="1" applyFill="1" applyBorder="1"/>
    <xf numFmtId="164" fontId="4" fillId="0" borderId="0" xfId="2" applyNumberFormat="1" applyFont="1" applyFill="1" applyBorder="1"/>
    <xf numFmtId="9" fontId="3" fillId="0" borderId="0" xfId="1" applyFont="1"/>
    <xf numFmtId="0" fontId="8" fillId="0" borderId="0" xfId="0" applyFont="1"/>
    <xf numFmtId="164" fontId="8" fillId="0" borderId="0" xfId="2" applyNumberFormat="1" applyFont="1" applyFill="1"/>
    <xf numFmtId="0" fontId="8" fillId="0" borderId="0" xfId="0" applyFont="1" applyAlignment="1">
      <alignment wrapText="1"/>
    </xf>
    <xf numFmtId="164" fontId="8" fillId="0" borderId="0" xfId="2" applyNumberFormat="1" applyFont="1"/>
    <xf numFmtId="49" fontId="8" fillId="0" borderId="0" xfId="2" applyNumberFormat="1" applyFont="1" applyAlignment="1">
      <alignment wrapText="1"/>
    </xf>
    <xf numFmtId="164" fontId="2" fillId="0" borderId="0" xfId="2" applyNumberFormat="1" applyFont="1" applyFill="1"/>
    <xf numFmtId="164" fontId="4" fillId="0" borderId="0" xfId="2" applyNumberFormat="1" applyFont="1"/>
    <xf numFmtId="0" fontId="4" fillId="0" borderId="0" xfId="0" applyFont="1" applyAlignment="1">
      <alignment horizontal="center" wrapText="1"/>
    </xf>
    <xf numFmtId="9" fontId="3" fillId="0" borderId="0" xfId="1" applyFont="1" applyBorder="1" applyAlignment="1">
      <alignment horizontal="center"/>
    </xf>
    <xf numFmtId="3" fontId="4" fillId="0" borderId="0" xfId="0" applyNumberFormat="1" applyFont="1"/>
    <xf numFmtId="9" fontId="8" fillId="0" borderId="0" xfId="1" applyFont="1"/>
    <xf numFmtId="164" fontId="8" fillId="0" borderId="0" xfId="2" applyNumberFormat="1" applyFont="1" applyFill="1" applyAlignment="1">
      <alignment vertical="top"/>
    </xf>
    <xf numFmtId="0" fontId="8" fillId="4" borderId="0" xfId="0" applyFont="1" applyFill="1"/>
    <xf numFmtId="0" fontId="8" fillId="4" borderId="0" xfId="0" applyFont="1" applyFill="1" applyAlignment="1">
      <alignment wrapText="1"/>
    </xf>
    <xf numFmtId="164" fontId="8" fillId="4" borderId="0" xfId="2" applyNumberFormat="1" applyFont="1" applyFill="1"/>
    <xf numFmtId="164" fontId="8" fillId="4" borderId="0" xfId="0" applyNumberFormat="1" applyFont="1" applyFill="1"/>
    <xf numFmtId="164" fontId="2" fillId="0" borderId="0" xfId="0" applyNumberFormat="1" applyFont="1"/>
    <xf numFmtId="9" fontId="3" fillId="0" borderId="0" xfId="0" applyNumberFormat="1" applyFont="1"/>
    <xf numFmtId="164" fontId="3" fillId="0" borderId="0" xfId="0" applyNumberFormat="1" applyFont="1"/>
    <xf numFmtId="49" fontId="8" fillId="0" borderId="0" xfId="2" applyNumberFormat="1" applyFont="1" applyAlignment="1"/>
    <xf numFmtId="43" fontId="3" fillId="0" borderId="0" xfId="0" applyNumberFormat="1" applyFont="1"/>
    <xf numFmtId="43" fontId="3" fillId="0" borderId="0" xfId="2" applyFont="1"/>
    <xf numFmtId="16" fontId="4" fillId="0" borderId="1" xfId="0" applyNumberFormat="1" applyFont="1" applyBorder="1" applyAlignment="1">
      <alignment horizontal="center" wrapText="1"/>
    </xf>
    <xf numFmtId="16" fontId="4" fillId="0" borderId="1" xfId="0" quotePrefix="1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2" builtinId="3"/>
    <cellStyle name="Normal" xfId="0" builtinId="0"/>
    <cellStyle name="Normal 2" xfId="3" xr:uid="{DD4825BE-FF99-4543-BB4C-9E2E4975D1CF}"/>
    <cellStyle name="Percent" xfId="1" builtinId="5"/>
  </cellStyles>
  <dxfs count="0"/>
  <tableStyles count="0" defaultTableStyle="TableStyleMedium9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6"/>
  <sheetViews>
    <sheetView tabSelected="1" topLeftCell="A20" zoomScale="130" zoomScaleNormal="130" workbookViewId="0">
      <selection activeCell="I58" sqref="I58"/>
    </sheetView>
  </sheetViews>
  <sheetFormatPr defaultColWidth="15.7109375" defaultRowHeight="12" x14ac:dyDescent="0.2"/>
  <cols>
    <col min="1" max="1" width="4.5703125" style="2" bestFit="1" customWidth="1"/>
    <col min="2" max="2" width="13" style="2" customWidth="1"/>
    <col min="3" max="3" width="11" style="2" bestFit="1" customWidth="1"/>
    <col min="4" max="4" width="12.85546875" style="3" bestFit="1" customWidth="1"/>
    <col min="5" max="5" width="8.42578125" style="2" bestFit="1" customWidth="1"/>
    <col min="6" max="6" width="4.42578125" style="2" customWidth="1"/>
    <col min="7" max="7" width="38" style="2" bestFit="1" customWidth="1"/>
    <col min="8" max="8" width="1.7109375" style="2" customWidth="1"/>
    <col min="9" max="9" width="14.140625" style="2" customWidth="1"/>
    <col min="10" max="10" width="14.7109375" style="2" bestFit="1" customWidth="1"/>
    <col min="11" max="11" width="14.28515625" style="3" bestFit="1" customWidth="1"/>
    <col min="12" max="12" width="10.7109375" style="2" bestFit="1" customWidth="1"/>
    <col min="13" max="13" width="2.7109375" style="2" customWidth="1"/>
    <col min="14" max="14" width="14.7109375" style="2" bestFit="1" customWidth="1"/>
    <col min="15" max="15" width="14.28515625" style="3" bestFit="1" customWidth="1"/>
    <col min="16" max="16" width="13.5703125" style="2" bestFit="1" customWidth="1"/>
    <col min="17" max="16384" width="15.7109375" style="2"/>
  </cols>
  <sheetData>
    <row r="1" spans="1:18" s="4" customFormat="1" x14ac:dyDescent="0.2">
      <c r="B1" s="51" t="s">
        <v>66</v>
      </c>
      <c r="C1" s="51"/>
      <c r="D1" s="51"/>
      <c r="E1" s="51"/>
      <c r="F1" s="51"/>
      <c r="G1" s="51"/>
      <c r="H1" s="5"/>
      <c r="I1" s="50" t="s">
        <v>36</v>
      </c>
      <c r="J1" s="50"/>
      <c r="K1" s="50"/>
      <c r="L1" s="50"/>
      <c r="M1" s="50"/>
      <c r="N1" s="50"/>
      <c r="O1" s="50"/>
      <c r="P1" s="50"/>
    </row>
    <row r="2" spans="1:18" x14ac:dyDescent="0.2">
      <c r="B2" s="6"/>
    </row>
    <row r="3" spans="1:18" x14ac:dyDescent="0.2">
      <c r="B3" s="51" t="s">
        <v>13</v>
      </c>
      <c r="C3" s="51"/>
      <c r="D3" s="51"/>
      <c r="E3" s="51"/>
      <c r="I3" s="51" t="s">
        <v>61</v>
      </c>
      <c r="J3" s="51"/>
      <c r="K3" s="51"/>
      <c r="L3" s="51"/>
      <c r="M3" s="51"/>
      <c r="N3" s="51"/>
      <c r="O3" s="51"/>
      <c r="P3" s="51"/>
    </row>
    <row r="4" spans="1:18" s="4" customFormat="1" ht="24" x14ac:dyDescent="0.2">
      <c r="B4" s="7">
        <v>45747</v>
      </c>
      <c r="C4" s="8" t="s">
        <v>0</v>
      </c>
      <c r="D4" s="9" t="s">
        <v>1</v>
      </c>
      <c r="E4" s="10" t="s">
        <v>10</v>
      </c>
      <c r="F4" s="11"/>
      <c r="G4" s="12" t="s">
        <v>37</v>
      </c>
      <c r="H4" s="11"/>
      <c r="I4" s="47" t="s">
        <v>67</v>
      </c>
      <c r="J4" s="10" t="s">
        <v>68</v>
      </c>
      <c r="K4" s="9" t="s">
        <v>1</v>
      </c>
      <c r="L4" s="10" t="s">
        <v>54</v>
      </c>
      <c r="M4" s="32"/>
      <c r="N4" s="10" t="s">
        <v>64</v>
      </c>
      <c r="O4" s="9" t="s">
        <v>1</v>
      </c>
      <c r="P4" s="10" t="s">
        <v>27</v>
      </c>
    </row>
    <row r="6" spans="1:18" x14ac:dyDescent="0.2">
      <c r="B6" s="13">
        <v>133714.5</v>
      </c>
      <c r="C6" s="13">
        <v>91000</v>
      </c>
      <c r="D6" s="13">
        <f>B6-C6</f>
        <v>42714.5</v>
      </c>
      <c r="E6" s="14">
        <f t="shared" ref="E6:E14" si="0">+B6/C6</f>
        <v>1.4693901098901099</v>
      </c>
      <c r="G6" s="2" t="s">
        <v>2</v>
      </c>
      <c r="H6" s="2" t="s">
        <v>9</v>
      </c>
      <c r="I6" s="13">
        <v>1112719.52</v>
      </c>
      <c r="J6" s="13">
        <v>700000</v>
      </c>
      <c r="K6" s="13">
        <f t="shared" ref="K6:K13" si="1">I6-J6</f>
        <v>412719.52</v>
      </c>
      <c r="L6" s="14">
        <f t="shared" ref="L6:L14" si="2">+I6/J6</f>
        <v>1.5895993142857143</v>
      </c>
      <c r="M6" s="14"/>
      <c r="N6" s="13">
        <v>700000</v>
      </c>
      <c r="O6" s="13">
        <f>I6-N6</f>
        <v>412719.52</v>
      </c>
      <c r="P6" s="14">
        <f t="shared" ref="P6:P14" si="3">+I6/N6</f>
        <v>1.5895993142857143</v>
      </c>
    </row>
    <row r="7" spans="1:18" x14ac:dyDescent="0.2">
      <c r="B7" s="13">
        <v>4409.8100000000004</v>
      </c>
      <c r="C7" s="13">
        <v>24750</v>
      </c>
      <c r="D7" s="13">
        <f t="shared" ref="D7:D13" si="4">B7-C7</f>
        <v>-20340.189999999999</v>
      </c>
      <c r="E7" s="14">
        <f t="shared" si="0"/>
        <v>0.17817414141414142</v>
      </c>
      <c r="G7" s="2" t="s">
        <v>3</v>
      </c>
      <c r="I7" s="13">
        <v>859274.39</v>
      </c>
      <c r="J7" s="13">
        <v>825000</v>
      </c>
      <c r="K7" s="13">
        <f t="shared" si="1"/>
        <v>34274.390000000014</v>
      </c>
      <c r="L7" s="14">
        <f t="shared" si="2"/>
        <v>1.0415447151515151</v>
      </c>
      <c r="M7" s="14"/>
      <c r="N7" s="13">
        <v>825000</v>
      </c>
      <c r="O7" s="13">
        <f t="shared" ref="O7:O13" si="5">I7-N7</f>
        <v>34274.390000000014</v>
      </c>
      <c r="P7" s="14">
        <f t="shared" si="3"/>
        <v>1.0415447151515151</v>
      </c>
    </row>
    <row r="8" spans="1:18" x14ac:dyDescent="0.2">
      <c r="B8" s="13">
        <v>19841.830000000002</v>
      </c>
      <c r="C8" s="13">
        <v>4750</v>
      </c>
      <c r="D8" s="13">
        <f>B8-C8</f>
        <v>15091.830000000002</v>
      </c>
      <c r="E8" s="14">
        <f t="shared" si="0"/>
        <v>4.177227368421053</v>
      </c>
      <c r="G8" s="2" t="s">
        <v>40</v>
      </c>
      <c r="I8" s="13">
        <v>477754.81</v>
      </c>
      <c r="J8" s="13">
        <v>475000</v>
      </c>
      <c r="K8" s="13">
        <f t="shared" si="1"/>
        <v>2754.8099999999977</v>
      </c>
      <c r="L8" s="14">
        <f t="shared" si="2"/>
        <v>1.0057996</v>
      </c>
      <c r="M8" s="14"/>
      <c r="N8" s="13">
        <v>475000</v>
      </c>
      <c r="O8" s="13">
        <f t="shared" si="5"/>
        <v>2754.8099999999977</v>
      </c>
      <c r="P8" s="14">
        <f t="shared" si="3"/>
        <v>1.0057996</v>
      </c>
    </row>
    <row r="9" spans="1:18" x14ac:dyDescent="0.2">
      <c r="B9" s="13">
        <v>4488</v>
      </c>
      <c r="C9" s="13">
        <v>17050</v>
      </c>
      <c r="D9" s="13">
        <f t="shared" si="4"/>
        <v>-12562</v>
      </c>
      <c r="E9" s="14">
        <f t="shared" si="0"/>
        <v>0.26322580645161292</v>
      </c>
      <c r="G9" s="2" t="s">
        <v>4</v>
      </c>
      <c r="I9" s="13">
        <v>459284</v>
      </c>
      <c r="J9" s="13">
        <v>445000</v>
      </c>
      <c r="K9" s="13">
        <f t="shared" si="1"/>
        <v>14284</v>
      </c>
      <c r="L9" s="14">
        <f t="shared" si="2"/>
        <v>1.0320988764044945</v>
      </c>
      <c r="M9" s="14"/>
      <c r="N9" s="13">
        <v>445000</v>
      </c>
      <c r="O9" s="13">
        <f t="shared" si="5"/>
        <v>14284</v>
      </c>
      <c r="P9" s="14">
        <f t="shared" si="3"/>
        <v>1.0320988764044945</v>
      </c>
    </row>
    <row r="10" spans="1:18" x14ac:dyDescent="0.2">
      <c r="B10" s="13"/>
      <c r="C10" s="13"/>
      <c r="D10" s="13">
        <f t="shared" si="4"/>
        <v>0</v>
      </c>
      <c r="E10" s="14"/>
      <c r="G10" s="2" t="s">
        <v>26</v>
      </c>
      <c r="I10" s="13">
        <v>1876881.38</v>
      </c>
      <c r="J10" s="13">
        <v>1876000</v>
      </c>
      <c r="K10" s="13">
        <f t="shared" si="1"/>
        <v>881.37999999988824</v>
      </c>
      <c r="L10" s="14">
        <f t="shared" si="2"/>
        <v>1.0004698187633261</v>
      </c>
      <c r="M10" s="14"/>
      <c r="N10" s="13">
        <v>1876000</v>
      </c>
      <c r="O10" s="13">
        <f t="shared" si="5"/>
        <v>881.37999999988824</v>
      </c>
      <c r="P10" s="14">
        <f t="shared" si="3"/>
        <v>1.0004698187633261</v>
      </c>
    </row>
    <row r="11" spans="1:18" x14ac:dyDescent="0.2">
      <c r="B11" s="13">
        <v>21465.7</v>
      </c>
      <c r="C11" s="13">
        <v>52900</v>
      </c>
      <c r="D11" s="13">
        <f t="shared" si="4"/>
        <v>-31434.3</v>
      </c>
      <c r="E11" s="14">
        <f t="shared" si="0"/>
        <v>0.40577882797731568</v>
      </c>
      <c r="G11" s="2" t="s">
        <v>11</v>
      </c>
      <c r="I11" s="13">
        <v>685669.27</v>
      </c>
      <c r="J11" s="13">
        <v>600000</v>
      </c>
      <c r="K11" s="13">
        <f t="shared" si="1"/>
        <v>85669.270000000019</v>
      </c>
      <c r="L11" s="14">
        <f t="shared" si="2"/>
        <v>1.1427821166666667</v>
      </c>
      <c r="M11" s="14"/>
      <c r="N11" s="13">
        <v>600000</v>
      </c>
      <c r="O11" s="13">
        <f t="shared" si="5"/>
        <v>85669.270000000019</v>
      </c>
      <c r="P11" s="14">
        <f t="shared" si="3"/>
        <v>1.1427821166666667</v>
      </c>
    </row>
    <row r="12" spans="1:18" x14ac:dyDescent="0.2">
      <c r="B12" s="13">
        <v>9284.86</v>
      </c>
      <c r="C12" s="13">
        <v>12465</v>
      </c>
      <c r="D12" s="13">
        <f t="shared" si="4"/>
        <v>-3180.1399999999994</v>
      </c>
      <c r="E12" s="14">
        <f t="shared" si="0"/>
        <v>0.74487444845567596</v>
      </c>
      <c r="G12" s="2" t="s">
        <v>5</v>
      </c>
      <c r="I12" s="13">
        <v>415537.16</v>
      </c>
      <c r="J12" s="13">
        <v>378500</v>
      </c>
      <c r="K12" s="13">
        <f t="shared" si="1"/>
        <v>37037.159999999974</v>
      </c>
      <c r="L12" s="14">
        <f t="shared" si="2"/>
        <v>1.0978524702774108</v>
      </c>
      <c r="M12" s="14"/>
      <c r="N12" s="13">
        <v>378500</v>
      </c>
      <c r="O12" s="13">
        <f t="shared" si="5"/>
        <v>37037.159999999974</v>
      </c>
      <c r="P12" s="14">
        <f t="shared" si="3"/>
        <v>1.0978524702774108</v>
      </c>
    </row>
    <row r="13" spans="1:18" x14ac:dyDescent="0.2">
      <c r="B13" s="13">
        <f>442689.93-193205</f>
        <v>249484.93</v>
      </c>
      <c r="C13" s="13">
        <f>239780-202915</f>
        <v>36865</v>
      </c>
      <c r="D13" s="13">
        <f t="shared" si="4"/>
        <v>212619.93</v>
      </c>
      <c r="E13" s="14">
        <f t="shared" si="0"/>
        <v>6.7675282788552824</v>
      </c>
      <c r="G13" s="2" t="s">
        <v>6</v>
      </c>
      <c r="I13" s="13">
        <f>6978781.71-5887121</f>
        <v>1091660.71</v>
      </c>
      <c r="J13" s="13">
        <f>6122000-5299500</f>
        <v>822500</v>
      </c>
      <c r="K13" s="13">
        <f t="shared" si="1"/>
        <v>269160.70999999996</v>
      </c>
      <c r="L13" s="14">
        <f t="shared" si="2"/>
        <v>1.3272470638297873</v>
      </c>
      <c r="M13" s="14"/>
      <c r="N13" s="13">
        <f>6122000-5299500</f>
        <v>822500</v>
      </c>
      <c r="O13" s="13">
        <f t="shared" si="5"/>
        <v>269160.70999999996</v>
      </c>
      <c r="P13" s="14">
        <f t="shared" si="3"/>
        <v>1.3272470638297873</v>
      </c>
    </row>
    <row r="14" spans="1:18" x14ac:dyDescent="0.2">
      <c r="B14" s="15">
        <f>SUM(B6:B13)</f>
        <v>442689.63</v>
      </c>
      <c r="C14" s="15">
        <f>SUM(C6:C13)</f>
        <v>239780</v>
      </c>
      <c r="D14" s="15">
        <f>SUM(D6:D13)</f>
        <v>202909.63</v>
      </c>
      <c r="E14" s="14">
        <f t="shared" si="0"/>
        <v>1.846232504796063</v>
      </c>
      <c r="F14" s="4"/>
      <c r="G14" s="16" t="s">
        <v>38</v>
      </c>
      <c r="H14" s="4"/>
      <c r="I14" s="15">
        <f>SUM(I6:I13)</f>
        <v>6978781.2399999993</v>
      </c>
      <c r="J14" s="15">
        <f>SUM(J6:J13)</f>
        <v>6122000</v>
      </c>
      <c r="K14" s="15">
        <f>SUM(K6:K13)</f>
        <v>856781.23999999976</v>
      </c>
      <c r="L14" s="14">
        <f t="shared" si="2"/>
        <v>1.1399511989545899</v>
      </c>
      <c r="M14" s="14"/>
      <c r="N14" s="15">
        <f>SUM(N6:N13)</f>
        <v>6122000</v>
      </c>
      <c r="O14" s="15">
        <f>SUM(O6:O13)</f>
        <v>856781.23999999976</v>
      </c>
      <c r="P14" s="14">
        <f t="shared" si="3"/>
        <v>1.1399511989545899</v>
      </c>
      <c r="R14" s="43"/>
    </row>
    <row r="15" spans="1:18" x14ac:dyDescent="0.2">
      <c r="E15" s="14"/>
      <c r="L15" s="17"/>
      <c r="M15" s="17"/>
      <c r="P15" s="17"/>
      <c r="R15" s="43"/>
    </row>
    <row r="16" spans="1:18" s="1" customFormat="1" ht="14.25" x14ac:dyDescent="0.2">
      <c r="A16" s="2"/>
      <c r="B16" s="3">
        <f>+B81</f>
        <v>24911.215</v>
      </c>
      <c r="C16" s="3">
        <f>+C81</f>
        <v>20235</v>
      </c>
      <c r="D16" s="3">
        <f>+B16-C16</f>
        <v>4676.2150000000001</v>
      </c>
      <c r="E16" s="14"/>
      <c r="F16" s="2"/>
      <c r="G16" s="16" t="s">
        <v>65</v>
      </c>
      <c r="H16" s="2"/>
      <c r="I16" s="3">
        <f>+I81</f>
        <v>506551.14560000005</v>
      </c>
      <c r="J16" s="3">
        <f>+J81</f>
        <v>455000</v>
      </c>
      <c r="K16" s="3">
        <f>+I16-J16</f>
        <v>51551.145600000047</v>
      </c>
      <c r="L16" s="17"/>
      <c r="N16" s="3">
        <f>+N81</f>
        <v>455000</v>
      </c>
    </row>
    <row r="17" spans="1:18" s="1" customFormat="1" ht="14.25" x14ac:dyDescent="0.2">
      <c r="A17" s="2"/>
      <c r="B17" s="3"/>
      <c r="C17" s="3"/>
      <c r="D17" s="3"/>
      <c r="E17" s="14"/>
      <c r="F17" s="2"/>
      <c r="G17" s="4"/>
      <c r="H17" s="2"/>
      <c r="I17" s="3"/>
      <c r="J17" s="3"/>
      <c r="K17" s="3"/>
      <c r="L17" s="17"/>
      <c r="N17" s="3"/>
    </row>
    <row r="18" spans="1:18" s="1" customFormat="1" ht="14.25" x14ac:dyDescent="0.2">
      <c r="A18" s="2"/>
      <c r="B18" s="15">
        <f>+B14-B16</f>
        <v>417778.41499999998</v>
      </c>
      <c r="C18" s="15">
        <f>+C14-C16</f>
        <v>219545</v>
      </c>
      <c r="D18" s="3"/>
      <c r="E18" s="14"/>
      <c r="F18" s="2"/>
      <c r="G18" s="16" t="s">
        <v>63</v>
      </c>
      <c r="H18" s="2"/>
      <c r="I18" s="15">
        <f>+I14-I16</f>
        <v>6472230.0943999989</v>
      </c>
      <c r="J18" s="15">
        <f>+J14-J16</f>
        <v>5667000</v>
      </c>
      <c r="K18" s="3"/>
      <c r="L18" s="17"/>
      <c r="N18" s="15">
        <f>+N14-N16</f>
        <v>5667000</v>
      </c>
      <c r="O18" s="3"/>
    </row>
    <row r="19" spans="1:18" s="1" customFormat="1" ht="14.25" x14ac:dyDescent="0.2">
      <c r="A19" s="2"/>
      <c r="B19" s="3"/>
      <c r="C19" s="3"/>
      <c r="D19" s="3"/>
      <c r="E19" s="14"/>
      <c r="F19" s="2"/>
      <c r="G19" s="2"/>
      <c r="H19" s="2"/>
      <c r="I19" s="3"/>
      <c r="J19" s="3"/>
      <c r="K19" s="3"/>
      <c r="L19" s="17"/>
    </row>
    <row r="20" spans="1:18" s="4" customFormat="1" ht="24" x14ac:dyDescent="0.2">
      <c r="B20" s="18">
        <f>+B4</f>
        <v>45747</v>
      </c>
      <c r="C20" s="19" t="s">
        <v>0</v>
      </c>
      <c r="D20" s="20" t="s">
        <v>1</v>
      </c>
      <c r="E20" s="21"/>
      <c r="G20" s="12" t="s">
        <v>7</v>
      </c>
      <c r="I20" s="48" t="str">
        <f>I4</f>
        <v>Actual April - March 2025</v>
      </c>
      <c r="J20" s="10" t="str">
        <f>J4</f>
        <v>Budgeted April - March 2025</v>
      </c>
      <c r="K20" s="9" t="s">
        <v>1</v>
      </c>
      <c r="L20" s="10" t="s">
        <v>10</v>
      </c>
      <c r="M20" s="32"/>
      <c r="N20" s="10" t="s">
        <v>12</v>
      </c>
      <c r="O20" s="9" t="s">
        <v>1</v>
      </c>
      <c r="P20" s="10" t="s">
        <v>27</v>
      </c>
      <c r="R20" s="43"/>
    </row>
    <row r="21" spans="1:18" x14ac:dyDescent="0.2">
      <c r="E21" s="14"/>
      <c r="L21" s="17"/>
      <c r="M21" s="17"/>
      <c r="P21" s="17"/>
      <c r="R21" s="43"/>
    </row>
    <row r="22" spans="1:18" x14ac:dyDescent="0.2">
      <c r="B22" s="13">
        <v>41513.29</v>
      </c>
      <c r="C22" s="13">
        <v>28160</v>
      </c>
      <c r="D22" s="13">
        <f>B22-C22</f>
        <v>13353.29</v>
      </c>
      <c r="E22" s="14">
        <f>+B22/C22</f>
        <v>1.4741935369318182</v>
      </c>
      <c r="G22" s="2" t="s">
        <v>14</v>
      </c>
      <c r="I22" s="13">
        <v>452748.08</v>
      </c>
      <c r="J22" s="13">
        <v>417500</v>
      </c>
      <c r="K22" s="13">
        <f>I22-J22</f>
        <v>35248.080000000016</v>
      </c>
      <c r="L22" s="14">
        <f>+I22/J22</f>
        <v>1.0844265389221557</v>
      </c>
      <c r="M22" s="14"/>
      <c r="N22" s="13">
        <v>417500</v>
      </c>
      <c r="O22" s="13">
        <f>I22-N22</f>
        <v>35248.080000000016</v>
      </c>
      <c r="P22" s="14">
        <f>+I22/N22</f>
        <v>1.0844265389221557</v>
      </c>
      <c r="R22" s="43"/>
    </row>
    <row r="23" spans="1:18" x14ac:dyDescent="0.2">
      <c r="B23" s="13">
        <v>7078.68</v>
      </c>
      <c r="C23" s="13">
        <v>11875</v>
      </c>
      <c r="D23" s="13">
        <f>B23-C23</f>
        <v>-4796.32</v>
      </c>
      <c r="E23" s="14">
        <f>+B23/C23</f>
        <v>0.59609936842105271</v>
      </c>
      <c r="G23" s="2" t="s">
        <v>15</v>
      </c>
      <c r="I23" s="13">
        <v>108624.17</v>
      </c>
      <c r="J23" s="13">
        <v>142500</v>
      </c>
      <c r="K23" s="13">
        <f>I23-J23</f>
        <v>-33875.83</v>
      </c>
      <c r="L23" s="14">
        <f>+I23/J23</f>
        <v>0.76227487719298248</v>
      </c>
      <c r="M23" s="14"/>
      <c r="N23" s="13">
        <v>142500</v>
      </c>
      <c r="O23" s="13">
        <f>I23-N23</f>
        <v>-33875.83</v>
      </c>
      <c r="P23" s="14">
        <f>+I23/N23</f>
        <v>0.76227487719298248</v>
      </c>
      <c r="R23" s="43"/>
    </row>
    <row r="24" spans="1:18" s="4" customFormat="1" x14ac:dyDescent="0.2">
      <c r="B24" s="22">
        <f>SUM(B22:B23)</f>
        <v>48591.97</v>
      </c>
      <c r="C24" s="22">
        <f>SUM(C22:C23)</f>
        <v>40035</v>
      </c>
      <c r="D24" s="22">
        <f>+B24-C24</f>
        <v>8556.9700000000012</v>
      </c>
      <c r="E24" s="14">
        <f>+B24/C24</f>
        <v>1.2137372299238167</v>
      </c>
      <c r="G24" s="4" t="s">
        <v>17</v>
      </c>
      <c r="I24" s="22">
        <f>SUM(I22:I23)</f>
        <v>561372.25</v>
      </c>
      <c r="J24" s="22">
        <f>SUM(J22:J23)</f>
        <v>560000</v>
      </c>
      <c r="K24" s="22">
        <f>SUM(K22:K23)</f>
        <v>1372.2500000000146</v>
      </c>
      <c r="L24" s="14">
        <f>+I24/J24</f>
        <v>1.0024504464285715</v>
      </c>
      <c r="M24" s="14"/>
      <c r="N24" s="22">
        <f>SUM(N22:N23)</f>
        <v>560000</v>
      </c>
      <c r="O24" s="22">
        <f>SUM(O22:O23)</f>
        <v>1372.2500000000146</v>
      </c>
      <c r="P24" s="14">
        <f>+I24/N24</f>
        <v>1.0024504464285715</v>
      </c>
      <c r="R24" s="43"/>
    </row>
    <row r="25" spans="1:18" x14ac:dyDescent="0.2">
      <c r="B25" s="3"/>
      <c r="C25" s="3"/>
      <c r="E25" s="14"/>
      <c r="I25" s="3"/>
      <c r="J25" s="3"/>
      <c r="L25" s="17"/>
      <c r="M25" s="17"/>
      <c r="N25" s="3"/>
      <c r="P25" s="17"/>
      <c r="R25" s="43"/>
    </row>
    <row r="26" spans="1:18" x14ac:dyDescent="0.2">
      <c r="B26" s="13">
        <v>36704.68</v>
      </c>
      <c r="C26" s="13">
        <v>38125</v>
      </c>
      <c r="D26" s="13">
        <f>B26-C26</f>
        <v>-1420.3199999999997</v>
      </c>
      <c r="E26" s="14">
        <f>+B26/C26</f>
        <v>0.9627457049180328</v>
      </c>
      <c r="G26" s="2" t="s">
        <v>28</v>
      </c>
      <c r="I26" s="13">
        <v>461346.42</v>
      </c>
      <c r="J26" s="13">
        <v>489536</v>
      </c>
      <c r="K26" s="13">
        <f>I26-J26</f>
        <v>-28189.580000000016</v>
      </c>
      <c r="L26" s="14">
        <f>+I26/J26</f>
        <v>0.94241571610668062</v>
      </c>
      <c r="M26" s="14"/>
      <c r="N26" s="13">
        <v>489536</v>
      </c>
      <c r="O26" s="13">
        <f>I26-N26</f>
        <v>-28189.580000000016</v>
      </c>
      <c r="P26" s="14">
        <f>+I26/N26</f>
        <v>0.94241571610668062</v>
      </c>
      <c r="R26" s="43"/>
    </row>
    <row r="27" spans="1:18" x14ac:dyDescent="0.2">
      <c r="B27" s="13">
        <v>1.46</v>
      </c>
      <c r="C27" s="13">
        <v>2</v>
      </c>
      <c r="D27" s="13">
        <f>B27-C27</f>
        <v>-0.54</v>
      </c>
      <c r="E27" s="14">
        <f>+B27/C27</f>
        <v>0.73</v>
      </c>
      <c r="G27" s="2" t="s">
        <v>29</v>
      </c>
      <c r="I27" s="13">
        <v>3436.05</v>
      </c>
      <c r="J27" s="13">
        <v>5465</v>
      </c>
      <c r="K27" s="13">
        <f>I27-J27</f>
        <v>-2028.9499999999998</v>
      </c>
      <c r="L27" s="14">
        <f>+I27/J27</f>
        <v>0.62873741994510524</v>
      </c>
      <c r="M27" s="14"/>
      <c r="N27" s="13">
        <v>5465</v>
      </c>
      <c r="O27" s="13">
        <f>I27-N27</f>
        <v>-2028.9499999999998</v>
      </c>
      <c r="P27" s="14">
        <f>+I27/N27</f>
        <v>0.62873741994510524</v>
      </c>
      <c r="R27" s="43"/>
    </row>
    <row r="28" spans="1:18" x14ac:dyDescent="0.2">
      <c r="B28" s="13">
        <f>65584.68-36706</f>
        <v>28878.679999999993</v>
      </c>
      <c r="C28" s="13">
        <f>63497-38127</f>
        <v>25370</v>
      </c>
      <c r="D28" s="13">
        <f>B28-C28</f>
        <v>3508.679999999993</v>
      </c>
      <c r="E28" s="14">
        <f>+B28/C28</f>
        <v>1.1383003547497041</v>
      </c>
      <c r="G28" s="2" t="s">
        <v>16</v>
      </c>
      <c r="I28" s="13">
        <f>691768.94-464782</f>
        <v>226986.93999999994</v>
      </c>
      <c r="J28" s="13">
        <f>725001-495001</f>
        <v>230000</v>
      </c>
      <c r="K28" s="13">
        <f>I28-J28</f>
        <v>-3013.0600000000559</v>
      </c>
      <c r="L28" s="14">
        <f>+I28/J28</f>
        <v>0.98689973913043449</v>
      </c>
      <c r="M28" s="14"/>
      <c r="N28" s="13">
        <v>230000</v>
      </c>
      <c r="O28" s="13">
        <f>I28-N28</f>
        <v>-3013.0600000000559</v>
      </c>
      <c r="P28" s="14">
        <f>+I28/N28</f>
        <v>0.98689973913043449</v>
      </c>
      <c r="R28" s="43"/>
    </row>
    <row r="29" spans="1:18" s="4" customFormat="1" x14ac:dyDescent="0.2">
      <c r="B29" s="22">
        <f>SUM(B26:B28)</f>
        <v>65584.819999999992</v>
      </c>
      <c r="C29" s="22">
        <f>SUM(C26:C28)</f>
        <v>63497</v>
      </c>
      <c r="D29" s="22">
        <f>+B29-C29</f>
        <v>2087.8199999999924</v>
      </c>
      <c r="E29" s="14">
        <f>+B29/C29</f>
        <v>1.0328806085326865</v>
      </c>
      <c r="G29" s="4" t="s">
        <v>18</v>
      </c>
      <c r="I29" s="22">
        <f>SUM(I26:I28)</f>
        <v>691769.40999999992</v>
      </c>
      <c r="J29" s="22">
        <f>SUM(J26:J28)</f>
        <v>725001</v>
      </c>
      <c r="K29" s="22">
        <f>SUM(K26:K28)</f>
        <v>-33231.590000000069</v>
      </c>
      <c r="L29" s="14">
        <f>+I29/J29</f>
        <v>0.95416338736084494</v>
      </c>
      <c r="M29" s="14"/>
      <c r="N29" s="22">
        <f>SUM(N26:N28)</f>
        <v>725001</v>
      </c>
      <c r="O29" s="22">
        <f>SUM(O26:O28)</f>
        <v>-33231.590000000069</v>
      </c>
      <c r="P29" s="14">
        <f>+I29/N29</f>
        <v>0.95416338736084494</v>
      </c>
      <c r="R29" s="43"/>
    </row>
    <row r="30" spans="1:18" x14ac:dyDescent="0.2">
      <c r="B30" s="3"/>
      <c r="C30" s="3"/>
      <c r="E30" s="14"/>
      <c r="I30" s="3"/>
      <c r="J30" s="3"/>
      <c r="L30" s="17"/>
      <c r="M30" s="17"/>
      <c r="N30" s="3"/>
      <c r="P30" s="17"/>
      <c r="R30" s="43"/>
    </row>
    <row r="31" spans="1:18" x14ac:dyDescent="0.2">
      <c r="A31" s="2" t="s">
        <v>9</v>
      </c>
      <c r="B31" s="13">
        <v>150764</v>
      </c>
      <c r="C31" s="13">
        <v>162460</v>
      </c>
      <c r="D31" s="13">
        <f>B31-C31</f>
        <v>-11696</v>
      </c>
      <c r="E31" s="14">
        <f t="shared" ref="E31:E35" si="6">+B31/C31</f>
        <v>0.92800689400467806</v>
      </c>
      <c r="G31" s="2" t="s">
        <v>30</v>
      </c>
      <c r="I31" s="13">
        <v>1941101.23</v>
      </c>
      <c r="J31" s="13">
        <v>1994585</v>
      </c>
      <c r="K31" s="13">
        <f>I31-J31</f>
        <v>-53483.770000000019</v>
      </c>
      <c r="L31" s="14">
        <f t="shared" ref="L31:L35" si="7">+I31/J31</f>
        <v>0.97318551478127024</v>
      </c>
      <c r="M31" s="14"/>
      <c r="N31" s="13">
        <v>1994585</v>
      </c>
      <c r="O31" s="13">
        <f>I31-N31</f>
        <v>-53483.770000000019</v>
      </c>
      <c r="P31" s="14">
        <f t="shared" ref="P31:P35" si="8">+I31/N31</f>
        <v>0.97318551478127024</v>
      </c>
      <c r="R31" s="43"/>
    </row>
    <row r="32" spans="1:18" x14ac:dyDescent="0.2">
      <c r="B32" s="13">
        <v>34640.15</v>
      </c>
      <c r="C32" s="13">
        <v>39672</v>
      </c>
      <c r="D32" s="13">
        <f>B32-C32</f>
        <v>-5031.8499999999985</v>
      </c>
      <c r="E32" s="14">
        <f t="shared" si="6"/>
        <v>0.87316369227666868</v>
      </c>
      <c r="G32" s="2" t="s">
        <v>31</v>
      </c>
      <c r="I32" s="13">
        <v>479097.02</v>
      </c>
      <c r="J32" s="13">
        <v>495070</v>
      </c>
      <c r="K32" s="13">
        <f>I32-J32</f>
        <v>-15972.979999999981</v>
      </c>
      <c r="L32" s="14">
        <f t="shared" si="7"/>
        <v>0.96773591613307208</v>
      </c>
      <c r="M32" s="14"/>
      <c r="N32" s="13">
        <v>495070</v>
      </c>
      <c r="O32" s="13">
        <f>I32-N32</f>
        <v>-15972.979999999981</v>
      </c>
      <c r="P32" s="14">
        <f t="shared" si="8"/>
        <v>0.96773591613307208</v>
      </c>
      <c r="R32" s="43"/>
    </row>
    <row r="33" spans="2:18" x14ac:dyDescent="0.2">
      <c r="B33" s="13">
        <v>631.98</v>
      </c>
      <c r="C33" s="13">
        <v>2045</v>
      </c>
      <c r="D33" s="13">
        <f>B33-C33</f>
        <v>-1413.02</v>
      </c>
      <c r="E33" s="14">
        <f t="shared" si="6"/>
        <v>0.30903667481662594</v>
      </c>
      <c r="G33" s="2" t="s">
        <v>32</v>
      </c>
      <c r="I33" s="13">
        <v>217461.21</v>
      </c>
      <c r="J33" s="13">
        <v>231060</v>
      </c>
      <c r="K33" s="13">
        <f>I33-J33</f>
        <v>-13598.790000000008</v>
      </c>
      <c r="L33" s="14">
        <f t="shared" si="7"/>
        <v>0.94114606595689432</v>
      </c>
      <c r="M33" s="14"/>
      <c r="N33" s="13">
        <v>231060</v>
      </c>
      <c r="O33" s="13">
        <f>I33-N33</f>
        <v>-13598.790000000008</v>
      </c>
      <c r="P33" s="14">
        <f t="shared" si="8"/>
        <v>0.94114606595689432</v>
      </c>
      <c r="R33" s="43"/>
    </row>
    <row r="34" spans="2:18" x14ac:dyDescent="0.2">
      <c r="B34" s="13">
        <f>230988.12-186036</f>
        <v>44952.119999999995</v>
      </c>
      <c r="C34" s="13">
        <f>241332-204177</f>
        <v>37155</v>
      </c>
      <c r="D34" s="13">
        <f>B34-C34</f>
        <v>7797.1199999999953</v>
      </c>
      <c r="E34" s="14">
        <f t="shared" si="6"/>
        <v>1.2098538554703269</v>
      </c>
      <c r="G34" s="2" t="s">
        <v>20</v>
      </c>
      <c r="I34" s="13">
        <f>3117582.78-2637659</f>
        <v>479923.7799999998</v>
      </c>
      <c r="J34" s="13">
        <f>3166215-2720715</f>
        <v>445500</v>
      </c>
      <c r="K34" s="13">
        <f>I34-J34</f>
        <v>34423.779999999795</v>
      </c>
      <c r="L34" s="14">
        <f t="shared" si="7"/>
        <v>1.077269988776655</v>
      </c>
      <c r="M34" s="14"/>
      <c r="N34" s="13">
        <f>3165204-2719704</f>
        <v>445500</v>
      </c>
      <c r="O34" s="13">
        <f>I34-N34</f>
        <v>34423.779999999795</v>
      </c>
      <c r="P34" s="14">
        <f t="shared" si="8"/>
        <v>1.077269988776655</v>
      </c>
      <c r="R34" s="43"/>
    </row>
    <row r="35" spans="2:18" s="4" customFormat="1" x14ac:dyDescent="0.2">
      <c r="B35" s="22">
        <f>SUM(B31:B34)</f>
        <v>230988.25</v>
      </c>
      <c r="C35" s="22">
        <f>SUM(C31:C34)</f>
        <v>241332</v>
      </c>
      <c r="D35" s="22">
        <f>+B35-C35</f>
        <v>-10343.75</v>
      </c>
      <c r="E35" s="14">
        <f t="shared" si="6"/>
        <v>0.95713892065702022</v>
      </c>
      <c r="G35" s="4" t="s">
        <v>19</v>
      </c>
      <c r="I35" s="22">
        <f>SUM(I31:I34)</f>
        <v>3117583.2399999998</v>
      </c>
      <c r="J35" s="22">
        <f>SUM(J31:J34)</f>
        <v>3166215</v>
      </c>
      <c r="K35" s="22">
        <f>SUM(K31:K34)</f>
        <v>-48631.760000000213</v>
      </c>
      <c r="L35" s="14">
        <f t="shared" si="7"/>
        <v>0.98464041134288094</v>
      </c>
      <c r="M35" s="14"/>
      <c r="N35" s="22">
        <f>SUM(N31:N34)</f>
        <v>3166215</v>
      </c>
      <c r="O35" s="22">
        <f>SUM(O31:O34)</f>
        <v>-48631.760000000213</v>
      </c>
      <c r="P35" s="14">
        <f t="shared" si="8"/>
        <v>0.98464041134288094</v>
      </c>
      <c r="R35" s="43"/>
    </row>
    <row r="36" spans="2:18" x14ac:dyDescent="0.2">
      <c r="B36" s="3"/>
      <c r="C36" s="3"/>
      <c r="E36" s="14"/>
      <c r="I36" s="3"/>
      <c r="J36" s="3"/>
      <c r="L36" s="17"/>
      <c r="M36" s="17"/>
      <c r="N36" s="3"/>
      <c r="P36" s="17"/>
      <c r="R36" s="43"/>
    </row>
    <row r="37" spans="2:18" x14ac:dyDescent="0.2">
      <c r="B37" s="13">
        <v>15787.37</v>
      </c>
      <c r="C37" s="13">
        <v>13425</v>
      </c>
      <c r="D37" s="13">
        <f>B37-C37</f>
        <v>2362.3700000000008</v>
      </c>
      <c r="E37" s="14">
        <f>+B37/C37</f>
        <v>1.1759679702048418</v>
      </c>
      <c r="G37" s="2" t="s">
        <v>33</v>
      </c>
      <c r="I37" s="13">
        <v>186752.25</v>
      </c>
      <c r="J37" s="13">
        <v>169926</v>
      </c>
      <c r="K37" s="13">
        <f>I37-J37</f>
        <v>16826.25</v>
      </c>
      <c r="L37" s="14">
        <f>+I37/J37</f>
        <v>1.0990210444546449</v>
      </c>
      <c r="M37" s="14"/>
      <c r="N37" s="13">
        <v>169926</v>
      </c>
      <c r="O37" s="13">
        <f>I37-N37</f>
        <v>16826.25</v>
      </c>
      <c r="P37" s="14">
        <f>+I37/N37</f>
        <v>1.0990210444546449</v>
      </c>
      <c r="R37" s="43"/>
    </row>
    <row r="38" spans="2:18" x14ac:dyDescent="0.2">
      <c r="B38" s="13">
        <v>16.07</v>
      </c>
      <c r="C38" s="13">
        <v>0</v>
      </c>
      <c r="D38" s="13">
        <f>B38-C38</f>
        <v>16.07</v>
      </c>
      <c r="E38" s="14"/>
      <c r="G38" s="2" t="s">
        <v>62</v>
      </c>
      <c r="I38" s="13">
        <v>13332.42</v>
      </c>
      <c r="J38" s="13">
        <v>10900</v>
      </c>
      <c r="K38" s="13">
        <f>I38-J38</f>
        <v>2432.42</v>
      </c>
      <c r="L38" s="14">
        <f>+I38/J38</f>
        <v>1.2231577981651376</v>
      </c>
      <c r="M38" s="14"/>
      <c r="N38" s="13">
        <v>10900</v>
      </c>
      <c r="O38" s="13">
        <f>I38-N38</f>
        <v>2432.42</v>
      </c>
      <c r="P38" s="14">
        <f>+I38/N38</f>
        <v>1.2231577981651376</v>
      </c>
      <c r="R38" s="43"/>
    </row>
    <row r="39" spans="2:18" x14ac:dyDescent="0.2">
      <c r="B39" s="13">
        <f>17331.91-15803</f>
        <v>1528.9099999999999</v>
      </c>
      <c r="C39" s="13">
        <f>15753-13425</f>
        <v>2328</v>
      </c>
      <c r="D39" s="13">
        <f>B39-C39</f>
        <v>-799.09000000000015</v>
      </c>
      <c r="E39" s="14">
        <f>+B39/C39</f>
        <v>0.65674828178694156</v>
      </c>
      <c r="G39" s="2" t="s">
        <v>21</v>
      </c>
      <c r="I39" s="13">
        <f>219209.93-200085</f>
        <v>19124.929999999993</v>
      </c>
      <c r="J39" s="13">
        <f>208476-180826</f>
        <v>27650</v>
      </c>
      <c r="K39" s="13">
        <f>I39-J39</f>
        <v>-8525.070000000007</v>
      </c>
      <c r="L39" s="14">
        <f>+I39/J39</f>
        <v>0.69167920433996355</v>
      </c>
      <c r="M39" s="14"/>
      <c r="N39" s="13">
        <f>202476-180826</f>
        <v>21650</v>
      </c>
      <c r="O39" s="13">
        <f>I39-N39</f>
        <v>-2525.070000000007</v>
      </c>
      <c r="P39" s="14">
        <f>+I39/N39</f>
        <v>0.88336859122401812</v>
      </c>
      <c r="R39" s="43"/>
    </row>
    <row r="40" spans="2:18" s="4" customFormat="1" x14ac:dyDescent="0.2">
      <c r="B40" s="22">
        <f>SUM(B37:B39)</f>
        <v>17332.349999999999</v>
      </c>
      <c r="C40" s="22">
        <f>SUM(C37:C39)</f>
        <v>15753</v>
      </c>
      <c r="D40" s="22">
        <f>SUM(D37:D39)</f>
        <v>1579.3500000000008</v>
      </c>
      <c r="E40" s="14">
        <f>+B40/C40</f>
        <v>1.1002570938868785</v>
      </c>
      <c r="G40" s="4" t="s">
        <v>22</v>
      </c>
      <c r="I40" s="22">
        <f>SUM(I37:I39)</f>
        <v>219209.60000000001</v>
      </c>
      <c r="J40" s="22">
        <f>SUM(J37:J39)</f>
        <v>208476</v>
      </c>
      <c r="K40" s="22">
        <f>SUM(K37:K39)</f>
        <v>10733.599999999991</v>
      </c>
      <c r="L40" s="14">
        <f>+I40/J40</f>
        <v>1.0514860223718798</v>
      </c>
      <c r="M40" s="14"/>
      <c r="N40" s="22">
        <f>SUM(N37:N39)</f>
        <v>202476</v>
      </c>
      <c r="O40" s="22">
        <f>SUM(O37:O39)</f>
        <v>16733.599999999991</v>
      </c>
      <c r="P40" s="14">
        <f>+I40/N40</f>
        <v>1.0826448566743714</v>
      </c>
      <c r="R40" s="43"/>
    </row>
    <row r="41" spans="2:18" x14ac:dyDescent="0.2">
      <c r="B41" s="3"/>
      <c r="C41" s="3"/>
      <c r="E41" s="14"/>
      <c r="I41" s="3"/>
      <c r="J41" s="3"/>
      <c r="L41" s="17"/>
      <c r="M41" s="17"/>
      <c r="N41" s="3"/>
      <c r="P41" s="17"/>
      <c r="R41" s="43"/>
    </row>
    <row r="42" spans="2:18" x14ac:dyDescent="0.2">
      <c r="B42" s="13">
        <v>8912.0400000000009</v>
      </c>
      <c r="C42" s="13">
        <v>9275</v>
      </c>
      <c r="D42" s="13">
        <f>B42-C42</f>
        <v>-362.95999999999913</v>
      </c>
      <c r="E42" s="14">
        <f>+B42/C42</f>
        <v>0.96086684636118613</v>
      </c>
      <c r="G42" s="2" t="s">
        <v>51</v>
      </c>
      <c r="I42" s="13">
        <v>121611.61</v>
      </c>
      <c r="J42" s="13">
        <v>117415</v>
      </c>
      <c r="K42" s="13">
        <f>I42-J42</f>
        <v>4196.6100000000006</v>
      </c>
      <c r="L42" s="14">
        <f>+I42/J42</f>
        <v>1.0357416854745987</v>
      </c>
      <c r="M42" s="14"/>
      <c r="N42" s="13">
        <v>117412</v>
      </c>
      <c r="O42" s="13">
        <f>I42-N42</f>
        <v>4199.6100000000006</v>
      </c>
      <c r="P42" s="14">
        <f>+I42/N42</f>
        <v>1.035768149763227</v>
      </c>
      <c r="R42" s="43"/>
    </row>
    <row r="43" spans="2:18" x14ac:dyDescent="0.2">
      <c r="B43" s="13">
        <v>35.67</v>
      </c>
      <c r="C43" s="13">
        <v>31</v>
      </c>
      <c r="D43" s="13">
        <f>B43-C43</f>
        <v>4.6700000000000017</v>
      </c>
      <c r="E43" s="14">
        <f>+B43/C43</f>
        <v>1.1506451612903226</v>
      </c>
      <c r="G43" s="2" t="s">
        <v>52</v>
      </c>
      <c r="I43" s="13">
        <v>98617.38</v>
      </c>
      <c r="J43" s="13">
        <v>94941</v>
      </c>
      <c r="K43" s="13">
        <f>I43-J43</f>
        <v>3676.3800000000047</v>
      </c>
      <c r="L43" s="14">
        <f>+I43/J43</f>
        <v>1.0387227857300851</v>
      </c>
      <c r="M43" s="14"/>
      <c r="N43" s="13">
        <v>94941.3</v>
      </c>
      <c r="O43" s="13">
        <f>I43-N43</f>
        <v>3676.0800000000017</v>
      </c>
      <c r="P43" s="14">
        <f>+I43/N43</f>
        <v>1.0387195035248096</v>
      </c>
      <c r="R43" s="43"/>
    </row>
    <row r="44" spans="2:18" x14ac:dyDescent="0.2">
      <c r="B44" s="13">
        <f>9805.75-8948</f>
        <v>857.75</v>
      </c>
      <c r="C44" s="13">
        <f>11661-9306</f>
        <v>2355</v>
      </c>
      <c r="D44" s="13">
        <f>B44-C44</f>
        <v>-1497.25</v>
      </c>
      <c r="E44" s="14">
        <f>+B44/C44</f>
        <v>0.36422505307855624</v>
      </c>
      <c r="G44" s="2" t="s">
        <v>53</v>
      </c>
      <c r="I44" s="13">
        <f>239242.03-220229</f>
        <v>19013.03</v>
      </c>
      <c r="J44" s="13">
        <f>240563-212356</f>
        <v>28207</v>
      </c>
      <c r="K44" s="13">
        <f>I44-J44</f>
        <v>-9193.9700000000012</v>
      </c>
      <c r="L44" s="14">
        <f>+I44/J44</f>
        <v>0.6740536037153898</v>
      </c>
      <c r="M44" s="14"/>
      <c r="N44" s="13">
        <f>240563.3-212353</f>
        <v>28210.299999999988</v>
      </c>
      <c r="O44" s="13">
        <f>I44-N44</f>
        <v>-9197.2699999999895</v>
      </c>
      <c r="P44" s="14">
        <f>+I44/N44</f>
        <v>0.67397475390194383</v>
      </c>
      <c r="R44" s="43"/>
    </row>
    <row r="45" spans="2:18" s="4" customFormat="1" x14ac:dyDescent="0.2">
      <c r="B45" s="22">
        <f>SUM(B42:B44)</f>
        <v>9805.4600000000009</v>
      </c>
      <c r="C45" s="22">
        <f>SUM(C42:C44)</f>
        <v>11661</v>
      </c>
      <c r="D45" s="22">
        <f>+B45-C45</f>
        <v>-1855.5399999999991</v>
      </c>
      <c r="E45" s="14">
        <f>+B45/C45</f>
        <v>0.84087642569247933</v>
      </c>
      <c r="G45" s="4" t="s">
        <v>69</v>
      </c>
      <c r="I45" s="22">
        <f>SUM(I42:I44)</f>
        <v>239242.02</v>
      </c>
      <c r="J45" s="22">
        <f>SUM(J42:J44)</f>
        <v>240563</v>
      </c>
      <c r="K45" s="22">
        <f>SUM(K42:K44)</f>
        <v>-1320.9799999999959</v>
      </c>
      <c r="L45" s="14">
        <f>+I45/J45</f>
        <v>0.99450879811109771</v>
      </c>
      <c r="M45" s="14"/>
      <c r="N45" s="22">
        <f>SUM(N42:N44)</f>
        <v>240563.59999999998</v>
      </c>
      <c r="O45" s="22">
        <f>SUM(O42:O44)</f>
        <v>-1321.5799999999872</v>
      </c>
      <c r="P45" s="14">
        <f>+I45/N45</f>
        <v>0.99450631766401909</v>
      </c>
      <c r="R45" s="43"/>
    </row>
    <row r="46" spans="2:18" x14ac:dyDescent="0.2">
      <c r="B46" s="3"/>
      <c r="C46" s="3"/>
      <c r="E46" s="14"/>
      <c r="I46" s="3"/>
      <c r="J46" s="3"/>
      <c r="L46" s="17"/>
      <c r="M46" s="17"/>
      <c r="N46" s="3"/>
      <c r="P46" s="17"/>
      <c r="R46" s="43"/>
    </row>
    <row r="47" spans="2:18" s="4" customFormat="1" x14ac:dyDescent="0.2">
      <c r="B47" s="22">
        <v>10763.9</v>
      </c>
      <c r="C47" s="22">
        <v>11370</v>
      </c>
      <c r="D47" s="22">
        <f>+B47-C47</f>
        <v>-606.10000000000036</v>
      </c>
      <c r="E47" s="14">
        <f>+B47/C47</f>
        <v>0.946693051890941</v>
      </c>
      <c r="G47" s="4" t="s">
        <v>49</v>
      </c>
      <c r="I47" s="22">
        <v>134979.28</v>
      </c>
      <c r="J47" s="22">
        <v>145714</v>
      </c>
      <c r="K47" s="22">
        <f>I47-J47</f>
        <v>-10734.720000000001</v>
      </c>
      <c r="L47" s="14">
        <f>+I47/J47</f>
        <v>0.92633020849060488</v>
      </c>
      <c r="M47" s="14"/>
      <c r="N47" s="22">
        <v>145714</v>
      </c>
      <c r="O47" s="22">
        <f>I47-N47</f>
        <v>-10734.720000000001</v>
      </c>
      <c r="P47" s="14">
        <f>+I47/N47</f>
        <v>0.92633020849060488</v>
      </c>
      <c r="R47" s="43"/>
    </row>
    <row r="48" spans="2:18" x14ac:dyDescent="0.2">
      <c r="B48" s="3"/>
      <c r="C48" s="3"/>
      <c r="E48" s="14"/>
      <c r="I48" s="3"/>
      <c r="J48" s="3"/>
      <c r="L48" s="17"/>
      <c r="M48" s="17"/>
      <c r="N48" s="3"/>
      <c r="P48" s="17"/>
      <c r="R48" s="43"/>
    </row>
    <row r="49" spans="1:18" s="4" customFormat="1" x14ac:dyDescent="0.2">
      <c r="B49" s="22">
        <v>3653.8</v>
      </c>
      <c r="C49" s="22">
        <v>3555</v>
      </c>
      <c r="D49" s="22">
        <f>+B49-C49</f>
        <v>98.800000000000182</v>
      </c>
      <c r="E49" s="14">
        <f>+B49/C49</f>
        <v>1.0277918424753869</v>
      </c>
      <c r="G49" s="4" t="s">
        <v>23</v>
      </c>
      <c r="I49" s="22">
        <v>43162.89</v>
      </c>
      <c r="J49" s="22">
        <v>45232</v>
      </c>
      <c r="K49" s="22">
        <f>I49-J49</f>
        <v>-2069.1100000000006</v>
      </c>
      <c r="L49" s="14">
        <f>+I49/J49</f>
        <v>0.95425561549345594</v>
      </c>
      <c r="M49" s="14"/>
      <c r="N49" s="22">
        <v>45232</v>
      </c>
      <c r="O49" s="22">
        <f>I49-N49</f>
        <v>-2069.1100000000006</v>
      </c>
      <c r="P49" s="14">
        <f>+I49/N49</f>
        <v>0.95425561549345594</v>
      </c>
      <c r="R49" s="43"/>
    </row>
    <row r="50" spans="1:18" x14ac:dyDescent="0.2">
      <c r="B50" s="3"/>
      <c r="C50" s="3"/>
      <c r="E50" s="14"/>
      <c r="I50" s="3"/>
      <c r="J50" s="3"/>
      <c r="L50" s="17"/>
      <c r="M50" s="17"/>
      <c r="N50" s="3"/>
      <c r="P50" s="17"/>
      <c r="R50" s="43"/>
    </row>
    <row r="51" spans="1:18" x14ac:dyDescent="0.2">
      <c r="B51" s="13">
        <v>2204.12</v>
      </c>
      <c r="C51" s="13">
        <v>2202</v>
      </c>
      <c r="D51" s="13">
        <f>B51-C51</f>
        <v>2.1199999999998909</v>
      </c>
      <c r="E51" s="14">
        <f>+B51/C51</f>
        <v>1.0009627611262488</v>
      </c>
      <c r="G51" s="2" t="s">
        <v>34</v>
      </c>
      <c r="I51" s="13">
        <v>28367.66</v>
      </c>
      <c r="J51" s="13">
        <v>28474</v>
      </c>
      <c r="K51" s="13">
        <f>I51-J51</f>
        <v>-106.34000000000015</v>
      </c>
      <c r="L51" s="14">
        <f>+I51/J51</f>
        <v>0.99626536489428952</v>
      </c>
      <c r="M51" s="14"/>
      <c r="N51" s="13">
        <v>28474</v>
      </c>
      <c r="O51" s="13">
        <f>I51-N51</f>
        <v>-106.34000000000015</v>
      </c>
      <c r="P51" s="14">
        <f>+I51/N51</f>
        <v>0.99626536489428952</v>
      </c>
      <c r="R51" s="43"/>
    </row>
    <row r="52" spans="1:18" x14ac:dyDescent="0.2">
      <c r="B52" s="13">
        <v>3794</v>
      </c>
      <c r="C52" s="13">
        <v>6032</v>
      </c>
      <c r="D52" s="13">
        <f>B52-C52</f>
        <v>-2238</v>
      </c>
      <c r="E52" s="14">
        <f>+B52/C52</f>
        <v>0.62897877984084882</v>
      </c>
      <c r="G52" s="2" t="s">
        <v>50</v>
      </c>
      <c r="I52" s="13">
        <v>446766.25</v>
      </c>
      <c r="J52" s="13">
        <v>465573</v>
      </c>
      <c r="K52" s="13">
        <f>I52-J52</f>
        <v>-18806.75</v>
      </c>
      <c r="L52" s="14">
        <f>+I52/J52</f>
        <v>0.95960515321979578</v>
      </c>
      <c r="M52" s="14"/>
      <c r="N52" s="13">
        <v>465573.12</v>
      </c>
      <c r="O52" s="13">
        <f>I52-N52</f>
        <v>-18806.869999999995</v>
      </c>
      <c r="P52" s="14">
        <f>+I52/N52</f>
        <v>0.9596049058846009</v>
      </c>
      <c r="R52" s="43"/>
    </row>
    <row r="53" spans="1:18" x14ac:dyDescent="0.2">
      <c r="B53" s="13">
        <f>12734.81-5998</f>
        <v>6736.8099999999995</v>
      </c>
      <c r="C53" s="13">
        <f>11326-8234</f>
        <v>3092</v>
      </c>
      <c r="D53" s="13">
        <f>B53-C53</f>
        <v>3644.8099999999995</v>
      </c>
      <c r="E53" s="14">
        <f>+B53/C53</f>
        <v>2.178787192755498</v>
      </c>
      <c r="G53" s="2" t="s">
        <v>24</v>
      </c>
      <c r="I53" s="13">
        <f>514355.77-475134</f>
        <v>39221.770000000019</v>
      </c>
      <c r="J53" s="13">
        <f>528137-494047</f>
        <v>34090</v>
      </c>
      <c r="K53" s="13">
        <f>I53-J53</f>
        <v>5131.7700000000186</v>
      </c>
      <c r="L53" s="14">
        <f>+I53/J53</f>
        <v>1.1505359342915817</v>
      </c>
      <c r="M53" s="14"/>
      <c r="N53" s="13">
        <f>528137.12-494047</f>
        <v>34090.119999999995</v>
      </c>
      <c r="O53" s="13">
        <f>I53-N53</f>
        <v>5131.6500000000233</v>
      </c>
      <c r="P53" s="14">
        <f>+I53/N53</f>
        <v>1.1505318843113497</v>
      </c>
      <c r="R53" s="43"/>
    </row>
    <row r="54" spans="1:18" s="4" customFormat="1" x14ac:dyDescent="0.2">
      <c r="B54" s="22">
        <f>B53+B52+B51</f>
        <v>12734.93</v>
      </c>
      <c r="C54" s="22">
        <f>C53+C52+C51</f>
        <v>11326</v>
      </c>
      <c r="D54" s="22">
        <f>+B54-C54</f>
        <v>1408.9300000000003</v>
      </c>
      <c r="E54" s="14">
        <f>+B54/C54</f>
        <v>1.124397845664842</v>
      </c>
      <c r="G54" s="4" t="s">
        <v>25</v>
      </c>
      <c r="I54" s="22">
        <f>I53+I52+I51</f>
        <v>514355.68</v>
      </c>
      <c r="J54" s="22">
        <f>J53+J52+J51</f>
        <v>528137</v>
      </c>
      <c r="K54" s="22">
        <f>K53+K52+K51</f>
        <v>-13781.319999999982</v>
      </c>
      <c r="L54" s="14">
        <f>+I54/J54</f>
        <v>0.97390578580936382</v>
      </c>
      <c r="M54" s="14"/>
      <c r="N54" s="22">
        <f>N53+N52+N51</f>
        <v>528137.24</v>
      </c>
      <c r="O54" s="22">
        <f>O53+O52+O51</f>
        <v>-13781.559999999972</v>
      </c>
      <c r="P54" s="14">
        <f>+I54/N54</f>
        <v>0.97390534323995026</v>
      </c>
      <c r="R54" s="43"/>
    </row>
    <row r="55" spans="1:18" s="1" customFormat="1" ht="14.25" x14ac:dyDescent="0.2">
      <c r="A55" s="2"/>
      <c r="B55" s="3"/>
      <c r="C55" s="3"/>
      <c r="D55" s="3"/>
      <c r="E55" s="14"/>
      <c r="F55" s="2"/>
      <c r="G55" s="2"/>
      <c r="H55" s="2"/>
      <c r="I55" s="3"/>
      <c r="J55" s="3"/>
      <c r="K55" s="3"/>
      <c r="L55" s="17"/>
      <c r="R55" s="43"/>
    </row>
    <row r="56" spans="1:18" x14ac:dyDescent="0.2">
      <c r="B56" s="15">
        <f>+B54+B49+B47+B45+B40+B35+B29+B24</f>
        <v>399455.48</v>
      </c>
      <c r="C56" s="15">
        <f>+C54+C49+C47+C45+C40+C35+C29+C24</f>
        <v>398529</v>
      </c>
      <c r="D56" s="15">
        <f>B56-C56</f>
        <v>926.47999999998137</v>
      </c>
      <c r="E56" s="14">
        <f>+B56/C56</f>
        <v>1.0023247492654235</v>
      </c>
      <c r="F56" s="4"/>
      <c r="G56" s="16" t="s">
        <v>8</v>
      </c>
      <c r="H56" s="4"/>
      <c r="I56" s="15">
        <f>+I54+I49+I47+I45+I40+I35+I29+I24</f>
        <v>5521674.3700000001</v>
      </c>
      <c r="J56" s="15">
        <f>+J54+J49+J47+J45+J40+J35+J29+J24</f>
        <v>5619338</v>
      </c>
      <c r="K56" s="15">
        <f>I56-J56</f>
        <v>-97663.629999999888</v>
      </c>
      <c r="L56" s="14">
        <f>+I56/J56</f>
        <v>0.98262008265030509</v>
      </c>
      <c r="M56" s="33"/>
      <c r="N56" s="15">
        <f>+N54+N49+N47+N45+N40+N35+N29+N24</f>
        <v>5613338.8399999999</v>
      </c>
      <c r="O56" s="15">
        <f>I56-N56</f>
        <v>-91664.469999999739</v>
      </c>
      <c r="P56" s="14">
        <f>+I56/N56</f>
        <v>0.98367024107883716</v>
      </c>
      <c r="R56" s="43"/>
    </row>
    <row r="57" spans="1:18" s="1" customFormat="1" ht="14.25" x14ac:dyDescent="0.2">
      <c r="A57" s="2"/>
      <c r="B57" s="3"/>
      <c r="C57" s="3"/>
      <c r="D57" s="3"/>
      <c r="E57" s="14"/>
      <c r="F57" s="2"/>
      <c r="G57" s="2"/>
      <c r="H57" s="2"/>
      <c r="I57" s="3"/>
      <c r="J57" s="3"/>
      <c r="K57" s="3"/>
      <c r="L57" s="17"/>
      <c r="R57" s="43"/>
    </row>
    <row r="58" spans="1:18" x14ac:dyDescent="0.2">
      <c r="B58" s="15">
        <f>+B18-B56</f>
        <v>18322.934999999998</v>
      </c>
      <c r="C58" s="15">
        <f>+C18-C56</f>
        <v>-178984</v>
      </c>
      <c r="D58" s="31"/>
      <c r="E58" s="24"/>
      <c r="F58" s="4"/>
      <c r="G58" s="16" t="s">
        <v>55</v>
      </c>
      <c r="H58" s="4"/>
      <c r="I58" s="15">
        <f>+I18-I56</f>
        <v>950555.72439999878</v>
      </c>
      <c r="J58" s="15">
        <f>+J18-J56</f>
        <v>47662</v>
      </c>
      <c r="K58" s="23"/>
      <c r="L58" s="34"/>
      <c r="M58" s="34"/>
      <c r="N58" s="15">
        <f>+N18-N56</f>
        <v>53661.160000000149</v>
      </c>
      <c r="O58" s="23"/>
      <c r="P58" s="34"/>
    </row>
    <row r="60" spans="1:18" s="25" customFormat="1" ht="14.25" hidden="1" x14ac:dyDescent="0.2">
      <c r="A60" s="1"/>
      <c r="D60" s="26" t="s">
        <v>35</v>
      </c>
      <c r="F60" s="49" t="s">
        <v>42</v>
      </c>
      <c r="G60" s="49"/>
      <c r="H60" s="49"/>
      <c r="I60" s="49"/>
      <c r="J60" s="49"/>
      <c r="K60" s="49"/>
      <c r="L60" s="49"/>
      <c r="M60" s="49"/>
      <c r="N60" s="49"/>
    </row>
    <row r="61" spans="1:18" s="25" customFormat="1" ht="11.25" hidden="1" x14ac:dyDescent="0.2">
      <c r="C61" s="26"/>
      <c r="G61" s="27" t="s">
        <v>43</v>
      </c>
      <c r="I61" s="28">
        <f>-I6*0.03</f>
        <v>-33381.585599999999</v>
      </c>
      <c r="J61" s="28">
        <f>-J6*0.03</f>
        <v>-21000</v>
      </c>
      <c r="L61" s="25" t="s">
        <v>43</v>
      </c>
      <c r="N61" s="28">
        <v>-23100</v>
      </c>
    </row>
    <row r="62" spans="1:18" s="25" customFormat="1" ht="11.25" hidden="1" x14ac:dyDescent="0.2">
      <c r="B62" s="26"/>
      <c r="C62" s="26"/>
      <c r="D62" s="26"/>
      <c r="G62" s="27" t="s">
        <v>47</v>
      </c>
      <c r="I62" s="28">
        <f>-0.2*I11</f>
        <v>-137133.85400000002</v>
      </c>
      <c r="J62" s="28">
        <f>-0.2*J11</f>
        <v>-120000</v>
      </c>
      <c r="L62" s="25" t="s">
        <v>47</v>
      </c>
      <c r="N62" s="28">
        <v>-38500</v>
      </c>
    </row>
    <row r="63" spans="1:18" s="25" customFormat="1" ht="11.25" hidden="1" x14ac:dyDescent="0.2">
      <c r="B63" s="26"/>
      <c r="C63" s="26"/>
      <c r="D63" s="26"/>
      <c r="G63" s="27" t="s">
        <v>48</v>
      </c>
      <c r="I63" s="28">
        <f>995729*-0.05</f>
        <v>-49786.450000000004</v>
      </c>
      <c r="J63" s="28">
        <f>-0.05*(755000)</f>
        <v>-37750</v>
      </c>
      <c r="L63" s="25" t="s">
        <v>48</v>
      </c>
      <c r="N63" s="28">
        <v>-37750</v>
      </c>
    </row>
    <row r="64" spans="1:18" s="25" customFormat="1" ht="11.25" hidden="1" x14ac:dyDescent="0.2">
      <c r="B64" s="26"/>
      <c r="C64" s="26"/>
      <c r="D64" s="26"/>
      <c r="F64" s="37" t="s">
        <v>44</v>
      </c>
      <c r="G64" s="38"/>
      <c r="H64" s="37"/>
      <c r="I64" s="39">
        <f>-SUM(I61:I63)</f>
        <v>220301.88960000002</v>
      </c>
      <c r="J64" s="39">
        <f>-SUM(J61:J63)</f>
        <v>178750</v>
      </c>
      <c r="K64" s="37"/>
      <c r="L64" s="37"/>
      <c r="M64" s="37"/>
      <c r="N64" s="39">
        <v>99350</v>
      </c>
    </row>
    <row r="65" spans="1:15" s="25" customFormat="1" ht="11.25" hidden="1" x14ac:dyDescent="0.2">
      <c r="B65" s="26"/>
      <c r="C65" s="26"/>
      <c r="D65" s="26"/>
      <c r="G65" s="27"/>
      <c r="I65" s="28"/>
      <c r="J65" s="28"/>
    </row>
    <row r="66" spans="1:15" s="1" customFormat="1" ht="14.25" hidden="1" x14ac:dyDescent="0.2">
      <c r="A66" s="25"/>
      <c r="B66" s="25"/>
      <c r="C66" s="25"/>
      <c r="D66" s="26"/>
      <c r="E66" s="25"/>
      <c r="F66" s="49" t="s">
        <v>45</v>
      </c>
      <c r="G66" s="49"/>
      <c r="H66" s="49"/>
      <c r="I66" s="49"/>
      <c r="J66" s="49"/>
      <c r="K66" s="49"/>
      <c r="L66" s="49"/>
      <c r="M66" s="49"/>
      <c r="N66" s="49"/>
    </row>
    <row r="67" spans="1:15" s="1" customFormat="1" ht="14.25" hidden="1" x14ac:dyDescent="0.2">
      <c r="A67" s="25"/>
      <c r="B67" s="25"/>
      <c r="C67" s="25"/>
      <c r="D67" s="36"/>
      <c r="E67" s="25"/>
      <c r="F67" s="25"/>
      <c r="G67" s="29" t="s">
        <v>41</v>
      </c>
      <c r="H67" s="25"/>
      <c r="I67" s="28">
        <f>-I8*0.5</f>
        <v>-238877.405</v>
      </c>
      <c r="J67" s="28">
        <f>-J8*0.5</f>
        <v>-237500</v>
      </c>
      <c r="K67" s="25"/>
      <c r="L67" s="44" t="s">
        <v>41</v>
      </c>
      <c r="N67" s="28">
        <v>-50000</v>
      </c>
    </row>
    <row r="68" spans="1:15" s="25" customFormat="1" ht="11.25" hidden="1" x14ac:dyDescent="0.2">
      <c r="F68" s="37" t="s">
        <v>46</v>
      </c>
      <c r="G68" s="37"/>
      <c r="H68" s="37"/>
      <c r="I68" s="40">
        <f>-I67</f>
        <v>238877.405</v>
      </c>
      <c r="J68" s="40">
        <f>-J67</f>
        <v>237500</v>
      </c>
      <c r="K68" s="37"/>
      <c r="L68" s="37"/>
      <c r="M68" s="37"/>
      <c r="N68" s="40">
        <v>50000</v>
      </c>
    </row>
    <row r="69" spans="1:15" s="25" customFormat="1" ht="11.25" hidden="1" x14ac:dyDescent="0.2">
      <c r="D69" s="26"/>
      <c r="G69" s="27"/>
      <c r="L69" s="35"/>
    </row>
    <row r="70" spans="1:15" s="25" customFormat="1" ht="14.25" hidden="1" x14ac:dyDescent="0.2">
      <c r="D70" s="26"/>
      <c r="G70" s="1"/>
      <c r="K70" s="28"/>
      <c r="N70" s="1"/>
    </row>
    <row r="71" spans="1:15" s="25" customFormat="1" hidden="1" x14ac:dyDescent="0.2">
      <c r="D71" s="26"/>
      <c r="G71" s="16" t="s">
        <v>39</v>
      </c>
      <c r="I71" s="15">
        <f>+I58-I64-I68</f>
        <v>491376.42979999876</v>
      </c>
      <c r="J71" s="15">
        <f>+J58-J64-J68</f>
        <v>-368588</v>
      </c>
      <c r="K71" s="28"/>
      <c r="N71" s="15">
        <v>-114634</v>
      </c>
    </row>
    <row r="72" spans="1:15" s="25" customFormat="1" ht="14.25" hidden="1" x14ac:dyDescent="0.2">
      <c r="A72" s="1"/>
      <c r="B72" s="1"/>
      <c r="C72" s="1"/>
      <c r="D72" s="30"/>
      <c r="E72" s="1"/>
      <c r="F72" s="1"/>
      <c r="G72" s="1"/>
      <c r="H72" s="1"/>
      <c r="I72" s="1"/>
      <c r="J72" s="1"/>
      <c r="K72" s="28"/>
    </row>
    <row r="73" spans="1:15" ht="14.25" x14ac:dyDescent="0.2">
      <c r="A73" s="1"/>
      <c r="B73" s="1"/>
      <c r="C73" s="1"/>
      <c r="D73" s="30"/>
      <c r="E73" s="1"/>
      <c r="F73" s="1"/>
      <c r="H73" s="1"/>
      <c r="I73" s="41"/>
      <c r="J73" s="1"/>
      <c r="N73" s="45"/>
    </row>
    <row r="75" spans="1:15" x14ac:dyDescent="0.2">
      <c r="B75" s="46">
        <f>+F75*B6</f>
        <v>4011.4349999999999</v>
      </c>
      <c r="C75" s="46">
        <f>+F75*C6</f>
        <v>2730</v>
      </c>
      <c r="D75" s="2"/>
      <c r="F75" s="42">
        <v>0.03</v>
      </c>
      <c r="G75" s="2" t="s">
        <v>59</v>
      </c>
      <c r="H75" s="42"/>
      <c r="I75" s="46">
        <f>+F75*I6</f>
        <v>33381.585599999999</v>
      </c>
      <c r="J75" s="46">
        <f>+F75*J6</f>
        <v>21000</v>
      </c>
      <c r="K75" s="2"/>
      <c r="N75" s="46">
        <f>+F75*N6</f>
        <v>21000</v>
      </c>
      <c r="O75" s="46"/>
    </row>
    <row r="76" spans="1:15" x14ac:dyDescent="0.2">
      <c r="B76" s="46">
        <f>+B6*F76</f>
        <v>6685.7250000000004</v>
      </c>
      <c r="C76" s="46">
        <f>+F76*C6</f>
        <v>4550</v>
      </c>
      <c r="D76" s="2"/>
      <c r="F76" s="42">
        <v>0.05</v>
      </c>
      <c r="G76" s="2" t="s">
        <v>60</v>
      </c>
      <c r="H76" s="42"/>
      <c r="I76" s="46">
        <f>+F76*I6</f>
        <v>55635.976000000002</v>
      </c>
      <c r="J76" s="46">
        <f>+F76*J6</f>
        <v>35000</v>
      </c>
      <c r="K76" s="2"/>
      <c r="N76" s="46">
        <f>+F76*N6</f>
        <v>35000</v>
      </c>
      <c r="O76" s="46"/>
    </row>
    <row r="77" spans="1:15" x14ac:dyDescent="0.2">
      <c r="B77" s="46"/>
      <c r="C77" s="46"/>
      <c r="D77" s="2"/>
      <c r="F77" s="42">
        <v>0.05</v>
      </c>
      <c r="G77" s="2" t="s">
        <v>58</v>
      </c>
      <c r="H77" s="42"/>
      <c r="I77" s="46">
        <f>(830446.5)*F77</f>
        <v>41522.325000000004</v>
      </c>
      <c r="J77" s="46">
        <f>(830000)*F77</f>
        <v>41500</v>
      </c>
      <c r="K77" s="2"/>
      <c r="N77" s="46">
        <f>830000*F77</f>
        <v>41500</v>
      </c>
      <c r="O77" s="46"/>
    </row>
    <row r="78" spans="1:15" x14ac:dyDescent="0.2">
      <c r="B78" s="46">
        <f>+F78*B11</f>
        <v>4293.1400000000003</v>
      </c>
      <c r="C78" s="46">
        <f>+F78*C11</f>
        <v>10580</v>
      </c>
      <c r="D78" s="2"/>
      <c r="F78" s="42">
        <v>0.2</v>
      </c>
      <c r="G78" s="2" t="s">
        <v>56</v>
      </c>
      <c r="H78" s="42"/>
      <c r="I78" s="46">
        <f>+F78*I11</f>
        <v>137133.85400000002</v>
      </c>
      <c r="J78" s="46">
        <f>+F78*J11</f>
        <v>120000</v>
      </c>
      <c r="K78" s="2"/>
      <c r="N78" s="46">
        <f>+F78*N11</f>
        <v>120000</v>
      </c>
      <c r="O78" s="46"/>
    </row>
    <row r="79" spans="1:15" x14ac:dyDescent="0.2">
      <c r="B79" s="46">
        <f>+F79*B8</f>
        <v>9920.9150000000009</v>
      </c>
      <c r="C79" s="46">
        <f>+F79*C8</f>
        <v>2375</v>
      </c>
      <c r="D79" s="2"/>
      <c r="F79" s="42">
        <v>0.5</v>
      </c>
      <c r="G79" s="2" t="s">
        <v>57</v>
      </c>
      <c r="H79" s="42"/>
      <c r="I79" s="46">
        <f>+F79*I8</f>
        <v>238877.405</v>
      </c>
      <c r="J79" s="46">
        <f>+F79*J8</f>
        <v>237500</v>
      </c>
      <c r="K79" s="2"/>
      <c r="N79" s="46">
        <f>+F79*N8</f>
        <v>237500</v>
      </c>
      <c r="O79" s="46"/>
    </row>
    <row r="80" spans="1:15" x14ac:dyDescent="0.2">
      <c r="B80" s="46"/>
      <c r="C80" s="46"/>
      <c r="D80" s="2"/>
      <c r="I80" s="46"/>
      <c r="J80" s="46"/>
      <c r="K80" s="2"/>
      <c r="N80" s="46"/>
      <c r="O80" s="46"/>
    </row>
    <row r="81" spans="2:15" x14ac:dyDescent="0.2">
      <c r="B81" s="46">
        <f>SUM(B75:B80)</f>
        <v>24911.215</v>
      </c>
      <c r="C81" s="46">
        <f>SUM(C75:C80)</f>
        <v>20235</v>
      </c>
      <c r="D81" s="2"/>
      <c r="I81" s="46">
        <f>SUM(I75:I80)</f>
        <v>506551.14560000005</v>
      </c>
      <c r="J81" s="46">
        <f>SUM(J75:J80)</f>
        <v>455000</v>
      </c>
      <c r="K81" s="2"/>
      <c r="N81" s="46">
        <f>SUM(N75:N80)</f>
        <v>455000</v>
      </c>
      <c r="O81" s="46"/>
    </row>
    <row r="86" spans="2:15" x14ac:dyDescent="0.2">
      <c r="B86" s="43"/>
      <c r="C86" s="43"/>
      <c r="I86" s="43"/>
      <c r="J86" s="43"/>
      <c r="N86" s="43"/>
    </row>
  </sheetData>
  <mergeCells count="6">
    <mergeCell ref="F60:N60"/>
    <mergeCell ref="F66:N66"/>
    <mergeCell ref="I1:P1"/>
    <mergeCell ref="B1:G1"/>
    <mergeCell ref="B3:E3"/>
    <mergeCell ref="I3:P3"/>
  </mergeCells>
  <printOptions horizontalCentered="1"/>
  <pageMargins left="0" right="0" top="0" bottom="0" header="0.05" footer="0.05"/>
  <pageSetup paperSize="3" scale="70" orientation="landscape" r:id="rId1"/>
  <headerFooter>
    <oddHeader>&amp;L&amp;8&amp;D
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 Summary - Operating</vt:lpstr>
      <vt:lpstr>'Fin Summary - Operating'!Print_Area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Sheena Hall</cp:lastModifiedBy>
  <cp:lastPrinted>2023-12-07T21:09:35Z</cp:lastPrinted>
  <dcterms:created xsi:type="dcterms:W3CDTF">2012-11-05T20:18:57Z</dcterms:created>
  <dcterms:modified xsi:type="dcterms:W3CDTF">2025-04-17T23:32:37Z</dcterms:modified>
</cp:coreProperties>
</file>