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Sheena/Sheena/FY26 Fianncials/1 - April 2025/"/>
    </mc:Choice>
  </mc:AlternateContent>
  <xr:revisionPtr revIDLastSave="16" documentId="8_{158766A6-5F40-4199-9E96-9256792F9527}" xr6:coauthVersionLast="47" xr6:coauthVersionMax="47" xr10:uidLastSave="{60D95E1A-B062-4F18-94C9-02FD94B4465D}"/>
  <bookViews>
    <workbookView xWindow="28680" yWindow="-120" windowWidth="29040" windowHeight="15840" activeTab="2" xr2:uid="{C68F0406-22B3-4D10-97B4-C68BE80D0FCD}"/>
  </bookViews>
  <sheets>
    <sheet name="Fin Summary - Operating" sheetId="3" r:id="rId1"/>
    <sheet name="Fin Summary - Full Data" sheetId="2" r:id="rId2"/>
    <sheet name="Full Data" sheetId="1" r:id="rId3"/>
    <sheet name="Fund Balances" sheetId="4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Full Data'!$A$1:$P$79</definedName>
    <definedName name="_xlnm.Print_Area" localSheetId="0">'Fin Summary - Operating'!$A$1:$P$79</definedName>
    <definedName name="_xlnm.Print_Titles" localSheetId="2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4" l="1"/>
  <c r="O37" i="4" s="1"/>
  <c r="R37" i="4" s="1"/>
  <c r="O38" i="4" s="1"/>
  <c r="R38" i="4" s="1"/>
  <c r="O39" i="4" s="1"/>
  <c r="R39" i="4" s="1"/>
  <c r="O40" i="4" s="1"/>
  <c r="R40" i="4" s="1"/>
  <c r="O41" i="4" s="1"/>
  <c r="R41" i="4" s="1"/>
  <c r="O42" i="4" s="1"/>
  <c r="R42" i="4" s="1"/>
  <c r="O43" i="4" s="1"/>
  <c r="R43" i="4" s="1"/>
  <c r="O44" i="4" s="1"/>
  <c r="R44" i="4" s="1"/>
  <c r="O45" i="4" s="1"/>
  <c r="R45" i="4" s="1"/>
  <c r="O46" i="4" s="1"/>
  <c r="R46" i="4" s="1"/>
  <c r="O36" i="4"/>
  <c r="R35" i="4"/>
  <c r="K35" i="4"/>
  <c r="H36" i="4" s="1"/>
  <c r="K36" i="4" s="1"/>
  <c r="H37" i="4" s="1"/>
  <c r="K37" i="4" s="1"/>
  <c r="H38" i="4" s="1"/>
  <c r="K38" i="4" s="1"/>
  <c r="H39" i="4" s="1"/>
  <c r="K39" i="4" s="1"/>
  <c r="H40" i="4" s="1"/>
  <c r="K40" i="4" s="1"/>
  <c r="H41" i="4" s="1"/>
  <c r="K41" i="4" s="1"/>
  <c r="H42" i="4" s="1"/>
  <c r="K42" i="4" s="1"/>
  <c r="H43" i="4" s="1"/>
  <c r="K43" i="4" s="1"/>
  <c r="H44" i="4" s="1"/>
  <c r="K44" i="4" s="1"/>
  <c r="H45" i="4" s="1"/>
  <c r="K45" i="4" s="1"/>
  <c r="H46" i="4" s="1"/>
  <c r="K46" i="4" s="1"/>
  <c r="E35" i="4"/>
  <c r="B36" i="4" s="1"/>
  <c r="E36" i="4" s="1"/>
  <c r="B37" i="4" s="1"/>
  <c r="E37" i="4" s="1"/>
  <c r="B38" i="4" s="1"/>
  <c r="E38" i="4" s="1"/>
  <c r="B39" i="4" s="1"/>
  <c r="E39" i="4" s="1"/>
  <c r="B40" i="4" s="1"/>
  <c r="E40" i="4" s="1"/>
  <c r="B41" i="4" s="1"/>
  <c r="E41" i="4" s="1"/>
  <c r="B42" i="4" s="1"/>
  <c r="E42" i="4" s="1"/>
  <c r="B43" i="4" s="1"/>
  <c r="E43" i="4" s="1"/>
  <c r="B44" i="4" s="1"/>
  <c r="E44" i="4" s="1"/>
  <c r="B45" i="4" s="1"/>
  <c r="E45" i="4" s="1"/>
  <c r="B46" i="4" s="1"/>
  <c r="E46" i="4" s="1"/>
  <c r="O20" i="4"/>
  <c r="R20" i="4" s="1"/>
  <c r="O21" i="4" s="1"/>
  <c r="R21" i="4" s="1"/>
  <c r="O22" i="4" s="1"/>
  <c r="R22" i="4" s="1"/>
  <c r="O23" i="4" s="1"/>
  <c r="R23" i="4" s="1"/>
  <c r="O24" i="4" s="1"/>
  <c r="R24" i="4" s="1"/>
  <c r="O25" i="4" s="1"/>
  <c r="R25" i="4" s="1"/>
  <c r="O26" i="4" s="1"/>
  <c r="R26" i="4" s="1"/>
  <c r="O27" i="4" s="1"/>
  <c r="R27" i="4" s="1"/>
  <c r="O28" i="4" s="1"/>
  <c r="R28" i="4" s="1"/>
  <c r="O29" i="4" s="1"/>
  <c r="R29" i="4" s="1"/>
  <c r="O30" i="4" s="1"/>
  <c r="R30" i="4" s="1"/>
  <c r="H20" i="4"/>
  <c r="K20" i="4" s="1"/>
  <c r="H21" i="4" s="1"/>
  <c r="K21" i="4" s="1"/>
  <c r="H22" i="4" s="1"/>
  <c r="K22" i="4" s="1"/>
  <c r="H23" i="4" s="1"/>
  <c r="K23" i="4" s="1"/>
  <c r="H24" i="4" s="1"/>
  <c r="K24" i="4" s="1"/>
  <c r="H25" i="4" s="1"/>
  <c r="K25" i="4" s="1"/>
  <c r="H26" i="4" s="1"/>
  <c r="K26" i="4" s="1"/>
  <c r="H27" i="4" s="1"/>
  <c r="K27" i="4" s="1"/>
  <c r="H28" i="4" s="1"/>
  <c r="K28" i="4" s="1"/>
  <c r="H29" i="4" s="1"/>
  <c r="K29" i="4" s="1"/>
  <c r="H30" i="4" s="1"/>
  <c r="K30" i="4" s="1"/>
  <c r="B20" i="4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8" i="4" s="1"/>
  <c r="E28" i="4" s="1"/>
  <c r="B29" i="4" s="1"/>
  <c r="E29" i="4" s="1"/>
  <c r="B30" i="4" s="1"/>
  <c r="E30" i="4" s="1"/>
  <c r="R19" i="4"/>
  <c r="K19" i="4"/>
  <c r="E19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B4" i="4"/>
  <c r="E4" i="4" s="1"/>
  <c r="B5" i="4" s="1"/>
  <c r="E5" i="4" s="1"/>
  <c r="B6" i="4" s="1"/>
  <c r="E6" i="4" s="1"/>
  <c r="B7" i="4" s="1"/>
  <c r="E7" i="4" s="1"/>
  <c r="B8" i="4" s="1"/>
  <c r="E8" i="4" s="1"/>
  <c r="B9" i="4" s="1"/>
  <c r="E9" i="4" s="1"/>
  <c r="B10" i="4" s="1"/>
  <c r="E10" i="4" s="1"/>
  <c r="B11" i="4" s="1"/>
  <c r="E11" i="4" s="1"/>
  <c r="B12" i="4" s="1"/>
  <c r="E12" i="4" s="1"/>
  <c r="B13" i="4" s="1"/>
  <c r="E13" i="4" s="1"/>
  <c r="B14" i="4" s="1"/>
  <c r="E14" i="4" s="1"/>
  <c r="P2" i="4" s="1"/>
  <c r="Q2" i="4" s="1"/>
  <c r="O3" i="4"/>
  <c r="J3" i="4"/>
  <c r="I3" i="4"/>
  <c r="K3" i="4" s="1"/>
  <c r="H4" i="4" s="1"/>
  <c r="K4" i="4" s="1"/>
  <c r="H5" i="4" s="1"/>
  <c r="K5" i="4" s="1"/>
  <c r="H6" i="4" s="1"/>
  <c r="K6" i="4" s="1"/>
  <c r="H7" i="4" s="1"/>
  <c r="K7" i="4" s="1"/>
  <c r="H8" i="4" s="1"/>
  <c r="K8" i="4" s="1"/>
  <c r="H9" i="4" s="1"/>
  <c r="K9" i="4" s="1"/>
  <c r="H10" i="4" s="1"/>
  <c r="K10" i="4" s="1"/>
  <c r="H11" i="4" s="1"/>
  <c r="K11" i="4" s="1"/>
  <c r="H12" i="4" s="1"/>
  <c r="K12" i="4" s="1"/>
  <c r="H13" i="4" s="1"/>
  <c r="K13" i="4" s="1"/>
  <c r="H14" i="4" s="1"/>
  <c r="K14" i="4" s="1"/>
  <c r="P3" i="4" s="1"/>
  <c r="Q3" i="4" s="1"/>
  <c r="E3" i="4"/>
  <c r="O2" i="4"/>
  <c r="N77" i="3" l="1"/>
  <c r="J77" i="3"/>
  <c r="I77" i="3"/>
  <c r="C77" i="3"/>
  <c r="B77" i="3"/>
  <c r="N76" i="3"/>
  <c r="J76" i="3"/>
  <c r="I76" i="3"/>
  <c r="C76" i="3"/>
  <c r="B76" i="3"/>
  <c r="N75" i="3"/>
  <c r="N79" i="3" s="1"/>
  <c r="N16" i="3" s="1"/>
  <c r="J75" i="3"/>
  <c r="J79" i="3" s="1"/>
  <c r="J16" i="3" s="1"/>
  <c r="I75" i="3"/>
  <c r="I79" i="3" s="1"/>
  <c r="I16" i="3" s="1"/>
  <c r="C75" i="3"/>
  <c r="C79" i="3" s="1"/>
  <c r="C16" i="3" s="1"/>
  <c r="B75" i="3"/>
  <c r="B79" i="3" s="1"/>
  <c r="B16" i="3" s="1"/>
  <c r="J68" i="3"/>
  <c r="I68" i="3"/>
  <c r="J67" i="3"/>
  <c r="I67" i="3"/>
  <c r="J63" i="3"/>
  <c r="I63" i="3"/>
  <c r="J62" i="3"/>
  <c r="I62" i="3"/>
  <c r="J61" i="3"/>
  <c r="J64" i="3" s="1"/>
  <c r="I61" i="3"/>
  <c r="I64" i="3" s="1"/>
  <c r="L54" i="3"/>
  <c r="J54" i="3"/>
  <c r="J56" i="3" s="1"/>
  <c r="I54" i="3"/>
  <c r="C54" i="3"/>
  <c r="C56" i="3" s="1"/>
  <c r="B54" i="3"/>
  <c r="B56" i="3" s="1"/>
  <c r="N53" i="3"/>
  <c r="P53" i="3" s="1"/>
  <c r="L53" i="3"/>
  <c r="K53" i="3"/>
  <c r="K54" i="3" s="1"/>
  <c r="E53" i="3"/>
  <c r="D53" i="3"/>
  <c r="P52" i="3"/>
  <c r="O52" i="3"/>
  <c r="L52" i="3"/>
  <c r="K52" i="3"/>
  <c r="E52" i="3"/>
  <c r="D52" i="3"/>
  <c r="P51" i="3"/>
  <c r="O51" i="3"/>
  <c r="L51" i="3"/>
  <c r="K51" i="3"/>
  <c r="E51" i="3"/>
  <c r="D51" i="3"/>
  <c r="P49" i="3"/>
  <c r="O49" i="3"/>
  <c r="L49" i="3"/>
  <c r="K49" i="3"/>
  <c r="E49" i="3"/>
  <c r="D49" i="3"/>
  <c r="P47" i="3"/>
  <c r="O47" i="3"/>
  <c r="L47" i="3"/>
  <c r="K47" i="3"/>
  <c r="E47" i="3"/>
  <c r="D47" i="3"/>
  <c r="N45" i="3"/>
  <c r="P45" i="3" s="1"/>
  <c r="L45" i="3"/>
  <c r="J45" i="3"/>
  <c r="I45" i="3"/>
  <c r="C45" i="3"/>
  <c r="B45" i="3"/>
  <c r="E45" i="3" s="1"/>
  <c r="P44" i="3"/>
  <c r="N44" i="3"/>
  <c r="O44" i="3" s="1"/>
  <c r="L44" i="3"/>
  <c r="K44" i="3"/>
  <c r="E44" i="3"/>
  <c r="D44" i="3"/>
  <c r="P43" i="3"/>
  <c r="O43" i="3"/>
  <c r="L43" i="3"/>
  <c r="K43" i="3"/>
  <c r="E43" i="3"/>
  <c r="D43" i="3"/>
  <c r="P42" i="3"/>
  <c r="O42" i="3"/>
  <c r="O45" i="3" s="1"/>
  <c r="L42" i="3"/>
  <c r="K42" i="3"/>
  <c r="K45" i="3" s="1"/>
  <c r="E42" i="3"/>
  <c r="D42" i="3"/>
  <c r="L40" i="3"/>
  <c r="J40" i="3"/>
  <c r="I40" i="3"/>
  <c r="D40" i="3"/>
  <c r="C40" i="3"/>
  <c r="E40" i="3" s="1"/>
  <c r="B40" i="3"/>
  <c r="N39" i="3"/>
  <c r="P39" i="3" s="1"/>
  <c r="L39" i="3"/>
  <c r="K39" i="3"/>
  <c r="E39" i="3"/>
  <c r="D39" i="3"/>
  <c r="P38" i="3"/>
  <c r="O38" i="3"/>
  <c r="L38" i="3"/>
  <c r="K38" i="3"/>
  <c r="D38" i="3"/>
  <c r="P37" i="3"/>
  <c r="O37" i="3"/>
  <c r="L37" i="3"/>
  <c r="K37" i="3"/>
  <c r="K40" i="3" s="1"/>
  <c r="E37" i="3"/>
  <c r="D37" i="3"/>
  <c r="P35" i="3"/>
  <c r="N35" i="3"/>
  <c r="L35" i="3"/>
  <c r="K35" i="3"/>
  <c r="J35" i="3"/>
  <c r="I35" i="3"/>
  <c r="C35" i="3"/>
  <c r="B35" i="3"/>
  <c r="E35" i="3" s="1"/>
  <c r="O34" i="3"/>
  <c r="N34" i="3"/>
  <c r="P34" i="3" s="1"/>
  <c r="L34" i="3"/>
  <c r="K34" i="3"/>
  <c r="E34" i="3"/>
  <c r="D34" i="3"/>
  <c r="P33" i="3"/>
  <c r="O33" i="3"/>
  <c r="L33" i="3"/>
  <c r="K33" i="3"/>
  <c r="E33" i="3"/>
  <c r="D33" i="3"/>
  <c r="P32" i="3"/>
  <c r="O32" i="3"/>
  <c r="L32" i="3"/>
  <c r="K32" i="3"/>
  <c r="E32" i="3"/>
  <c r="D32" i="3"/>
  <c r="P31" i="3"/>
  <c r="O31" i="3"/>
  <c r="O35" i="3" s="1"/>
  <c r="L31" i="3"/>
  <c r="K31" i="3"/>
  <c r="E31" i="3"/>
  <c r="D31" i="3"/>
  <c r="P29" i="3"/>
  <c r="N29" i="3"/>
  <c r="L29" i="3"/>
  <c r="K29" i="3"/>
  <c r="J29" i="3"/>
  <c r="I29" i="3"/>
  <c r="C29" i="3"/>
  <c r="B29" i="3"/>
  <c r="E29" i="3" s="1"/>
  <c r="O28" i="3"/>
  <c r="N28" i="3"/>
  <c r="P28" i="3" s="1"/>
  <c r="L28" i="3"/>
  <c r="K28" i="3"/>
  <c r="E28" i="3"/>
  <c r="D28" i="3"/>
  <c r="P27" i="3"/>
  <c r="O27" i="3"/>
  <c r="L27" i="3"/>
  <c r="K27" i="3"/>
  <c r="E27" i="3"/>
  <c r="D27" i="3"/>
  <c r="P26" i="3"/>
  <c r="O26" i="3"/>
  <c r="O29" i="3" s="1"/>
  <c r="L26" i="3"/>
  <c r="K26" i="3"/>
  <c r="E26" i="3"/>
  <c r="D26" i="3"/>
  <c r="N24" i="3"/>
  <c r="K24" i="3"/>
  <c r="J24" i="3"/>
  <c r="I24" i="3"/>
  <c r="P24" i="3" s="1"/>
  <c r="C24" i="3"/>
  <c r="B24" i="3"/>
  <c r="E24" i="3" s="1"/>
  <c r="P23" i="3"/>
  <c r="O23" i="3"/>
  <c r="L23" i="3"/>
  <c r="K23" i="3"/>
  <c r="E23" i="3"/>
  <c r="D23" i="3"/>
  <c r="P22" i="3"/>
  <c r="O22" i="3"/>
  <c r="O24" i="3" s="1"/>
  <c r="L22" i="3"/>
  <c r="K22" i="3"/>
  <c r="E22" i="3"/>
  <c r="D22" i="3"/>
  <c r="J20" i="3"/>
  <c r="I20" i="3"/>
  <c r="B20" i="3"/>
  <c r="N14" i="3"/>
  <c r="J14" i="3"/>
  <c r="E14" i="3"/>
  <c r="C14" i="3"/>
  <c r="C18" i="3" s="1"/>
  <c r="C58" i="3" s="1"/>
  <c r="B14" i="3"/>
  <c r="N13" i="3"/>
  <c r="L13" i="3"/>
  <c r="I13" i="3"/>
  <c r="P13" i="3" s="1"/>
  <c r="E13" i="3"/>
  <c r="D13" i="3"/>
  <c r="P12" i="3"/>
  <c r="O12" i="3"/>
  <c r="L12" i="3"/>
  <c r="K12" i="3"/>
  <c r="E12" i="3"/>
  <c r="D12" i="3"/>
  <c r="P11" i="3"/>
  <c r="O11" i="3"/>
  <c r="L11" i="3"/>
  <c r="K11" i="3"/>
  <c r="E11" i="3"/>
  <c r="D11" i="3"/>
  <c r="P10" i="3"/>
  <c r="O10" i="3"/>
  <c r="L10" i="3"/>
  <c r="K10" i="3"/>
  <c r="E10" i="3"/>
  <c r="D10" i="3"/>
  <c r="P9" i="3"/>
  <c r="O9" i="3"/>
  <c r="L9" i="3"/>
  <c r="K9" i="3"/>
  <c r="E9" i="3"/>
  <c r="D9" i="3"/>
  <c r="P8" i="3"/>
  <c r="O8" i="3"/>
  <c r="K8" i="3"/>
  <c r="D8" i="3"/>
  <c r="P7" i="3"/>
  <c r="O7" i="3"/>
  <c r="L7" i="3"/>
  <c r="K7" i="3"/>
  <c r="E7" i="3"/>
  <c r="D7" i="3"/>
  <c r="P6" i="3"/>
  <c r="O6" i="3"/>
  <c r="K6" i="3"/>
  <c r="D6" i="3"/>
  <c r="D14" i="3" s="1"/>
  <c r="N77" i="2"/>
  <c r="J77" i="2"/>
  <c r="I77" i="2"/>
  <c r="C77" i="2"/>
  <c r="B77" i="2"/>
  <c r="N76" i="2"/>
  <c r="N79" i="2" s="1"/>
  <c r="N16" i="2" s="1"/>
  <c r="J76" i="2"/>
  <c r="I76" i="2"/>
  <c r="C76" i="2"/>
  <c r="B76" i="2"/>
  <c r="N75" i="2"/>
  <c r="J75" i="2"/>
  <c r="J79" i="2" s="1"/>
  <c r="J16" i="2" s="1"/>
  <c r="I75" i="2"/>
  <c r="I79" i="2" s="1"/>
  <c r="I16" i="2" s="1"/>
  <c r="K16" i="2" s="1"/>
  <c r="C75" i="2"/>
  <c r="C79" i="2" s="1"/>
  <c r="C16" i="2" s="1"/>
  <c r="B75" i="2"/>
  <c r="B79" i="2" s="1"/>
  <c r="B16" i="2" s="1"/>
  <c r="D16" i="2" s="1"/>
  <c r="J68" i="2"/>
  <c r="I68" i="2"/>
  <c r="J67" i="2"/>
  <c r="I67" i="2"/>
  <c r="J63" i="2"/>
  <c r="I63" i="2"/>
  <c r="J62" i="2"/>
  <c r="I62" i="2"/>
  <c r="J61" i="2"/>
  <c r="J64" i="2" s="1"/>
  <c r="I61" i="2"/>
  <c r="I64" i="2" s="1"/>
  <c r="I56" i="2"/>
  <c r="N54" i="2"/>
  <c r="J54" i="2"/>
  <c r="I54" i="2"/>
  <c r="P54" i="2" s="1"/>
  <c r="C54" i="2"/>
  <c r="C56" i="2" s="1"/>
  <c r="B54" i="2"/>
  <c r="B56" i="2" s="1"/>
  <c r="P53" i="2"/>
  <c r="O53" i="2"/>
  <c r="O54" i="2" s="1"/>
  <c r="N53" i="2"/>
  <c r="L53" i="2"/>
  <c r="K53" i="2"/>
  <c r="E53" i="2"/>
  <c r="D53" i="2"/>
  <c r="P52" i="2"/>
  <c r="O52" i="2"/>
  <c r="L52" i="2"/>
  <c r="K52" i="2"/>
  <c r="K54" i="2" s="1"/>
  <c r="E52" i="2"/>
  <c r="D52" i="2"/>
  <c r="P51" i="2"/>
  <c r="O51" i="2"/>
  <c r="L51" i="2"/>
  <c r="K51" i="2"/>
  <c r="E51" i="2"/>
  <c r="D51" i="2"/>
  <c r="P49" i="2"/>
  <c r="O49" i="2"/>
  <c r="L49" i="2"/>
  <c r="K49" i="2"/>
  <c r="E49" i="2"/>
  <c r="D49" i="2"/>
  <c r="P47" i="2"/>
  <c r="O47" i="2"/>
  <c r="L47" i="2"/>
  <c r="K47" i="2"/>
  <c r="E47" i="2"/>
  <c r="D47" i="2"/>
  <c r="N45" i="2"/>
  <c r="P45" i="2" s="1"/>
  <c r="L45" i="2"/>
  <c r="J45" i="2"/>
  <c r="I45" i="2"/>
  <c r="C45" i="2"/>
  <c r="B45" i="2"/>
  <c r="E45" i="2" s="1"/>
  <c r="N44" i="2"/>
  <c r="P44" i="2" s="1"/>
  <c r="L44" i="2"/>
  <c r="K44" i="2"/>
  <c r="E44" i="2"/>
  <c r="D44" i="2"/>
  <c r="P43" i="2"/>
  <c r="O43" i="2"/>
  <c r="L43" i="2"/>
  <c r="K43" i="2"/>
  <c r="E43" i="2"/>
  <c r="D43" i="2"/>
  <c r="P42" i="2"/>
  <c r="O42" i="2"/>
  <c r="L42" i="2"/>
  <c r="K42" i="2"/>
  <c r="K45" i="2" s="1"/>
  <c r="E42" i="2"/>
  <c r="D42" i="2"/>
  <c r="J40" i="2"/>
  <c r="I40" i="2"/>
  <c r="D40" i="2"/>
  <c r="C40" i="2"/>
  <c r="B40" i="2"/>
  <c r="E40" i="2" s="1"/>
  <c r="P39" i="2"/>
  <c r="O39" i="2"/>
  <c r="N39" i="2"/>
  <c r="N40" i="2" s="1"/>
  <c r="L39" i="2"/>
  <c r="K39" i="2"/>
  <c r="E39" i="2"/>
  <c r="D39" i="2"/>
  <c r="P38" i="2"/>
  <c r="O38" i="2"/>
  <c r="L38" i="2"/>
  <c r="K38" i="2"/>
  <c r="K40" i="2" s="1"/>
  <c r="D38" i="2"/>
  <c r="P37" i="2"/>
  <c r="O37" i="2"/>
  <c r="O40" i="2" s="1"/>
  <c r="L37" i="2"/>
  <c r="K37" i="2"/>
  <c r="E37" i="2"/>
  <c r="D37" i="2"/>
  <c r="N35" i="2"/>
  <c r="L35" i="2"/>
  <c r="K35" i="2"/>
  <c r="J35" i="2"/>
  <c r="J56" i="2" s="1"/>
  <c r="I35" i="2"/>
  <c r="P35" i="2" s="1"/>
  <c r="C35" i="2"/>
  <c r="B35" i="2"/>
  <c r="E35" i="2" s="1"/>
  <c r="P34" i="2"/>
  <c r="N34" i="2"/>
  <c r="O34" i="2" s="1"/>
  <c r="L34" i="2"/>
  <c r="K34" i="2"/>
  <c r="E34" i="2"/>
  <c r="D34" i="2"/>
  <c r="P33" i="2"/>
  <c r="O33" i="2"/>
  <c r="L33" i="2"/>
  <c r="K33" i="2"/>
  <c r="E33" i="2"/>
  <c r="D33" i="2"/>
  <c r="P32" i="2"/>
  <c r="O32" i="2"/>
  <c r="L32" i="2"/>
  <c r="K32" i="2"/>
  <c r="E32" i="2"/>
  <c r="D32" i="2"/>
  <c r="P31" i="2"/>
  <c r="O31" i="2"/>
  <c r="L31" i="2"/>
  <c r="K31" i="2"/>
  <c r="E31" i="2"/>
  <c r="D31" i="2"/>
  <c r="N29" i="2"/>
  <c r="L29" i="2"/>
  <c r="K29" i="2"/>
  <c r="J29" i="2"/>
  <c r="I29" i="2"/>
  <c r="P29" i="2" s="1"/>
  <c r="C29" i="2"/>
  <c r="B29" i="2"/>
  <c r="E29" i="2" s="1"/>
  <c r="P28" i="2"/>
  <c r="N28" i="2"/>
  <c r="O28" i="2" s="1"/>
  <c r="L28" i="2"/>
  <c r="K28" i="2"/>
  <c r="E28" i="2"/>
  <c r="D28" i="2"/>
  <c r="P27" i="2"/>
  <c r="O27" i="2"/>
  <c r="L27" i="2"/>
  <c r="K27" i="2"/>
  <c r="E27" i="2"/>
  <c r="D27" i="2"/>
  <c r="P26" i="2"/>
  <c r="O26" i="2"/>
  <c r="L26" i="2"/>
  <c r="K26" i="2"/>
  <c r="E26" i="2"/>
  <c r="D26" i="2"/>
  <c r="N24" i="2"/>
  <c r="J24" i="2"/>
  <c r="I24" i="2"/>
  <c r="P24" i="2" s="1"/>
  <c r="C24" i="2"/>
  <c r="B24" i="2"/>
  <c r="D24" i="2" s="1"/>
  <c r="P23" i="2"/>
  <c r="O23" i="2"/>
  <c r="L23" i="2"/>
  <c r="K23" i="2"/>
  <c r="E23" i="2"/>
  <c r="D23" i="2"/>
  <c r="P22" i="2"/>
  <c r="O22" i="2"/>
  <c r="O24" i="2" s="1"/>
  <c r="L22" i="2"/>
  <c r="K22" i="2"/>
  <c r="K24" i="2" s="1"/>
  <c r="E22" i="2"/>
  <c r="D22" i="2"/>
  <c r="J20" i="2"/>
  <c r="I20" i="2"/>
  <c r="B20" i="2"/>
  <c r="N14" i="2"/>
  <c r="J14" i="2"/>
  <c r="I14" i="2"/>
  <c r="P14" i="2" s="1"/>
  <c r="C14" i="2"/>
  <c r="B14" i="2"/>
  <c r="B18" i="2" s="1"/>
  <c r="B58" i="2" s="1"/>
  <c r="N13" i="2"/>
  <c r="K13" i="2"/>
  <c r="J13" i="2"/>
  <c r="P13" i="2"/>
  <c r="E13" i="2"/>
  <c r="D13" i="2"/>
  <c r="P12" i="2"/>
  <c r="O12" i="2"/>
  <c r="L12" i="2"/>
  <c r="K12" i="2"/>
  <c r="E12" i="2"/>
  <c r="D12" i="2"/>
  <c r="P11" i="2"/>
  <c r="O11" i="2"/>
  <c r="L11" i="2"/>
  <c r="K11" i="2"/>
  <c r="E11" i="2"/>
  <c r="D11" i="2"/>
  <c r="P10" i="2"/>
  <c r="O10" i="2"/>
  <c r="L10" i="2"/>
  <c r="K10" i="2"/>
  <c r="D10" i="2"/>
  <c r="P9" i="2"/>
  <c r="O9" i="2"/>
  <c r="L9" i="2"/>
  <c r="K9" i="2"/>
  <c r="E9" i="2"/>
  <c r="D9" i="2"/>
  <c r="P8" i="2"/>
  <c r="O8" i="2"/>
  <c r="K8" i="2"/>
  <c r="D8" i="2"/>
  <c r="P7" i="2"/>
  <c r="O7" i="2"/>
  <c r="L7" i="2"/>
  <c r="K7" i="2"/>
  <c r="E7" i="2"/>
  <c r="D7" i="2"/>
  <c r="P6" i="2"/>
  <c r="O6" i="2"/>
  <c r="K6" i="2"/>
  <c r="K14" i="2" s="1"/>
  <c r="D6" i="2"/>
  <c r="AK5" i="1"/>
  <c r="AJ5" i="1"/>
  <c r="AH5" i="1"/>
  <c r="AG5" i="1"/>
  <c r="AE5" i="1"/>
  <c r="AD5" i="1"/>
  <c r="AB5" i="1"/>
  <c r="AA5" i="1"/>
  <c r="Y5" i="1"/>
  <c r="X5" i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D14" i="2" l="1"/>
  <c r="E14" i="2"/>
  <c r="J18" i="3"/>
  <c r="J58" i="3" s="1"/>
  <c r="J71" i="3" s="1"/>
  <c r="D56" i="3"/>
  <c r="E56" i="3"/>
  <c r="N18" i="3"/>
  <c r="O40" i="3"/>
  <c r="D16" i="3"/>
  <c r="B18" i="3"/>
  <c r="B58" i="3" s="1"/>
  <c r="P40" i="3"/>
  <c r="K16" i="3"/>
  <c r="I14" i="3"/>
  <c r="D24" i="3"/>
  <c r="E54" i="3"/>
  <c r="I56" i="3"/>
  <c r="D54" i="3"/>
  <c r="K13" i="3"/>
  <c r="K14" i="3" s="1"/>
  <c r="L24" i="3"/>
  <c r="N40" i="3"/>
  <c r="D45" i="3"/>
  <c r="N54" i="3"/>
  <c r="N56" i="3" s="1"/>
  <c r="O13" i="3"/>
  <c r="O14" i="3" s="1"/>
  <c r="D29" i="3"/>
  <c r="D35" i="3"/>
  <c r="O39" i="3"/>
  <c r="O53" i="3"/>
  <c r="O54" i="3" s="1"/>
  <c r="D56" i="2"/>
  <c r="E56" i="2"/>
  <c r="O35" i="2"/>
  <c r="N18" i="2"/>
  <c r="P40" i="2"/>
  <c r="N56" i="2"/>
  <c r="O45" i="2"/>
  <c r="J18" i="2"/>
  <c r="J58" i="2" s="1"/>
  <c r="J71" i="2" s="1"/>
  <c r="O29" i="2"/>
  <c r="O14" i="2"/>
  <c r="P56" i="2"/>
  <c r="E54" i="2"/>
  <c r="E24" i="2"/>
  <c r="O44" i="2"/>
  <c r="K56" i="2"/>
  <c r="L56" i="2"/>
  <c r="L14" i="2"/>
  <c r="L13" i="2"/>
  <c r="I18" i="2"/>
  <c r="I58" i="2" s="1"/>
  <c r="I71" i="2" s="1"/>
  <c r="L40" i="2"/>
  <c r="L54" i="2"/>
  <c r="L24" i="2"/>
  <c r="D45" i="2"/>
  <c r="O56" i="2"/>
  <c r="C18" i="2"/>
  <c r="C58" i="2" s="1"/>
  <c r="O13" i="2"/>
  <c r="D29" i="2"/>
  <c r="D35" i="2"/>
  <c r="D54" i="2"/>
  <c r="N58" i="3" l="1"/>
  <c r="P54" i="3"/>
  <c r="P56" i="3"/>
  <c r="O56" i="3"/>
  <c r="L56" i="3"/>
  <c r="K56" i="3"/>
  <c r="I18" i="3"/>
  <c r="I58" i="3" s="1"/>
  <c r="I71" i="3" s="1"/>
  <c r="P14" i="3"/>
  <c r="L14" i="3"/>
  <c r="N58" i="2"/>
  <c r="AL311" i="1" l="1"/>
  <c r="AM311" i="1"/>
  <c r="D175" i="1"/>
  <c r="C175" i="1"/>
  <c r="D283" i="1"/>
  <c r="AL65" i="1"/>
  <c r="AM65" i="1"/>
  <c r="AL292" i="1" l="1"/>
  <c r="AM292" i="1"/>
  <c r="AL293" i="1"/>
  <c r="AM293" i="1"/>
  <c r="AO283" i="1"/>
  <c r="AL264" i="1"/>
  <c r="AM264" i="1"/>
  <c r="AL224" i="1"/>
  <c r="AM224" i="1"/>
  <c r="AM217" i="1"/>
  <c r="AL217" i="1"/>
  <c r="AL205" i="1"/>
  <c r="AM205" i="1"/>
  <c r="AL206" i="1"/>
  <c r="AM206" i="1"/>
  <c r="AL207" i="1"/>
  <c r="AM207" i="1"/>
  <c r="AL208" i="1"/>
  <c r="AM208" i="1"/>
  <c r="AL209" i="1"/>
  <c r="AM209" i="1"/>
  <c r="AL196" i="1"/>
  <c r="AM196" i="1"/>
  <c r="AO175" i="1"/>
  <c r="AL158" i="1"/>
  <c r="AM158" i="1"/>
  <c r="AL152" i="1"/>
  <c r="AM152" i="1"/>
  <c r="AL126" i="1"/>
  <c r="AO5" i="1"/>
  <c r="AL233" i="1"/>
  <c r="AM66" i="1"/>
  <c r="AL66" i="1"/>
  <c r="AM64" i="1"/>
  <c r="AL64" i="1"/>
  <c r="AM63" i="1"/>
  <c r="AL63" i="1"/>
  <c r="AM62" i="1"/>
  <c r="AL62" i="1"/>
  <c r="AM61" i="1"/>
  <c r="AL61" i="1"/>
  <c r="AM60" i="1"/>
  <c r="AL60" i="1"/>
  <c r="AL121" i="1"/>
  <c r="AM130" i="1" l="1"/>
  <c r="AL130" i="1"/>
  <c r="AJ6" i="1"/>
  <c r="AK6" i="1"/>
  <c r="AJ7" i="1"/>
  <c r="AK7" i="1"/>
  <c r="AM313" i="1"/>
  <c r="AL313" i="1"/>
  <c r="AM312" i="1"/>
  <c r="AL312" i="1"/>
  <c r="AM310" i="1"/>
  <c r="AL310" i="1"/>
  <c r="AM309" i="1"/>
  <c r="AL309" i="1"/>
  <c r="AM308" i="1"/>
  <c r="AL308" i="1"/>
  <c r="AM307" i="1"/>
  <c r="AL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5" i="1"/>
  <c r="AL295" i="1"/>
  <c r="AM294" i="1"/>
  <c r="AL294" i="1"/>
  <c r="AM291" i="1"/>
  <c r="AL291" i="1"/>
  <c r="AM290" i="1"/>
  <c r="AL290" i="1"/>
  <c r="AM289" i="1"/>
  <c r="AL289" i="1"/>
  <c r="AM288" i="1"/>
  <c r="AL288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6" i="1"/>
  <c r="AL266" i="1"/>
  <c r="AM265" i="1"/>
  <c r="AL265" i="1"/>
  <c r="AM263" i="1"/>
  <c r="AL263" i="1"/>
  <c r="AM259" i="1"/>
  <c r="AL259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52" i="1"/>
  <c r="AL252" i="1"/>
  <c r="AM247" i="1"/>
  <c r="AL247" i="1"/>
  <c r="AM246" i="1"/>
  <c r="AL246" i="1"/>
  <c r="AM245" i="1"/>
  <c r="AL245" i="1"/>
  <c r="AM244" i="1"/>
  <c r="AL244" i="1"/>
  <c r="AM243" i="1"/>
  <c r="AL243" i="1"/>
  <c r="AM242" i="1"/>
  <c r="AL242" i="1"/>
  <c r="AM241" i="1"/>
  <c r="AL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L234" i="1"/>
  <c r="AM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5" i="1"/>
  <c r="AL225" i="1"/>
  <c r="AM223" i="1"/>
  <c r="AL223" i="1"/>
  <c r="AM222" i="1"/>
  <c r="AL222" i="1"/>
  <c r="AM221" i="1"/>
  <c r="AL221" i="1"/>
  <c r="AM220" i="1"/>
  <c r="AL220" i="1"/>
  <c r="AM219" i="1"/>
  <c r="AL219" i="1"/>
  <c r="AM218" i="1"/>
  <c r="AL218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M210" i="1"/>
  <c r="AL210" i="1"/>
  <c r="AM198" i="1"/>
  <c r="AL198" i="1"/>
  <c r="AM197" i="1"/>
  <c r="AL197" i="1"/>
  <c r="AM195" i="1"/>
  <c r="AL195" i="1"/>
  <c r="AM194" i="1"/>
  <c r="AL194" i="1"/>
  <c r="AM193" i="1"/>
  <c r="AL193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7" i="1"/>
  <c r="AL177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9" i="1"/>
  <c r="AL159" i="1"/>
  <c r="AM157" i="1"/>
  <c r="AL157" i="1"/>
  <c r="AM156" i="1"/>
  <c r="AL156" i="1"/>
  <c r="AM155" i="1"/>
  <c r="AL155" i="1"/>
  <c r="AM154" i="1"/>
  <c r="AL154" i="1"/>
  <c r="AM153" i="1"/>
  <c r="AL153" i="1"/>
  <c r="AM151" i="1"/>
  <c r="AL151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9" i="1"/>
  <c r="AL139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29" i="1"/>
  <c r="AL129" i="1"/>
  <c r="AM128" i="1"/>
  <c r="AL128" i="1"/>
  <c r="AM127" i="1"/>
  <c r="AL127" i="1"/>
  <c r="AM125" i="1"/>
  <c r="AL125" i="1"/>
  <c r="AM121" i="1"/>
  <c r="AM120" i="1"/>
  <c r="AL120" i="1"/>
  <c r="AM119" i="1"/>
  <c r="AL119" i="1"/>
  <c r="AM118" i="1"/>
  <c r="AL118" i="1"/>
  <c r="AM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M103" i="1"/>
  <c r="AL103" i="1"/>
  <c r="AM102" i="1"/>
  <c r="AL102" i="1"/>
  <c r="AM101" i="1"/>
  <c r="AL101" i="1"/>
  <c r="AM93" i="1"/>
  <c r="AL93" i="1"/>
  <c r="AM92" i="1"/>
  <c r="AL92" i="1"/>
  <c r="AM91" i="1"/>
  <c r="AL91" i="1"/>
  <c r="AM90" i="1"/>
  <c r="AL90" i="1"/>
  <c r="AM85" i="1"/>
  <c r="AL85" i="1"/>
  <c r="AM84" i="1"/>
  <c r="AL84" i="1"/>
  <c r="AM79" i="1"/>
  <c r="AL79" i="1"/>
  <c r="AM78" i="1"/>
  <c r="AL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L42" i="1"/>
  <c r="AM41" i="1"/>
  <c r="AL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5" i="1"/>
  <c r="AJ315" i="1"/>
  <c r="AK283" i="1"/>
  <c r="AJ283" i="1"/>
  <c r="AK261" i="1"/>
  <c r="AJ261" i="1"/>
  <c r="AK249" i="1"/>
  <c r="AJ249" i="1"/>
  <c r="AK200" i="1"/>
  <c r="AJ200" i="1"/>
  <c r="AK191" i="1"/>
  <c r="AJ191" i="1"/>
  <c r="AK175" i="1"/>
  <c r="AJ175" i="1"/>
  <c r="AK149" i="1"/>
  <c r="AJ149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K285" i="1" l="1"/>
  <c r="AJ285" i="1"/>
  <c r="AJ9" i="1"/>
  <c r="AK9" i="1"/>
  <c r="AJ97" i="1"/>
  <c r="AK97" i="1"/>
  <c r="AJ202" i="1"/>
  <c r="AK202" i="1"/>
  <c r="AH315" i="1"/>
  <c r="AG315" i="1"/>
  <c r="AH283" i="1"/>
  <c r="AG283" i="1"/>
  <c r="AH261" i="1"/>
  <c r="AG261" i="1"/>
  <c r="AH249" i="1"/>
  <c r="AG249" i="1"/>
  <c r="AH200" i="1"/>
  <c r="AG200" i="1"/>
  <c r="AH191" i="1"/>
  <c r="AG191" i="1"/>
  <c r="AH175" i="1"/>
  <c r="AG175" i="1"/>
  <c r="AH149" i="1"/>
  <c r="AG149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5" i="1"/>
  <c r="AD315" i="1"/>
  <c r="AE283" i="1"/>
  <c r="AD283" i="1"/>
  <c r="AE261" i="1"/>
  <c r="AD261" i="1"/>
  <c r="AE249" i="1"/>
  <c r="AD249" i="1"/>
  <c r="AE200" i="1"/>
  <c r="AD200" i="1"/>
  <c r="AE191" i="1"/>
  <c r="AD191" i="1"/>
  <c r="AE175" i="1"/>
  <c r="AD175" i="1"/>
  <c r="AE149" i="1"/>
  <c r="AD149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AK317" i="1" l="1"/>
  <c r="AJ317" i="1"/>
  <c r="AJ320" i="1" s="1"/>
  <c r="AH9" i="1"/>
  <c r="AG285" i="1"/>
  <c r="AG9" i="1"/>
  <c r="AG97" i="1"/>
  <c r="AH97" i="1"/>
  <c r="AH202" i="1"/>
  <c r="AG202" i="1"/>
  <c r="AH285" i="1"/>
  <c r="AE9" i="1"/>
  <c r="AE285" i="1"/>
  <c r="AD9" i="1"/>
  <c r="AD285" i="1"/>
  <c r="AD202" i="1"/>
  <c r="AE202" i="1"/>
  <c r="AD97" i="1"/>
  <c r="AE97" i="1"/>
  <c r="AK320" i="1" l="1"/>
  <c r="AG317" i="1"/>
  <c r="AG320" i="1" s="1"/>
  <c r="AH317" i="1"/>
  <c r="AH320" i="1" s="1"/>
  <c r="AE317" i="1"/>
  <c r="AE320" i="1" s="1"/>
  <c r="AD317" i="1"/>
  <c r="AD320" i="1" s="1"/>
  <c r="AB315" i="1"/>
  <c r="AA315" i="1"/>
  <c r="AB283" i="1"/>
  <c r="AA283" i="1"/>
  <c r="AB261" i="1"/>
  <c r="AA261" i="1"/>
  <c r="AB249" i="1"/>
  <c r="AA249" i="1"/>
  <c r="AB200" i="1"/>
  <c r="AA200" i="1"/>
  <c r="AB191" i="1"/>
  <c r="AA191" i="1"/>
  <c r="AB175" i="1"/>
  <c r="AA175" i="1"/>
  <c r="AB149" i="1"/>
  <c r="AA149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3" i="1"/>
  <c r="X249" i="1"/>
  <c r="Y315" i="1"/>
  <c r="X315" i="1"/>
  <c r="Y283" i="1"/>
  <c r="X283" i="1"/>
  <c r="Y261" i="1"/>
  <c r="X261" i="1"/>
  <c r="Y249" i="1"/>
  <c r="Y200" i="1"/>
  <c r="X200" i="1"/>
  <c r="Y191" i="1"/>
  <c r="X191" i="1"/>
  <c r="Y175" i="1"/>
  <c r="X175" i="1"/>
  <c r="Y149" i="1"/>
  <c r="X149" i="1"/>
  <c r="Y123" i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0" i="1"/>
  <c r="AL283" i="1" l="1"/>
  <c r="AM283" i="1"/>
  <c r="AA285" i="1"/>
  <c r="AA202" i="1"/>
  <c r="AB285" i="1"/>
  <c r="AB202" i="1"/>
  <c r="AA97" i="1"/>
  <c r="AB97" i="1"/>
  <c r="AB9" i="1"/>
  <c r="AA9" i="1"/>
  <c r="AL44" i="1"/>
  <c r="Y9" i="1"/>
  <c r="Y285" i="1"/>
  <c r="X285" i="1"/>
  <c r="X202" i="1"/>
  <c r="Y202" i="1"/>
  <c r="X97" i="1"/>
  <c r="Y97" i="1"/>
  <c r="X9" i="1"/>
  <c r="V315" i="1"/>
  <c r="U315" i="1"/>
  <c r="V283" i="1"/>
  <c r="U283" i="1"/>
  <c r="V261" i="1"/>
  <c r="U261" i="1"/>
  <c r="V249" i="1"/>
  <c r="U249" i="1"/>
  <c r="V200" i="1"/>
  <c r="V191" i="1"/>
  <c r="U191" i="1"/>
  <c r="V175" i="1"/>
  <c r="U175" i="1"/>
  <c r="V149" i="1"/>
  <c r="U149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3" i="1"/>
  <c r="R283" i="1"/>
  <c r="S175" i="1"/>
  <c r="R175" i="1"/>
  <c r="S315" i="1"/>
  <c r="R315" i="1"/>
  <c r="S261" i="1"/>
  <c r="R261" i="1"/>
  <c r="S249" i="1"/>
  <c r="R249" i="1"/>
  <c r="S200" i="1"/>
  <c r="R200" i="1"/>
  <c r="S191" i="1"/>
  <c r="R191" i="1"/>
  <c r="S149" i="1"/>
  <c r="R149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5" i="1"/>
  <c r="O315" i="1"/>
  <c r="P283" i="1"/>
  <c r="O283" i="1"/>
  <c r="P261" i="1"/>
  <c r="O261" i="1"/>
  <c r="P249" i="1"/>
  <c r="O249" i="1"/>
  <c r="P200" i="1"/>
  <c r="O200" i="1"/>
  <c r="P191" i="1"/>
  <c r="O191" i="1"/>
  <c r="P175" i="1"/>
  <c r="O175" i="1"/>
  <c r="P149" i="1"/>
  <c r="O149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5" i="1"/>
  <c r="L315" i="1"/>
  <c r="M283" i="1"/>
  <c r="L283" i="1"/>
  <c r="M261" i="1"/>
  <c r="L261" i="1"/>
  <c r="M249" i="1"/>
  <c r="L249" i="1"/>
  <c r="M200" i="1"/>
  <c r="L200" i="1"/>
  <c r="M191" i="1"/>
  <c r="L191" i="1"/>
  <c r="M175" i="1"/>
  <c r="L175" i="1"/>
  <c r="M149" i="1"/>
  <c r="L149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AA317" i="1" l="1"/>
  <c r="AA320" i="1" s="1"/>
  <c r="AB317" i="1"/>
  <c r="AB320" i="1" s="1"/>
  <c r="R123" i="1"/>
  <c r="R202" i="1" s="1"/>
  <c r="V9" i="1"/>
  <c r="Y317" i="1"/>
  <c r="Y320" i="1" s="1"/>
  <c r="X317" i="1"/>
  <c r="X320" i="1" s="1"/>
  <c r="U9" i="1"/>
  <c r="V97" i="1"/>
  <c r="U97" i="1"/>
  <c r="V202" i="1"/>
  <c r="U202" i="1"/>
  <c r="U285" i="1"/>
  <c r="V285" i="1"/>
  <c r="S9" i="1"/>
  <c r="AL175" i="1"/>
  <c r="AM175" i="1"/>
  <c r="R285" i="1"/>
  <c r="R9" i="1"/>
  <c r="S97" i="1"/>
  <c r="R97" i="1"/>
  <c r="S202" i="1"/>
  <c r="S285" i="1"/>
  <c r="L285" i="1"/>
  <c r="P285" i="1"/>
  <c r="O285" i="1"/>
  <c r="M285" i="1"/>
  <c r="L202" i="1"/>
  <c r="P202" i="1"/>
  <c r="O202" i="1"/>
  <c r="M202" i="1"/>
  <c r="O9" i="1"/>
  <c r="P9" i="1"/>
  <c r="O97" i="1"/>
  <c r="L9" i="1"/>
  <c r="P97" i="1"/>
  <c r="M9" i="1"/>
  <c r="M97" i="1"/>
  <c r="L97" i="1"/>
  <c r="U317" i="1" l="1"/>
  <c r="U320" i="1" s="1"/>
  <c r="V317" i="1"/>
  <c r="V320" i="1" s="1"/>
  <c r="R317" i="1"/>
  <c r="R320" i="1" s="1"/>
  <c r="S317" i="1"/>
  <c r="S320" i="1" s="1"/>
  <c r="O317" i="1"/>
  <c r="O320" i="1" s="1"/>
  <c r="P317" i="1"/>
  <c r="P320" i="1" s="1"/>
  <c r="M317" i="1"/>
  <c r="M320" i="1" s="1"/>
  <c r="L317" i="1"/>
  <c r="L320" i="1" s="1"/>
  <c r="J315" i="1" l="1"/>
  <c r="I315" i="1"/>
  <c r="J283" i="1"/>
  <c r="I283" i="1"/>
  <c r="J261" i="1"/>
  <c r="I261" i="1"/>
  <c r="J249" i="1"/>
  <c r="I249" i="1"/>
  <c r="J200" i="1"/>
  <c r="I200" i="1"/>
  <c r="J191" i="1"/>
  <c r="I191" i="1"/>
  <c r="J175" i="1"/>
  <c r="I175" i="1"/>
  <c r="J149" i="1"/>
  <c r="I149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2" i="1" l="1"/>
  <c r="I285" i="1"/>
  <c r="J285" i="1"/>
  <c r="I202" i="1"/>
  <c r="J9" i="1"/>
  <c r="I97" i="1"/>
  <c r="J97" i="1"/>
  <c r="I9" i="1"/>
  <c r="C123" i="1"/>
  <c r="AL23" i="1"/>
  <c r="G315" i="1"/>
  <c r="F315" i="1"/>
  <c r="D315" i="1"/>
  <c r="C315" i="1"/>
  <c r="G283" i="1"/>
  <c r="F283" i="1"/>
  <c r="G261" i="1"/>
  <c r="F261" i="1"/>
  <c r="D261" i="1"/>
  <c r="C261" i="1"/>
  <c r="G249" i="1"/>
  <c r="F249" i="1"/>
  <c r="D249" i="1"/>
  <c r="C249" i="1"/>
  <c r="G200" i="1"/>
  <c r="F200" i="1"/>
  <c r="D200" i="1"/>
  <c r="C200" i="1"/>
  <c r="AO200" i="1"/>
  <c r="G191" i="1"/>
  <c r="F191" i="1"/>
  <c r="D191" i="1"/>
  <c r="C191" i="1"/>
  <c r="G175" i="1"/>
  <c r="F175" i="1"/>
  <c r="G149" i="1"/>
  <c r="F149" i="1"/>
  <c r="D149" i="1"/>
  <c r="C149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1" i="1"/>
  <c r="AO261" i="1"/>
  <c r="AO315" i="1"/>
  <c r="AM5" i="1" l="1"/>
  <c r="AL5" i="1"/>
  <c r="AL6" i="1"/>
  <c r="AL7" i="1"/>
  <c r="AM6" i="1"/>
  <c r="AM7" i="1"/>
  <c r="F202" i="1"/>
  <c r="AO34" i="1"/>
  <c r="D202" i="1"/>
  <c r="C285" i="1"/>
  <c r="D285" i="1"/>
  <c r="F285" i="1"/>
  <c r="G202" i="1"/>
  <c r="G285" i="1"/>
  <c r="C202" i="1"/>
  <c r="C34" i="1"/>
  <c r="C97" i="1" s="1"/>
  <c r="J317" i="1"/>
  <c r="J320" i="1" s="1"/>
  <c r="I317" i="1"/>
  <c r="I320" i="1" s="1"/>
  <c r="AM315" i="1"/>
  <c r="F9" i="1"/>
  <c r="AM87" i="1"/>
  <c r="AL68" i="1"/>
  <c r="AM249" i="1"/>
  <c r="C9" i="1"/>
  <c r="AM81" i="1"/>
  <c r="AM261" i="1"/>
  <c r="AL315" i="1"/>
  <c r="AL261" i="1"/>
  <c r="AL95" i="1"/>
  <c r="AM95" i="1"/>
  <c r="D9" i="1"/>
  <c r="AL249" i="1"/>
  <c r="AL87" i="1"/>
  <c r="AL81" i="1"/>
  <c r="AM44" i="1"/>
  <c r="AL34" i="1"/>
  <c r="AL57" i="1"/>
  <c r="AM34" i="1"/>
  <c r="AM57" i="1"/>
  <c r="AM149" i="1"/>
  <c r="AL19" i="1"/>
  <c r="AL191" i="1"/>
  <c r="G9" i="1"/>
  <c r="F97" i="1"/>
  <c r="AM191" i="1"/>
  <c r="AL75" i="1"/>
  <c r="G97" i="1"/>
  <c r="AL200" i="1"/>
  <c r="AL149" i="1"/>
  <c r="AM75" i="1"/>
  <c r="AM200" i="1"/>
  <c r="AL123" i="1"/>
  <c r="AM68" i="1"/>
  <c r="AM123" i="1"/>
  <c r="AO149" i="1"/>
  <c r="AO57" i="1"/>
  <c r="AM19" i="1"/>
  <c r="D97" i="1"/>
  <c r="AO249" i="1"/>
  <c r="AO123" i="1"/>
  <c r="AO9" i="1"/>
  <c r="AO285" i="1"/>
  <c r="AO97" i="1" l="1"/>
  <c r="AO202" i="1"/>
  <c r="AO317" i="1" s="1"/>
  <c r="AL285" i="1"/>
  <c r="AM285" i="1"/>
  <c r="AM202" i="1"/>
  <c r="AL202" i="1"/>
  <c r="F317" i="1"/>
  <c r="F320" i="1" s="1"/>
  <c r="D317" i="1"/>
  <c r="D320" i="1" s="1"/>
  <c r="AL9" i="1"/>
  <c r="G317" i="1"/>
  <c r="G320" i="1" s="1"/>
  <c r="C317" i="1"/>
  <c r="C320" i="1" s="1"/>
  <c r="AM9" i="1"/>
  <c r="AL97" i="1"/>
  <c r="AM97" i="1"/>
  <c r="AO320" i="1" l="1"/>
  <c r="AM317" i="1"/>
  <c r="AM320" i="1" s="1"/>
  <c r="AL317" i="1"/>
  <c r="AL3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5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D22" authorId="0" shapeId="0" xr:uid="{A4EA83C3-C20C-4A92-86AB-E87C4B10C511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Insituform
pd out of bank acct, never deducted from Fund Balance</t>
        </r>
      </text>
    </comment>
  </commentList>
</comments>
</file>

<file path=xl/sharedStrings.xml><?xml version="1.0" encoding="utf-8"?>
<sst xmlns="http://schemas.openxmlformats.org/spreadsheetml/2006/main" count="832" uniqueCount="502">
  <si>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</si>
  <si>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</si>
  <si>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</si>
  <si>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</si>
  <si>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</si>
  <si>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</si>
  <si>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</si>
  <si>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</si>
  <si>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</si>
  <si>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</si>
  <si>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</si>
  <si>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</si>
  <si>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</si>
  <si>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</si>
  <si>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</si>
  <si>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</si>
  <si>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</si>
  <si>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</si>
  <si>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</si>
  <si>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</si>
  <si>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</si>
  <si>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</si>
  <si>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</si>
  <si>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</si>
  <si>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</si>
  <si>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</si>
  <si>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</si>
  <si>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</si>
  <si>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</si>
  <si>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</si>
  <si>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</si>
  <si>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</si>
  <si>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</si>
  <si>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</si>
  <si>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</si>
  <si>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</si>
  <si>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</si>
  <si>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</si>
  <si>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</si>
  <si>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</si>
  <si>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</si>
  <si>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</si>
  <si>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</si>
  <si>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</si>
  <si>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</si>
  <si>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</si>
  <si>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</si>
  <si>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</si>
  <si>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</si>
  <si>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</si>
  <si>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</si>
  <si>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</si>
  <si>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</si>
  <si>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</si>
  <si>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</si>
  <si>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</si>
  <si>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</si>
  <si>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</si>
  <si>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</si>
  <si>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</si>
  <si>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</si>
  <si>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</si>
  <si>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</si>
  <si>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</si>
  <si>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</si>
  <si>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</si>
  <si>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</si>
  <si>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</si>
  <si>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</si>
  <si>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</si>
  <si>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</si>
  <si>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</si>
  <si>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</si>
  <si>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</si>
  <si>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</si>
  <si>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</si>
  <si>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</si>
  <si>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</si>
  <si>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</si>
  <si>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</si>
  <si>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</si>
  <si>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</si>
  <si>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</si>
  <si>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</si>
  <si>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</si>
  <si>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</si>
  <si>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</si>
  <si>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</si>
  <si>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</si>
  <si>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</si>
  <si>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</si>
  <si>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</si>
  <si>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</si>
  <si>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</si>
  <si>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</si>
  <si>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</si>
  <si>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</si>
  <si>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</si>
  <si>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</si>
  <si>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</si>
  <si>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</si>
  <si>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</si>
  <si>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</si>
  <si>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</si>
  <si>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</si>
  <si>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</si>
  <si>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</si>
  <si>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</si>
  <si>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</si>
  <si>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</si>
  <si>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</si>
  <si>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</si>
  <si>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</si>
  <si>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</si>
  <si>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</si>
  <si>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</si>
  <si>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</si>
  <si>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</si>
  <si>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</si>
  <si>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</si>
  <si>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</si>
  <si>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</si>
  <si>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</si>
  <si>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</si>
  <si>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</si>
  <si>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</si>
  <si>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</si>
  <si>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</si>
  <si>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</si>
  <si>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</si>
  <si>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</si>
  <si>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</si>
  <si>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Subgroup : [7200.02]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</si>
  <si>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</si>
  <si>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</si>
  <si>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</si>
  <si>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</si>
  <si>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</si>
  <si>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</si>
  <si>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</si>
  <si>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</si>
  <si>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</si>
  <si>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</si>
  <si>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</si>
  <si>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</si>
  <si>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</si>
  <si>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</si>
  <si>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</si>
  <si>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</si>
  <si>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</si>
  <si>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</si>
  <si>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</si>
  <si>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</si>
  <si>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</si>
  <si>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</si>
  <si>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</si>
  <si>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</si>
  <si>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</si>
  <si>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</si>
  <si>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</si>
  <si>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</si>
  <si>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</si>
  <si>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</si>
  <si>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</si>
  <si>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</si>
  <si>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</si>
  <si>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</si>
  <si>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</si>
  <si>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</si>
  <si>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</si>
  <si>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</si>
  <si>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</si>
  <si>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</si>
  <si>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</si>
  <si>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</si>
  <si>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</si>
  <si>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</si>
  <si>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</si>
  <si>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</si>
  <si>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</si>
  <si>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</si>
  <si>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</si>
  <si>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</si>
  <si>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</si>
  <si>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</si>
  <si>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</si>
  <si>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</si>
  <si>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</si>
  <si>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</si>
  <si>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</si>
  <si>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</si>
  <si>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</si>
  <si>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</si>
  <si>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</si>
  <si>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</si>
  <si>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</si>
  <si>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</si>
  <si>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</si>
  <si>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</si>
  <si>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</si>
  <si>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</si>
  <si>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</si>
  <si>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</si>
  <si>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</si>
  <si>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</si>
  <si>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</si>
  <si>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</si>
  <si>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</si>
  <si>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</si>
  <si>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</si>
  <si>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</si>
  <si>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</si>
  <si>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</si>
  <si>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</si>
  <si>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</si>
  <si>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</si>
  <si>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</si>
  <si>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</si>
  <si>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</si>
  <si>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</si>
  <si>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</si>
  <si>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</si>
  <si>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</si>
  <si>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</si>
  <si>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</si>
  <si>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</si>
  <si>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</si>
  <si>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</si>
  <si>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</si>
  <si>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</si>
  <si>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</si>
  <si>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</si>
  <si>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</si>
  <si>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</si>
  <si>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</si>
  <si>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</si>
  <si>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</si>
  <si>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</si>
  <si>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</si>
  <si>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</si>
  <si>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</si>
  <si>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</si>
  <si>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</si>
  <si>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</si>
  <si>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</si>
  <si>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</si>
  <si>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</si>
  <si>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</si>
  <si>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</si>
  <si>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</si>
  <si>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</si>
  <si>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</si>
  <si>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</si>
  <si>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</si>
  <si>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</si>
  <si>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</si>
  <si>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</si>
  <si>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</si>
  <si>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</si>
  <si>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</si>
  <si>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</si>
  <si>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</si>
  <si>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</si>
  <si>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</si>
  <si>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</si>
  <si>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</si>
  <si>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</si>
  <si>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</si>
  <si>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</si>
  <si>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</si>
  <si>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</si>
  <si>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</si>
  <si>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</si>
  <si>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</si>
  <si>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</si>
  <si>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</si>
  <si>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</si>
  <si>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</si>
  <si>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</si>
  <si>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</si>
  <si>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</si>
  <si>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</si>
  <si>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</si>
  <si>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</si>
  <si>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</si>
  <si>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</si>
  <si>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</si>
  <si>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</si>
  <si>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</si>
  <si>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</si>
  <si>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</si>
  <si>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</si>
  <si>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</si>
  <si>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</si>
  <si>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</si>
  <si>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</si>
  <si>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</si>
  <si>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</si>
  <si>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</si>
  <si>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</si>
  <si>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</si>
  <si>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</si>
  <si>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</si>
  <si>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</si>
  <si>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</si>
  <si>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</si>
  <si>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</si>
  <si>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</si>
  <si>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</si>
  <si>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</si>
  <si>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</si>
  <si>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</si>
  <si>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</si>
  <si>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</si>
  <si>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</si>
  <si>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</si>
  <si>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</si>
  <si>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</si>
  <si>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</si>
  <si>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</si>
  <si>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</si>
  <si>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</si>
  <si>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</si>
  <si>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</si>
  <si>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</si>
  <si>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</si>
  <si>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</si>
  <si>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Parking Meters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</si>
  <si>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</si>
  <si>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</si>
  <si>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</si>
  <si>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</si>
  <si>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</si>
  <si>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</si>
  <si>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</si>
  <si>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</si>
  <si>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</si>
  <si>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</si>
  <si>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</si>
  <si>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</si>
  <si>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</si>
  <si>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</si>
  <si>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</si>
  <si>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</si>
  <si>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</si>
  <si>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</si>
  <si>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</si>
  <si>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</si>
  <si>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</si>
  <si>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</si>
  <si>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</si>
  <si>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</si>
  <si>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</si>
  <si>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</si>
  <si>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</si>
  <si>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</si>
  <si>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</si>
  <si>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</si>
  <si>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</si>
  <si>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</si>
  <si>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</si>
  <si>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</si>
  <si>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</si>
  <si>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</si>
  <si>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</si>
  <si>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</si>
  <si>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</si>
  <si>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</si>
  <si>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</si>
  <si>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</si>
  <si>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</si>
  <si>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</si>
  <si>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</si>
  <si>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</si>
  <si>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</si>
  <si>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</si>
  <si>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</si>
  <si>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</si>
  <si>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</si>
  <si>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</si>
  <si>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</si>
  <si>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</si>
  <si>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</si>
  <si>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</si>
  <si>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</si>
  <si>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</si>
  <si>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</si>
  <si>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</si>
  <si>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</si>
  <si>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</si>
  <si>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</si>
  <si>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</si>
  <si>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</si>
  <si>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</si>
  <si>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</si>
  <si>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</si>
  <si>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</si>
  <si>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</si>
  <si>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General Fund Financial Overview: April 2025 - FULL DATA</t>
  </si>
  <si>
    <t>UNAUDITED</t>
  </si>
  <si>
    <t>Monthly</t>
  </si>
  <si>
    <t>Annual FY26</t>
  </si>
  <si>
    <t>Budget</t>
  </si>
  <si>
    <t>$OverBud</t>
  </si>
  <si>
    <t>% of Budget</t>
  </si>
  <si>
    <t>Actual April 2025 - March 2026</t>
  </si>
  <si>
    <t>Budgeted April 2025 - March 2026</t>
  </si>
  <si>
    <t>% of  YTD Budget</t>
  </si>
  <si>
    <t>Annual Budget - Amended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</si>
  <si>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</si>
  <si>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</si>
  <si>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</si>
  <si>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</si>
  <si>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</si>
  <si>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</si>
  <si>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</si>
  <si>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</si>
  <si>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Allocations</t>
  </si>
  <si>
    <t>Net Revenues</t>
  </si>
  <si>
    <t>Expenses</t>
  </si>
  <si>
    <t>Annual Budget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</si>
  <si>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</si>
  <si>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</si>
  <si>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</si>
  <si>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</si>
  <si>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</si>
  <si>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</si>
  <si>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</si>
  <si>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</si>
  <si>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</si>
  <si>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</si>
  <si>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</si>
  <si>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</si>
  <si>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</si>
  <si>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</si>
  <si>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</si>
  <si>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</si>
  <si>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</si>
  <si>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</si>
  <si>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Code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</si>
  <si>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</si>
  <si>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</si>
  <si>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</si>
  <si>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</si>
  <si>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</si>
  <si>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</si>
  <si>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</si>
  <si>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</si>
  <si>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</si>
  <si>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</si>
  <si>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</si>
  <si>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</si>
  <si>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</si>
  <si>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</si>
  <si>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</si>
  <si>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</si>
  <si>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</si>
  <si>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</si>
  <si>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</si>
  <si>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</si>
  <si>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General Fund Financial Overview: April 2025 - OPERATING</t>
  </si>
  <si>
    <t>FY2026 Operating Budget</t>
  </si>
  <si>
    <t>Unassigned Fund</t>
  </si>
  <si>
    <t>Required</t>
  </si>
  <si>
    <t>Current</t>
  </si>
  <si>
    <t>Difference</t>
  </si>
  <si>
    <t>Date</t>
  </si>
  <si>
    <t>Beginning Balance</t>
  </si>
  <si>
    <t>Additions</t>
  </si>
  <si>
    <t>Subtractions</t>
  </si>
  <si>
    <t>Ending Balance</t>
  </si>
  <si>
    <t>Rainy Day</t>
  </si>
  <si>
    <t>04.2025</t>
  </si>
  <si>
    <t>Unassigned</t>
  </si>
  <si>
    <t>05.2025</t>
  </si>
  <si>
    <t>06.2025</t>
  </si>
  <si>
    <t>07.2025</t>
  </si>
  <si>
    <t>Unassigned Fund balance will fluctuate throughout the year as this is just</t>
  </si>
  <si>
    <t>08.2025</t>
  </si>
  <si>
    <t>a total of those funds that are not allocated elsewhere.</t>
  </si>
  <si>
    <t>09.2025</t>
  </si>
  <si>
    <t>10.2025</t>
  </si>
  <si>
    <t>11.2025</t>
  </si>
  <si>
    <t>12.2025</t>
  </si>
  <si>
    <t>01.2026</t>
  </si>
  <si>
    <t>02.2026</t>
  </si>
  <si>
    <t>03.2026</t>
  </si>
  <si>
    <t>Streets &amp; Infrastructure</t>
  </si>
  <si>
    <t>Public Safety Fund</t>
  </si>
  <si>
    <t>Beach Safety Fund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</si>
  <si>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</si>
  <si>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</si>
  <si>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</si>
  <si>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</si>
  <si>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</si>
  <si>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</si>
  <si>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</si>
  <si>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</si>
  <si>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</si>
  <si>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March 2026</t>
  </si>
  <si>
    <t>February 2026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</si>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</sst>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3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5" fontId="22" fillId="0" borderId="0" xfId="0" quotePrefix="1" applyNumberFormat="1" applyFont="1" applyAlignment="1">
      <alignment horizontal="center"/>
    </xf>
    <xf numFmtId="0" fontId="22" fillId="0" borderId="0" xfId="0" applyFont="1"/>
    <xf numFmtId="164" fontId="18" fillId="0" borderId="5" xfId="1" applyNumberFormat="1" applyFont="1" applyBorder="1"/>
    <xf numFmtId="9" fontId="18" fillId="0" borderId="0" xfId="23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3" applyFont="1" applyBorder="1" applyAlignment="1">
      <alignment horizontal="center"/>
    </xf>
    <xf numFmtId="164" fontId="18" fillId="0" borderId="0" xfId="1" applyNumberFormat="1" applyFont="1"/>
    <xf numFmtId="9" fontId="20" fillId="0" borderId="0" xfId="23" applyFont="1"/>
    <xf numFmtId="164" fontId="18" fillId="0" borderId="0" xfId="1" applyNumberFormat="1" applyFont="1" applyFill="1" applyBorder="1"/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3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0" fillId="0" borderId="0" xfId="24" applyFont="1" applyFill="1"/>
    <xf numFmtId="0" fontId="0" fillId="0" borderId="0" xfId="0" quotePrefix="1"/>
    <xf numFmtId="43" fontId="0" fillId="0" borderId="0" xfId="24" applyFont="1" applyFill="1" applyBorder="1"/>
    <xf numFmtId="0" fontId="0" fillId="0" borderId="0" xfId="0" applyAlignment="1">
      <alignment horizontal="right"/>
    </xf>
    <xf numFmtId="43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25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4" xr:uid="{001C5F56-37C9-4721-BF2A-925C1FF13A09}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3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7957-6358-4183-A862-94DDE25F77CC}">
  <sheetPr>
    <pageSetUpPr fitToPage="1"/>
  </sheetPr>
  <dimension ref="A1:R84"/>
  <sheetViews>
    <sheetView zoomScale="130" zoomScaleNormal="130" workbookViewId="0">
      <selection activeCell="I4" sqref="I4"/>
    </sheetView>
  </sheetViews>
  <sheetFormatPr defaultColWidth="15.7109375" defaultRowHeight="12" x14ac:dyDescent="0.2"/>
  <cols>
    <col min="1" max="1" width="4.5703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 x14ac:dyDescent="0.2">
      <c r="B1" s="115" t="s">
        <v>460</v>
      </c>
      <c r="C1" s="115"/>
      <c r="D1" s="115"/>
      <c r="E1" s="115"/>
      <c r="F1" s="115"/>
      <c r="G1" s="115"/>
      <c r="H1" s="64"/>
      <c r="I1" s="116" t="s">
        <v>399</v>
      </c>
      <c r="J1" s="116"/>
      <c r="K1" s="116"/>
      <c r="L1" s="116"/>
      <c r="M1" s="116"/>
      <c r="N1" s="116"/>
      <c r="O1" s="116"/>
      <c r="P1" s="116"/>
    </row>
    <row r="2" spans="1:18" x14ac:dyDescent="0.2">
      <c r="B2" s="66"/>
    </row>
    <row r="3" spans="1:18" x14ac:dyDescent="0.2">
      <c r="B3" s="115" t="s">
        <v>400</v>
      </c>
      <c r="C3" s="115"/>
      <c r="D3" s="115"/>
      <c r="E3" s="115"/>
      <c r="I3" s="115" t="s">
        <v>401</v>
      </c>
      <c r="J3" s="115"/>
      <c r="K3" s="115"/>
      <c r="L3" s="115"/>
      <c r="M3" s="115"/>
      <c r="N3" s="115"/>
      <c r="O3" s="115"/>
      <c r="P3" s="115"/>
    </row>
    <row r="4" spans="1:18" s="62" customFormat="1" ht="36" x14ac:dyDescent="0.2">
      <c r="B4" s="68">
        <v>45777</v>
      </c>
      <c r="C4" s="69" t="s">
        <v>402</v>
      </c>
      <c r="D4" s="70" t="s">
        <v>403</v>
      </c>
      <c r="E4" s="71" t="s">
        <v>404</v>
      </c>
      <c r="F4" s="63"/>
      <c r="G4" s="72" t="s">
        <v>356</v>
      </c>
      <c r="H4" s="63"/>
      <c r="I4" s="73" t="s">
        <v>405</v>
      </c>
      <c r="J4" s="73" t="s">
        <v>405</v>
      </c>
      <c r="K4" s="70" t="s">
        <v>403</v>
      </c>
      <c r="L4" s="71" t="s">
        <v>407</v>
      </c>
      <c r="M4" s="74"/>
      <c r="N4" s="71" t="s">
        <v>408</v>
      </c>
      <c r="O4" s="70" t="s">
        <v>403</v>
      </c>
      <c r="P4" s="71" t="s">
        <v>409</v>
      </c>
    </row>
    <row r="6" spans="1:18" x14ac:dyDescent="0.2">
      <c r="B6" s="75">
        <v>0</v>
      </c>
      <c r="C6" s="75">
        <v>0</v>
      </c>
      <c r="D6" s="75">
        <f>B6-C6</f>
        <v>0</v>
      </c>
      <c r="E6" s="76"/>
      <c r="G6" s="65" t="s">
        <v>352</v>
      </c>
      <c r="H6" s="65" t="s">
        <v>134</v>
      </c>
      <c r="I6" s="75">
        <v>0</v>
      </c>
      <c r="J6" s="75">
        <v>0</v>
      </c>
      <c r="K6" s="75">
        <f t="shared" ref="K6:K13" si="0">I6-J6</f>
        <v>0</v>
      </c>
      <c r="L6" s="76"/>
      <c r="M6" s="76"/>
      <c r="N6" s="75">
        <v>700000</v>
      </c>
      <c r="O6" s="75">
        <f>I6-N6</f>
        <v>-700000</v>
      </c>
      <c r="P6" s="76">
        <f t="shared" ref="P6:P14" si="1">+I6/N6</f>
        <v>0</v>
      </c>
    </row>
    <row r="7" spans="1:18" x14ac:dyDescent="0.2">
      <c r="B7" s="75">
        <v>54624</v>
      </c>
      <c r="C7" s="75">
        <v>57750</v>
      </c>
      <c r="D7" s="75">
        <f t="shared" ref="D7:D13" si="2">B7-C7</f>
        <v>-3126</v>
      </c>
      <c r="E7" s="76">
        <f t="shared" ref="E7:E14" si="3">+B7/C7</f>
        <v>0.94587012987012986</v>
      </c>
      <c r="G7" s="65" t="s">
        <v>410</v>
      </c>
      <c r="I7" s="75">
        <v>54623.54</v>
      </c>
      <c r="J7" s="75">
        <v>57750</v>
      </c>
      <c r="K7" s="75">
        <f t="shared" si="0"/>
        <v>-3126.4599999999991</v>
      </c>
      <c r="L7" s="76">
        <f t="shared" ref="L7:L14" si="4">+I7/J7</f>
        <v>0.94586216450216454</v>
      </c>
      <c r="M7" s="76"/>
      <c r="N7" s="75">
        <v>825000</v>
      </c>
      <c r="O7" s="75">
        <f t="shared" ref="O7:O13" si="5">I7-N7</f>
        <v>-770376.46</v>
      </c>
      <c r="P7" s="76">
        <f t="shared" si="1"/>
        <v>6.6210351515151519E-2</v>
      </c>
    </row>
    <row r="8" spans="1:18" x14ac:dyDescent="0.2">
      <c r="B8" s="75"/>
      <c r="C8" s="75"/>
      <c r="D8" s="75">
        <f>B8-C8</f>
        <v>0</v>
      </c>
      <c r="E8" s="76"/>
      <c r="G8" s="65" t="s">
        <v>348</v>
      </c>
      <c r="I8" s="75">
        <v>0</v>
      </c>
      <c r="J8" s="75">
        <v>0</v>
      </c>
      <c r="K8" s="75">
        <f t="shared" si="0"/>
        <v>0</v>
      </c>
      <c r="L8" s="76"/>
      <c r="M8" s="76"/>
      <c r="N8" s="75">
        <v>475000</v>
      </c>
      <c r="O8" s="75">
        <f t="shared" si="5"/>
        <v>-475000</v>
      </c>
      <c r="P8" s="76">
        <f t="shared" si="1"/>
        <v>0</v>
      </c>
    </row>
    <row r="9" spans="1:18" x14ac:dyDescent="0.2">
      <c r="B9" s="75">
        <v>232256</v>
      </c>
      <c r="C9" s="75">
        <v>181750</v>
      </c>
      <c r="D9" s="75">
        <f t="shared" si="2"/>
        <v>50506</v>
      </c>
      <c r="E9" s="76">
        <f t="shared" si="3"/>
        <v>1.2778872077028887</v>
      </c>
      <c r="G9" s="65" t="s">
        <v>411</v>
      </c>
      <c r="I9" s="75">
        <v>232256</v>
      </c>
      <c r="J9" s="75">
        <v>181750</v>
      </c>
      <c r="K9" s="75">
        <f t="shared" si="0"/>
        <v>50506</v>
      </c>
      <c r="L9" s="76">
        <f t="shared" si="4"/>
        <v>1.2778872077028887</v>
      </c>
      <c r="M9" s="76"/>
      <c r="N9" s="75">
        <v>445000</v>
      </c>
      <c r="O9" s="75">
        <f t="shared" si="5"/>
        <v>-212744</v>
      </c>
      <c r="P9" s="76">
        <f t="shared" si="1"/>
        <v>0.52192359550561795</v>
      </c>
    </row>
    <row r="10" spans="1:18" x14ac:dyDescent="0.2">
      <c r="B10" s="75">
        <v>65800</v>
      </c>
      <c r="C10" s="75">
        <v>71550</v>
      </c>
      <c r="D10" s="75">
        <f t="shared" si="2"/>
        <v>-5750</v>
      </c>
      <c r="E10" s="76">
        <f t="shared" si="3"/>
        <v>0.9196366177498253</v>
      </c>
      <c r="G10" s="65" t="s">
        <v>412</v>
      </c>
      <c r="I10" s="75">
        <v>65800</v>
      </c>
      <c r="J10" s="75">
        <v>71550</v>
      </c>
      <c r="K10" s="75">
        <f t="shared" si="0"/>
        <v>-5750</v>
      </c>
      <c r="L10" s="76">
        <f t="shared" si="4"/>
        <v>0.9196366177498253</v>
      </c>
      <c r="M10" s="76"/>
      <c r="N10" s="75">
        <v>2010000</v>
      </c>
      <c r="O10" s="75">
        <f t="shared" si="5"/>
        <v>-1944200</v>
      </c>
      <c r="P10" s="76">
        <f t="shared" si="1"/>
        <v>3.2736318407960201E-2</v>
      </c>
    </row>
    <row r="11" spans="1:18" x14ac:dyDescent="0.2">
      <c r="B11" s="75">
        <v>36172</v>
      </c>
      <c r="C11" s="75">
        <v>47505</v>
      </c>
      <c r="D11" s="75">
        <f t="shared" si="2"/>
        <v>-11333</v>
      </c>
      <c r="E11" s="76">
        <f t="shared" si="3"/>
        <v>0.76143563835385752</v>
      </c>
      <c r="G11" s="65" t="s">
        <v>413</v>
      </c>
      <c r="I11" s="75">
        <v>36172</v>
      </c>
      <c r="J11" s="75">
        <v>47505</v>
      </c>
      <c r="K11" s="75">
        <f t="shared" si="0"/>
        <v>-11333</v>
      </c>
      <c r="L11" s="76">
        <f t="shared" si="4"/>
        <v>0.76143563835385752</v>
      </c>
      <c r="M11" s="76"/>
      <c r="N11" s="75">
        <v>600000</v>
      </c>
      <c r="O11" s="75">
        <f t="shared" si="5"/>
        <v>-563828</v>
      </c>
      <c r="P11" s="76">
        <f t="shared" si="1"/>
        <v>6.0286666666666669E-2</v>
      </c>
    </row>
    <row r="12" spans="1:18" x14ac:dyDescent="0.2">
      <c r="B12" s="75">
        <v>8219</v>
      </c>
      <c r="C12" s="75">
        <v>9883</v>
      </c>
      <c r="D12" s="75">
        <f t="shared" si="2"/>
        <v>-1664</v>
      </c>
      <c r="E12" s="76">
        <f t="shared" si="3"/>
        <v>0.83163007184053428</v>
      </c>
      <c r="G12" s="65" t="s">
        <v>414</v>
      </c>
      <c r="I12" s="75">
        <v>8219</v>
      </c>
      <c r="J12" s="75">
        <v>9883</v>
      </c>
      <c r="K12" s="75">
        <f t="shared" si="0"/>
        <v>-1664</v>
      </c>
      <c r="L12" s="76">
        <f t="shared" si="4"/>
        <v>0.83163007184053428</v>
      </c>
      <c r="M12" s="76"/>
      <c r="N12" s="75">
        <v>477000</v>
      </c>
      <c r="O12" s="75">
        <f t="shared" si="5"/>
        <v>-468781</v>
      </c>
      <c r="P12" s="76">
        <f t="shared" si="1"/>
        <v>1.7230607966457024E-2</v>
      </c>
    </row>
    <row r="13" spans="1:18" x14ac:dyDescent="0.2">
      <c r="B13" s="75">
        <v>49806</v>
      </c>
      <c r="C13" s="75">
        <v>31685</v>
      </c>
      <c r="D13" s="75">
        <f t="shared" si="2"/>
        <v>18121</v>
      </c>
      <c r="E13" s="76">
        <f t="shared" si="3"/>
        <v>1.5719109988953763</v>
      </c>
      <c r="G13" s="65" t="s">
        <v>415</v>
      </c>
      <c r="I13" s="75">
        <f>446877-397071</f>
        <v>49806</v>
      </c>
      <c r="J13" s="75">
        <v>31685</v>
      </c>
      <c r="K13" s="75">
        <f t="shared" si="0"/>
        <v>18121</v>
      </c>
      <c r="L13" s="76">
        <f t="shared" si="4"/>
        <v>1.5719109988953763</v>
      </c>
      <c r="M13" s="76"/>
      <c r="N13" s="75">
        <f>6192000-5532000</f>
        <v>660000</v>
      </c>
      <c r="O13" s="75">
        <f t="shared" si="5"/>
        <v>-610194</v>
      </c>
      <c r="P13" s="76">
        <f t="shared" si="1"/>
        <v>7.5463636363636358E-2</v>
      </c>
    </row>
    <row r="14" spans="1:18" x14ac:dyDescent="0.2">
      <c r="B14" s="77">
        <f>SUM(B6:B13)</f>
        <v>446877</v>
      </c>
      <c r="C14" s="77">
        <f>SUM(C6:C13)</f>
        <v>400123</v>
      </c>
      <c r="D14" s="77">
        <f>SUM(D6:D13)</f>
        <v>46754</v>
      </c>
      <c r="E14" s="76">
        <f t="shared" si="3"/>
        <v>1.1168490689113098</v>
      </c>
      <c r="F14" s="62"/>
      <c r="G14" s="78" t="s">
        <v>416</v>
      </c>
      <c r="H14" s="62"/>
      <c r="I14" s="77">
        <f>SUM(I6:I13)</f>
        <v>446876.54</v>
      </c>
      <c r="J14" s="77">
        <f>SUM(J6:J13)</f>
        <v>400123</v>
      </c>
      <c r="K14" s="77">
        <f>SUM(K6:K13)</f>
        <v>46753.54</v>
      </c>
      <c r="L14" s="76">
        <f t="shared" si="4"/>
        <v>1.116847919264826</v>
      </c>
      <c r="M14" s="76"/>
      <c r="N14" s="77">
        <f>SUM(N6:N13)</f>
        <v>6192000</v>
      </c>
      <c r="O14" s="77">
        <f>SUM(O6:O13)</f>
        <v>-5745123.46</v>
      </c>
      <c r="P14" s="76">
        <f t="shared" si="1"/>
        <v>7.2169983850129196E-2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4.25" x14ac:dyDescent="0.2">
      <c r="A16" s="65"/>
      <c r="B16" s="67">
        <f>+B79</f>
        <v>7234.4000000000005</v>
      </c>
      <c r="C16" s="67">
        <f>+C79</f>
        <v>9501</v>
      </c>
      <c r="D16" s="67">
        <f>+B16-C16</f>
        <v>-2266.5999999999995</v>
      </c>
      <c r="E16" s="76"/>
      <c r="F16" s="65"/>
      <c r="G16" s="78" t="s">
        <v>417</v>
      </c>
      <c r="H16" s="65"/>
      <c r="I16" s="67">
        <f>+I79</f>
        <v>7234.4000000000005</v>
      </c>
      <c r="J16" s="67">
        <f>+J79</f>
        <v>9501</v>
      </c>
      <c r="K16" s="67">
        <f>+I16-J16</f>
        <v>-2266.5999999999995</v>
      </c>
      <c r="L16" s="80"/>
      <c r="N16" s="67">
        <f>+N79</f>
        <v>392500</v>
      </c>
    </row>
    <row r="17" spans="1:18" s="81" customFormat="1" ht="14.25" x14ac:dyDescent="0.2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 x14ac:dyDescent="0.2">
      <c r="A18" s="65"/>
      <c r="B18" s="77">
        <f>+B14-B16</f>
        <v>439642.6</v>
      </c>
      <c r="C18" s="77">
        <f>+C14-C16</f>
        <v>390622</v>
      </c>
      <c r="D18" s="67"/>
      <c r="E18" s="76"/>
      <c r="F18" s="65"/>
      <c r="G18" s="78" t="s">
        <v>418</v>
      </c>
      <c r="H18" s="65"/>
      <c r="I18" s="77">
        <f>+I14-I16</f>
        <v>439642.13999999996</v>
      </c>
      <c r="J18" s="77">
        <f>+J14-J16</f>
        <v>390622</v>
      </c>
      <c r="K18" s="67"/>
      <c r="L18" s="80"/>
      <c r="N18" s="77">
        <f>+N14-N16</f>
        <v>5799500</v>
      </c>
      <c r="O18" s="67"/>
    </row>
    <row r="19" spans="1:18" s="81" customFormat="1" ht="14.25" x14ac:dyDescent="0.2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 x14ac:dyDescent="0.2">
      <c r="B20" s="82">
        <f>+B4</f>
        <v>45777</v>
      </c>
      <c r="C20" s="83" t="s">
        <v>402</v>
      </c>
      <c r="D20" s="84" t="s">
        <v>403</v>
      </c>
      <c r="E20" s="85"/>
      <c r="G20" s="72" t="s">
        <v>419</v>
      </c>
      <c r="I20" s="86" t="str">
        <f>I4</f>
        <v>Actual April 2025 - March 2026</v>
      </c>
      <c r="J20" s="71" t="str">
        <f>J4</f>
        <v>Actual April 2025 - March 2026</v>
      </c>
      <c r="K20" s="70" t="s">
        <v>403</v>
      </c>
      <c r="L20" s="71" t="s">
        <v>404</v>
      </c>
      <c r="M20" s="74"/>
      <c r="N20" s="71" t="s">
        <v>420</v>
      </c>
      <c r="O20" s="70" t="s">
        <v>403</v>
      </c>
      <c r="P20" s="71" t="s">
        <v>409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27337</v>
      </c>
      <c r="C22" s="75">
        <v>21195</v>
      </c>
      <c r="D22" s="75">
        <f>B22-C22</f>
        <v>6142</v>
      </c>
      <c r="E22" s="76">
        <f>+B22/C22</f>
        <v>1.2897853267280019</v>
      </c>
      <c r="G22" s="65" t="s">
        <v>421</v>
      </c>
      <c r="I22" s="75">
        <v>27337</v>
      </c>
      <c r="J22" s="75">
        <v>21195</v>
      </c>
      <c r="K22" s="75">
        <f>I22-J22</f>
        <v>6142</v>
      </c>
      <c r="L22" s="76">
        <f>+I22/J22</f>
        <v>1.2897853267280019</v>
      </c>
      <c r="M22" s="76"/>
      <c r="N22" s="75">
        <v>373000</v>
      </c>
      <c r="O22" s="75">
        <f>I22-N22</f>
        <v>-345663</v>
      </c>
      <c r="P22" s="76">
        <f>+I22/N22</f>
        <v>7.3289544235924931E-2</v>
      </c>
      <c r="R22" s="79"/>
    </row>
    <row r="23" spans="1:18" x14ac:dyDescent="0.2">
      <c r="B23" s="75">
        <v>6085</v>
      </c>
      <c r="C23" s="75">
        <v>9001</v>
      </c>
      <c r="D23" s="75">
        <f>B23-C23</f>
        <v>-2916</v>
      </c>
      <c r="E23" s="76">
        <f>+B23/C23</f>
        <v>0.67603599600044439</v>
      </c>
      <c r="G23" s="65" t="s">
        <v>422</v>
      </c>
      <c r="I23" s="75">
        <v>6085</v>
      </c>
      <c r="J23" s="75">
        <v>9001</v>
      </c>
      <c r="K23" s="75">
        <f>I23-J23</f>
        <v>-2916</v>
      </c>
      <c r="L23" s="76">
        <f>+I23/J23</f>
        <v>0.67603599600044439</v>
      </c>
      <c r="M23" s="76"/>
      <c r="N23" s="75">
        <v>108000</v>
      </c>
      <c r="O23" s="75">
        <f>I23-N23</f>
        <v>-101915</v>
      </c>
      <c r="P23" s="76">
        <f>+I23/N23</f>
        <v>5.634259259259259E-2</v>
      </c>
      <c r="R23" s="79"/>
    </row>
    <row r="24" spans="1:18" s="62" customFormat="1" x14ac:dyDescent="0.2">
      <c r="B24" s="87">
        <f>SUM(B22:B23)</f>
        <v>33422</v>
      </c>
      <c r="C24" s="87">
        <f>SUM(C22:C23)</f>
        <v>30196</v>
      </c>
      <c r="D24" s="87">
        <f>+B24-C24</f>
        <v>3226</v>
      </c>
      <c r="E24" s="76">
        <f>+B24/C24</f>
        <v>1.1068353424294608</v>
      </c>
      <c r="G24" s="62" t="s">
        <v>423</v>
      </c>
      <c r="I24" s="87">
        <f>SUM(I22:I23)</f>
        <v>33422</v>
      </c>
      <c r="J24" s="87">
        <f>SUM(J22:J23)</f>
        <v>30196</v>
      </c>
      <c r="K24" s="87">
        <f>SUM(K22:K23)</f>
        <v>3226</v>
      </c>
      <c r="L24" s="76">
        <f>+I24/J24</f>
        <v>1.1068353424294608</v>
      </c>
      <c r="M24" s="76"/>
      <c r="N24" s="87">
        <f>SUM(N22:N23)</f>
        <v>481000</v>
      </c>
      <c r="O24" s="87">
        <f>SUM(O22:O23)</f>
        <v>-447578</v>
      </c>
      <c r="P24" s="76">
        <f>+I24/N24</f>
        <v>6.9484407484407484E-2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40431</v>
      </c>
      <c r="C26" s="75">
        <v>41240</v>
      </c>
      <c r="D26" s="75">
        <f>B26-C26</f>
        <v>-809</v>
      </c>
      <c r="E26" s="76">
        <f>+B26/C26</f>
        <v>0.98038312318137733</v>
      </c>
      <c r="G26" s="65" t="s">
        <v>424</v>
      </c>
      <c r="I26" s="75">
        <v>40431</v>
      </c>
      <c r="J26" s="75">
        <v>41240</v>
      </c>
      <c r="K26" s="75">
        <f>I26-J26</f>
        <v>-809</v>
      </c>
      <c r="L26" s="76">
        <f>+I26/J26</f>
        <v>0.98038312318137733</v>
      </c>
      <c r="M26" s="76"/>
      <c r="N26" s="75">
        <v>528658</v>
      </c>
      <c r="O26" s="75">
        <f>I26-N26</f>
        <v>-488227</v>
      </c>
      <c r="P26" s="76">
        <f>+I26/N26</f>
        <v>7.647855513394293E-2</v>
      </c>
      <c r="R26" s="79"/>
    </row>
    <row r="27" spans="1:18" x14ac:dyDescent="0.2">
      <c r="B27" s="75">
        <v>1</v>
      </c>
      <c r="C27" s="75">
        <v>1</v>
      </c>
      <c r="D27" s="75">
        <f>B27-C27</f>
        <v>0</v>
      </c>
      <c r="E27" s="76">
        <f>+B27/C27</f>
        <v>1</v>
      </c>
      <c r="G27" s="65" t="s">
        <v>425</v>
      </c>
      <c r="I27" s="75">
        <v>1.2</v>
      </c>
      <c r="J27" s="75">
        <v>1</v>
      </c>
      <c r="K27" s="75">
        <f>I27-J27</f>
        <v>0.19999999999999996</v>
      </c>
      <c r="L27" s="76">
        <f>+I27/J27</f>
        <v>1.2</v>
      </c>
      <c r="M27" s="76"/>
      <c r="N27" s="75">
        <v>5465</v>
      </c>
      <c r="O27" s="75">
        <f>I27-N27</f>
        <v>-5463.8</v>
      </c>
      <c r="P27" s="76">
        <f>+I27/N27</f>
        <v>2.1957913998170173E-4</v>
      </c>
      <c r="R27" s="79"/>
    </row>
    <row r="28" spans="1:18" x14ac:dyDescent="0.2">
      <c r="B28" s="75">
        <v>16039</v>
      </c>
      <c r="C28" s="75">
        <v>17957</v>
      </c>
      <c r="D28" s="75">
        <f>B28-C28</f>
        <v>-1918</v>
      </c>
      <c r="E28" s="76">
        <f>+B28/C28</f>
        <v>0.89318928551539789</v>
      </c>
      <c r="G28" s="65" t="s">
        <v>426</v>
      </c>
      <c r="I28" s="75">
        <v>16039</v>
      </c>
      <c r="J28" s="75">
        <v>17957</v>
      </c>
      <c r="K28" s="75">
        <f>I28-J28</f>
        <v>-1918</v>
      </c>
      <c r="L28" s="76">
        <f>+I28/J28</f>
        <v>0.89318928551539789</v>
      </c>
      <c r="M28" s="76"/>
      <c r="N28" s="75">
        <f>744123-534123</f>
        <v>210000</v>
      </c>
      <c r="O28" s="75">
        <f>I28-N28</f>
        <v>-193961</v>
      </c>
      <c r="P28" s="76">
        <f>+I28/N28</f>
        <v>7.6376190476190473E-2</v>
      </c>
      <c r="R28" s="79"/>
    </row>
    <row r="29" spans="1:18" s="62" customFormat="1" x14ac:dyDescent="0.2">
      <c r="B29" s="87">
        <f>SUM(B26:B28)</f>
        <v>56471</v>
      </c>
      <c r="C29" s="87">
        <f>SUM(C26:C28)</f>
        <v>59198</v>
      </c>
      <c r="D29" s="87">
        <f>+B29-C29</f>
        <v>-2727</v>
      </c>
      <c r="E29" s="76">
        <f>+B29/C29</f>
        <v>0.95393425453562619</v>
      </c>
      <c r="G29" s="62" t="s">
        <v>176</v>
      </c>
      <c r="I29" s="87">
        <f>SUM(I26:I28)</f>
        <v>56471.199999999997</v>
      </c>
      <c r="J29" s="87">
        <f>SUM(J26:J28)</f>
        <v>59198</v>
      </c>
      <c r="K29" s="87">
        <f>SUM(K26:K28)</f>
        <v>-2726.8</v>
      </c>
      <c r="L29" s="76">
        <f>+I29/J29</f>
        <v>0.95393763302814283</v>
      </c>
      <c r="M29" s="76"/>
      <c r="N29" s="87">
        <f>SUM(N26:N28)</f>
        <v>744123</v>
      </c>
      <c r="O29" s="87">
        <f>SUM(O26:O28)</f>
        <v>-687651.8</v>
      </c>
      <c r="P29" s="76">
        <f>+I29/N29</f>
        <v>7.5889604272411954E-2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134</v>
      </c>
      <c r="B31" s="75">
        <v>158611</v>
      </c>
      <c r="C31" s="75">
        <v>159514</v>
      </c>
      <c r="D31" s="75">
        <f>B31-C31</f>
        <v>-903</v>
      </c>
      <c r="E31" s="76">
        <f t="shared" ref="E31:E35" si="6">+B31/C31</f>
        <v>0.99433905487919561</v>
      </c>
      <c r="G31" s="65" t="s">
        <v>427</v>
      </c>
      <c r="I31" s="75">
        <v>158611</v>
      </c>
      <c r="J31" s="75">
        <v>159514</v>
      </c>
      <c r="K31" s="75">
        <f>I31-J31</f>
        <v>-903</v>
      </c>
      <c r="L31" s="76">
        <f t="shared" ref="L31:L35" si="7">+I31/J31</f>
        <v>0.99433905487919561</v>
      </c>
      <c r="M31" s="76"/>
      <c r="N31" s="75">
        <v>2093228</v>
      </c>
      <c r="O31" s="75">
        <f>I31-N31</f>
        <v>-1934617</v>
      </c>
      <c r="P31" s="76">
        <f t="shared" ref="P31:P35" si="8">+I31/N31</f>
        <v>7.577339878885625E-2</v>
      </c>
      <c r="R31" s="79"/>
    </row>
    <row r="32" spans="1:18" x14ac:dyDescent="0.2">
      <c r="B32" s="75">
        <v>43429</v>
      </c>
      <c r="C32" s="75">
        <v>42478</v>
      </c>
      <c r="D32" s="75">
        <f>B32-C32</f>
        <v>951</v>
      </c>
      <c r="E32" s="76">
        <f t="shared" si="6"/>
        <v>1.0223880597014925</v>
      </c>
      <c r="G32" s="65" t="s">
        <v>428</v>
      </c>
      <c r="I32" s="75">
        <v>43429</v>
      </c>
      <c r="J32" s="75">
        <v>42478</v>
      </c>
      <c r="K32" s="75">
        <f>I32-J32</f>
        <v>951</v>
      </c>
      <c r="L32" s="76">
        <f t="shared" si="7"/>
        <v>1.0223880597014925</v>
      </c>
      <c r="M32" s="76"/>
      <c r="N32" s="75">
        <v>539457</v>
      </c>
      <c r="O32" s="75">
        <f>I32-N32</f>
        <v>-496028</v>
      </c>
      <c r="P32" s="76">
        <f t="shared" si="8"/>
        <v>8.0505026350571038E-2</v>
      </c>
      <c r="R32" s="79"/>
    </row>
    <row r="33" spans="2:18" x14ac:dyDescent="0.2">
      <c r="B33" s="75">
        <v>7750</v>
      </c>
      <c r="C33" s="75">
        <v>5516</v>
      </c>
      <c r="D33" s="75">
        <f>B33-C33</f>
        <v>2234</v>
      </c>
      <c r="E33" s="76">
        <f t="shared" si="6"/>
        <v>1.4050036258158085</v>
      </c>
      <c r="G33" s="65" t="s">
        <v>429</v>
      </c>
      <c r="I33" s="75">
        <v>7750</v>
      </c>
      <c r="J33" s="75">
        <v>5516</v>
      </c>
      <c r="K33" s="75">
        <f>I33-J33</f>
        <v>2234</v>
      </c>
      <c r="L33" s="76">
        <f t="shared" si="7"/>
        <v>1.4050036258158085</v>
      </c>
      <c r="M33" s="76"/>
      <c r="N33" s="75">
        <v>233127</v>
      </c>
      <c r="O33" s="75">
        <f>I33-N33</f>
        <v>-225377</v>
      </c>
      <c r="P33" s="76">
        <f t="shared" si="8"/>
        <v>3.3243682627923835E-2</v>
      </c>
      <c r="R33" s="79"/>
    </row>
    <row r="34" spans="2:18" x14ac:dyDescent="0.2">
      <c r="B34" s="75">
        <v>23761</v>
      </c>
      <c r="C34" s="75">
        <v>37001</v>
      </c>
      <c r="D34" s="75">
        <f>B34-C34</f>
        <v>-13240</v>
      </c>
      <c r="E34" s="76">
        <f t="shared" si="6"/>
        <v>0.64217183319369742</v>
      </c>
      <c r="G34" s="65" t="s">
        <v>430</v>
      </c>
      <c r="I34" s="75">
        <v>23761</v>
      </c>
      <c r="J34" s="75">
        <v>37001</v>
      </c>
      <c r="K34" s="75">
        <f>I34-J34</f>
        <v>-13240</v>
      </c>
      <c r="L34" s="76">
        <f t="shared" si="7"/>
        <v>0.64217183319369742</v>
      </c>
      <c r="M34" s="76"/>
      <c r="N34" s="75">
        <f>3309812-2865812</f>
        <v>444000</v>
      </c>
      <c r="O34" s="75">
        <f>I34-N34</f>
        <v>-420239</v>
      </c>
      <c r="P34" s="76">
        <f t="shared" si="8"/>
        <v>5.3515765765765763E-2</v>
      </c>
      <c r="R34" s="79"/>
    </row>
    <row r="35" spans="2:18" s="62" customFormat="1" x14ac:dyDescent="0.2">
      <c r="B35" s="87">
        <f>SUM(B31:B34)</f>
        <v>233551</v>
      </c>
      <c r="C35" s="87">
        <f>SUM(C31:C34)</f>
        <v>244509</v>
      </c>
      <c r="D35" s="87">
        <f>+B35-C35</f>
        <v>-10958</v>
      </c>
      <c r="E35" s="76">
        <f t="shared" si="6"/>
        <v>0.95518365377143577</v>
      </c>
      <c r="G35" s="62" t="s">
        <v>431</v>
      </c>
      <c r="I35" s="87">
        <f>SUM(I31:I34)</f>
        <v>233551</v>
      </c>
      <c r="J35" s="87">
        <f>SUM(J31:J34)</f>
        <v>244509</v>
      </c>
      <c r="K35" s="87">
        <f>SUM(K31:K34)</f>
        <v>-10958</v>
      </c>
      <c r="L35" s="76">
        <f t="shared" si="7"/>
        <v>0.95518365377143577</v>
      </c>
      <c r="M35" s="76"/>
      <c r="N35" s="87">
        <f>SUM(N31:N34)</f>
        <v>3309812</v>
      </c>
      <c r="O35" s="87">
        <f>SUM(O31:O34)</f>
        <v>-3076261</v>
      </c>
      <c r="P35" s="76">
        <f t="shared" si="8"/>
        <v>7.0563222321992913E-2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15974</v>
      </c>
      <c r="C37" s="75">
        <v>16848</v>
      </c>
      <c r="D37" s="75">
        <f>B37-C37</f>
        <v>-874</v>
      </c>
      <c r="E37" s="76">
        <f>+B37/C37</f>
        <v>0.94812440645773977</v>
      </c>
      <c r="G37" s="65" t="s">
        <v>432</v>
      </c>
      <c r="I37" s="75">
        <v>15974</v>
      </c>
      <c r="J37" s="75">
        <v>16848</v>
      </c>
      <c r="K37" s="75">
        <f>I37-J37</f>
        <v>-874</v>
      </c>
      <c r="L37" s="76">
        <f>+I37/J37</f>
        <v>0.94812440645773977</v>
      </c>
      <c r="M37" s="76"/>
      <c r="N37" s="75">
        <v>206600</v>
      </c>
      <c r="O37" s="75">
        <f>I37-N37</f>
        <v>-190626</v>
      </c>
      <c r="P37" s="76">
        <f>+I37/N37</f>
        <v>7.7318489835430784E-2</v>
      </c>
      <c r="R37" s="79"/>
    </row>
    <row r="38" spans="2:18" x14ac:dyDescent="0.2">
      <c r="B38" s="75">
        <v>427</v>
      </c>
      <c r="C38" s="75">
        <v>24</v>
      </c>
      <c r="D38" s="75">
        <f>B38-C38</f>
        <v>403</v>
      </c>
      <c r="E38" s="76"/>
      <c r="G38" s="65" t="s">
        <v>433</v>
      </c>
      <c r="I38" s="75">
        <v>427</v>
      </c>
      <c r="J38" s="75">
        <v>24</v>
      </c>
      <c r="K38" s="75">
        <f>I38-J38</f>
        <v>403</v>
      </c>
      <c r="L38" s="76">
        <f>+I38/J38</f>
        <v>17.791666666666668</v>
      </c>
      <c r="M38" s="76"/>
      <c r="N38" s="75">
        <v>11308</v>
      </c>
      <c r="O38" s="75">
        <f>I38-N38</f>
        <v>-10881</v>
      </c>
      <c r="P38" s="76">
        <f>+I38/N38</f>
        <v>3.7760877255040681E-2</v>
      </c>
      <c r="R38" s="79"/>
    </row>
    <row r="39" spans="2:18" x14ac:dyDescent="0.2">
      <c r="B39" s="75">
        <v>917</v>
      </c>
      <c r="C39" s="75">
        <v>2139</v>
      </c>
      <c r="D39" s="75">
        <f>B39-C39</f>
        <v>-1222</v>
      </c>
      <c r="E39" s="76">
        <f>+B39/C39</f>
        <v>0.42870500233754089</v>
      </c>
      <c r="G39" s="65" t="s">
        <v>434</v>
      </c>
      <c r="I39" s="75">
        <v>917</v>
      </c>
      <c r="J39" s="75">
        <v>2139</v>
      </c>
      <c r="K39" s="75">
        <f>I39-J39</f>
        <v>-1222</v>
      </c>
      <c r="L39" s="76">
        <f>+I39/J39</f>
        <v>0.42870500233754089</v>
      </c>
      <c r="M39" s="76"/>
      <c r="N39" s="75">
        <f>243558-217908</f>
        <v>25650</v>
      </c>
      <c r="O39" s="75">
        <f>I39-N39</f>
        <v>-24733</v>
      </c>
      <c r="P39" s="76">
        <f>+I39/N39</f>
        <v>3.5750487329434699E-2</v>
      </c>
      <c r="R39" s="79"/>
    </row>
    <row r="40" spans="2:18" s="62" customFormat="1" x14ac:dyDescent="0.2">
      <c r="B40" s="87">
        <f>SUM(B37:B39)</f>
        <v>17318</v>
      </c>
      <c r="C40" s="87">
        <f>SUM(C37:C39)</f>
        <v>19011</v>
      </c>
      <c r="D40" s="87">
        <f>SUM(D37:D39)</f>
        <v>-1693</v>
      </c>
      <c r="E40" s="76">
        <f>+B40/C40</f>
        <v>0.91094629425069695</v>
      </c>
      <c r="G40" s="62" t="s">
        <v>435</v>
      </c>
      <c r="I40" s="87">
        <f>SUM(I37:I39)</f>
        <v>17318</v>
      </c>
      <c r="J40" s="87">
        <f>SUM(J37:J39)</f>
        <v>19011</v>
      </c>
      <c r="K40" s="87">
        <f>SUM(K37:K39)</f>
        <v>-1693</v>
      </c>
      <c r="L40" s="76">
        <f>+I40/J40</f>
        <v>0.91094629425069695</v>
      </c>
      <c r="M40" s="76"/>
      <c r="N40" s="87">
        <f>SUM(N37:N39)</f>
        <v>243558</v>
      </c>
      <c r="O40" s="87">
        <f>SUM(O37:O39)</f>
        <v>-226240</v>
      </c>
      <c r="P40" s="76">
        <f>+I40/N40</f>
        <v>7.110421337012128E-2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10298</v>
      </c>
      <c r="C42" s="75">
        <v>10702</v>
      </c>
      <c r="D42" s="75">
        <f>B42-C42</f>
        <v>-404</v>
      </c>
      <c r="E42" s="76">
        <f>+B42/C42</f>
        <v>0.96225004672023917</v>
      </c>
      <c r="G42" s="65" t="s">
        <v>436</v>
      </c>
      <c r="I42" s="75">
        <v>10298</v>
      </c>
      <c r="J42" s="75">
        <v>10702</v>
      </c>
      <c r="K42" s="75">
        <f>I42-J42</f>
        <v>-404</v>
      </c>
      <c r="L42" s="76">
        <f>+I42/J42</f>
        <v>0.96225004672023917</v>
      </c>
      <c r="M42" s="76"/>
      <c r="N42" s="75">
        <v>129330</v>
      </c>
      <c r="O42" s="75">
        <f>I42-N42</f>
        <v>-119032</v>
      </c>
      <c r="P42" s="76">
        <f>+I42/N42</f>
        <v>7.9625763550606979E-2</v>
      </c>
      <c r="R42" s="79"/>
    </row>
    <row r="43" spans="2:18" x14ac:dyDescent="0.2">
      <c r="B43" s="75">
        <v>1919</v>
      </c>
      <c r="C43" s="75">
        <v>3032</v>
      </c>
      <c r="D43" s="75">
        <f>B43-C43</f>
        <v>-1113</v>
      </c>
      <c r="E43" s="76">
        <f>+B43/C43</f>
        <v>0.6329155672823219</v>
      </c>
      <c r="G43" s="65" t="s">
        <v>437</v>
      </c>
      <c r="I43" s="75">
        <v>1919</v>
      </c>
      <c r="J43" s="75">
        <v>3032</v>
      </c>
      <c r="K43" s="75">
        <f>I43-J43</f>
        <v>-1113</v>
      </c>
      <c r="L43" s="76">
        <f>+I43/J43</f>
        <v>0.6329155672823219</v>
      </c>
      <c r="M43" s="76"/>
      <c r="N43" s="75">
        <v>107695</v>
      </c>
      <c r="O43" s="75">
        <f>I43-N43</f>
        <v>-105776</v>
      </c>
      <c r="P43" s="76">
        <f>+I43/N43</f>
        <v>1.7818840243279632E-2</v>
      </c>
      <c r="R43" s="79"/>
    </row>
    <row r="44" spans="2:18" x14ac:dyDescent="0.2">
      <c r="B44" s="75">
        <v>536</v>
      </c>
      <c r="C44" s="75">
        <v>2367</v>
      </c>
      <c r="D44" s="75">
        <f>B44-C44</f>
        <v>-1831</v>
      </c>
      <c r="E44" s="76">
        <f>+B44/C44</f>
        <v>0.22644697929869032</v>
      </c>
      <c r="G44" s="65" t="s">
        <v>438</v>
      </c>
      <c r="I44" s="75">
        <v>536</v>
      </c>
      <c r="J44" s="75">
        <v>2367</v>
      </c>
      <c r="K44" s="75">
        <f>I44-J44</f>
        <v>-1831</v>
      </c>
      <c r="L44" s="76">
        <f>+I44/J44</f>
        <v>0.22644697929869032</v>
      </c>
      <c r="M44" s="76"/>
      <c r="N44" s="75">
        <f>258025-237025</f>
        <v>21000</v>
      </c>
      <c r="O44" s="75">
        <f>I44-N44</f>
        <v>-20464</v>
      </c>
      <c r="P44" s="76">
        <f>+I44/N44</f>
        <v>2.5523809523809525E-2</v>
      </c>
      <c r="R44" s="79"/>
    </row>
    <row r="45" spans="2:18" s="62" customFormat="1" x14ac:dyDescent="0.2">
      <c r="B45" s="87">
        <f>SUM(B42:B44)</f>
        <v>12753</v>
      </c>
      <c r="C45" s="87">
        <f>SUM(C42:C44)</f>
        <v>16101</v>
      </c>
      <c r="D45" s="87">
        <f>+B45-C45</f>
        <v>-3348</v>
      </c>
      <c r="E45" s="76">
        <f>+B45/C45</f>
        <v>0.79206260480715485</v>
      </c>
      <c r="G45" s="62" t="s">
        <v>156</v>
      </c>
      <c r="I45" s="87">
        <f>SUM(I42:I44)</f>
        <v>12753</v>
      </c>
      <c r="J45" s="87">
        <f>SUM(J42:J44)</f>
        <v>16101</v>
      </c>
      <c r="K45" s="87">
        <f>SUM(K42:K44)</f>
        <v>-3348</v>
      </c>
      <c r="L45" s="76">
        <f>+I45/J45</f>
        <v>0.79206260480715485</v>
      </c>
      <c r="M45" s="76"/>
      <c r="N45" s="87">
        <f>SUM(N42:N44)</f>
        <v>258025</v>
      </c>
      <c r="O45" s="87">
        <f>SUM(O42:O44)</f>
        <v>-245272</v>
      </c>
      <c r="P45" s="76">
        <f>+I45/N45</f>
        <v>4.9425443271000874E-2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x14ac:dyDescent="0.2">
      <c r="B47" s="87">
        <v>11616</v>
      </c>
      <c r="C47" s="87">
        <v>12162</v>
      </c>
      <c r="D47" s="87">
        <f>+B47-C47</f>
        <v>-546</v>
      </c>
      <c r="E47" s="76">
        <f>+B47/C47</f>
        <v>0.9551060680809077</v>
      </c>
      <c r="G47" s="62" t="s">
        <v>440</v>
      </c>
      <c r="I47" s="87">
        <v>11616</v>
      </c>
      <c r="J47" s="87">
        <v>12162</v>
      </c>
      <c r="K47" s="87">
        <f>I47-J47</f>
        <v>-546</v>
      </c>
      <c r="L47" s="76">
        <f>+I47/J47</f>
        <v>0.9551060680809077</v>
      </c>
      <c r="M47" s="76"/>
      <c r="N47" s="87">
        <v>153474</v>
      </c>
      <c r="O47" s="87">
        <f>I47-N47</f>
        <v>-141858</v>
      </c>
      <c r="P47" s="76">
        <f>+I47/N47</f>
        <v>7.568708706360687E-2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x14ac:dyDescent="0.2">
      <c r="B49" s="87">
        <v>2980</v>
      </c>
      <c r="C49" s="87">
        <v>2570</v>
      </c>
      <c r="D49" s="87">
        <f>+B49-C49</f>
        <v>410</v>
      </c>
      <c r="E49" s="76">
        <f>+B49/C49</f>
        <v>1.1595330739299612</v>
      </c>
      <c r="G49" s="62" t="s">
        <v>136</v>
      </c>
      <c r="I49" s="87">
        <v>2980</v>
      </c>
      <c r="J49" s="87">
        <v>2570</v>
      </c>
      <c r="K49" s="87">
        <f>I49-J49</f>
        <v>410</v>
      </c>
      <c r="L49" s="76">
        <f>+I49/J49</f>
        <v>1.1595330739299612</v>
      </c>
      <c r="M49" s="76"/>
      <c r="N49" s="87">
        <v>33277</v>
      </c>
      <c r="O49" s="87">
        <f>I49-N49</f>
        <v>-30297</v>
      </c>
      <c r="P49" s="76">
        <f>+I49/N49</f>
        <v>8.9551341767587223E-2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2254</v>
      </c>
      <c r="C51" s="75">
        <v>2448</v>
      </c>
      <c r="D51" s="75">
        <f>B51-C51</f>
        <v>-194</v>
      </c>
      <c r="E51" s="76">
        <f>+B51/C51</f>
        <v>0.92075163398692805</v>
      </c>
      <c r="G51" s="65" t="s">
        <v>441</v>
      </c>
      <c r="I51" s="75">
        <v>2254</v>
      </c>
      <c r="J51" s="75">
        <v>2448</v>
      </c>
      <c r="K51" s="75">
        <f>I51-J51</f>
        <v>-194</v>
      </c>
      <c r="L51" s="76">
        <f>+I51/J51</f>
        <v>0.92075163398692805</v>
      </c>
      <c r="M51" s="76"/>
      <c r="N51" s="75">
        <v>29585</v>
      </c>
      <c r="O51" s="75">
        <f>I51-N51</f>
        <v>-27331</v>
      </c>
      <c r="P51" s="76">
        <f>+I51/N51</f>
        <v>7.618725705594051E-2</v>
      </c>
      <c r="R51" s="79"/>
    </row>
    <row r="52" spans="1:18" x14ac:dyDescent="0.2">
      <c r="B52" s="75">
        <v>1008</v>
      </c>
      <c r="C52" s="75">
        <v>6055</v>
      </c>
      <c r="D52" s="75">
        <f>B52-C52</f>
        <v>-5047</v>
      </c>
      <c r="E52" s="76">
        <f>+B52/C52</f>
        <v>0.16647398843930636</v>
      </c>
      <c r="G52" s="65" t="s">
        <v>442</v>
      </c>
      <c r="I52" s="75">
        <v>1008</v>
      </c>
      <c r="J52" s="75">
        <v>6055</v>
      </c>
      <c r="K52" s="75">
        <f>I52-J52</f>
        <v>-5047</v>
      </c>
      <c r="L52" s="76">
        <f>+I52/J52</f>
        <v>0.16647398843930636</v>
      </c>
      <c r="M52" s="76"/>
      <c r="N52" s="75">
        <v>509245</v>
      </c>
      <c r="O52" s="75">
        <f>I52-N52</f>
        <v>-508237</v>
      </c>
      <c r="P52" s="76">
        <f>+I52/N52</f>
        <v>1.9794008777700321E-3</v>
      </c>
      <c r="R52" s="79"/>
    </row>
    <row r="53" spans="1:18" x14ac:dyDescent="0.2">
      <c r="B53" s="75">
        <v>1393</v>
      </c>
      <c r="C53" s="75">
        <v>4192</v>
      </c>
      <c r="D53" s="75">
        <f>B53-C53</f>
        <v>-2799</v>
      </c>
      <c r="E53" s="76">
        <f>+B53/C53</f>
        <v>0.33229961832061067</v>
      </c>
      <c r="G53" s="65" t="s">
        <v>443</v>
      </c>
      <c r="I53" s="75">
        <v>1393</v>
      </c>
      <c r="J53" s="75">
        <v>4192</v>
      </c>
      <c r="K53" s="75">
        <f>I53-J53</f>
        <v>-2799</v>
      </c>
      <c r="L53" s="76">
        <f>+I53/J53</f>
        <v>0.33229961832061067</v>
      </c>
      <c r="M53" s="76"/>
      <c r="N53" s="75">
        <f>575630-538830</f>
        <v>36800</v>
      </c>
      <c r="O53" s="75">
        <f>I53-N53</f>
        <v>-35407</v>
      </c>
      <c r="P53" s="76">
        <f>+I53/N53</f>
        <v>3.7853260869565218E-2</v>
      </c>
      <c r="R53" s="79"/>
    </row>
    <row r="54" spans="1:18" s="62" customFormat="1" x14ac:dyDescent="0.2">
      <c r="B54" s="87">
        <f>B53+B52+B51</f>
        <v>4655</v>
      </c>
      <c r="C54" s="87">
        <f>C53+C52+C51</f>
        <v>12695</v>
      </c>
      <c r="D54" s="87">
        <f>+B54-C54</f>
        <v>-8040</v>
      </c>
      <c r="E54" s="76">
        <f>+B54/C54</f>
        <v>0.36667979519495864</v>
      </c>
      <c r="G54" s="62" t="s">
        <v>444</v>
      </c>
      <c r="I54" s="87">
        <f>I53+I52+I51</f>
        <v>4655</v>
      </c>
      <c r="J54" s="87">
        <f>J53+J52+J51</f>
        <v>12695</v>
      </c>
      <c r="K54" s="87">
        <f>K53+K52+K51</f>
        <v>-8040</v>
      </c>
      <c r="L54" s="76">
        <f>+I54/J54</f>
        <v>0.36667979519495864</v>
      </c>
      <c r="M54" s="76"/>
      <c r="N54" s="87">
        <f>N53+N52+N51</f>
        <v>575630</v>
      </c>
      <c r="O54" s="87">
        <f>O53+O52+O51</f>
        <v>-570975</v>
      </c>
      <c r="P54" s="76">
        <f>+I54/N54</f>
        <v>8.0867918628285528E-3</v>
      </c>
      <c r="R54" s="79"/>
    </row>
    <row r="55" spans="1:18" s="81" customFormat="1" ht="14.25" x14ac:dyDescent="0.2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x14ac:dyDescent="0.2">
      <c r="B56" s="77">
        <f>+B54+B49+B47+B45+B40+B35+B29+B24</f>
        <v>372766</v>
      </c>
      <c r="C56" s="77">
        <f>+C54+C49+C47+C45+C40+C35+C29+C24</f>
        <v>396442</v>
      </c>
      <c r="D56" s="77">
        <f>B56-C56</f>
        <v>-23676</v>
      </c>
      <c r="E56" s="76">
        <f>+B56/C56</f>
        <v>0.94027877974583929</v>
      </c>
      <c r="F56" s="62"/>
      <c r="G56" s="78" t="s">
        <v>445</v>
      </c>
      <c r="H56" s="62"/>
      <c r="I56" s="77">
        <f>+I54+I49+I47+I45+I40+I35+I29+I24</f>
        <v>372766.2</v>
      </c>
      <c r="J56" s="77">
        <f>+J54+J49+J47+J45+J40+J35+J29+J24</f>
        <v>396442</v>
      </c>
      <c r="K56" s="77">
        <f>I56-J56</f>
        <v>-23675.799999999988</v>
      </c>
      <c r="L56" s="76">
        <f>+I56/J56</f>
        <v>0.9402792842332548</v>
      </c>
      <c r="M56" s="88"/>
      <c r="N56" s="77">
        <f>+N54+N49+N47+N45+N40+N35+N29+N24</f>
        <v>5798899</v>
      </c>
      <c r="O56" s="77">
        <f>I56-N56</f>
        <v>-5426132.7999999998</v>
      </c>
      <c r="P56" s="76">
        <f>+I56/N56</f>
        <v>6.4282237024648997E-2</v>
      </c>
      <c r="R56" s="79"/>
    </row>
    <row r="57" spans="1:18" s="81" customFormat="1" ht="14.25" x14ac:dyDescent="0.2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x14ac:dyDescent="0.2">
      <c r="B58" s="77">
        <f>+B18-B56</f>
        <v>66876.599999999977</v>
      </c>
      <c r="C58" s="77">
        <f>+C18-C56</f>
        <v>-5820</v>
      </c>
      <c r="D58" s="89"/>
      <c r="E58" s="90"/>
      <c r="F58" s="62"/>
      <c r="G58" s="78" t="s">
        <v>446</v>
      </c>
      <c r="H58" s="62"/>
      <c r="I58" s="77">
        <f>+I18-I56</f>
        <v>66875.939999999944</v>
      </c>
      <c r="J58" s="77">
        <f>+J18-J56</f>
        <v>-5820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 x14ac:dyDescent="0.2">
      <c r="A60" s="81"/>
      <c r="D60" s="94" t="s">
        <v>447</v>
      </c>
      <c r="F60" s="117" t="s">
        <v>448</v>
      </c>
      <c r="G60" s="117"/>
      <c r="H60" s="117"/>
      <c r="I60" s="117"/>
      <c r="J60" s="117"/>
      <c r="K60" s="117"/>
      <c r="L60" s="117"/>
      <c r="M60" s="117"/>
      <c r="N60" s="117"/>
    </row>
    <row r="61" spans="1:18" s="93" customFormat="1" ht="11.25" hidden="1" x14ac:dyDescent="0.2">
      <c r="C61" s="94"/>
      <c r="G61" s="95" t="s">
        <v>449</v>
      </c>
      <c r="I61" s="96">
        <f>-I6*0.03</f>
        <v>0</v>
      </c>
      <c r="J61" s="96">
        <f>-J6*0.03</f>
        <v>0</v>
      </c>
      <c r="L61" s="93" t="s">
        <v>449</v>
      </c>
      <c r="N61" s="96">
        <v>-23100</v>
      </c>
    </row>
    <row r="62" spans="1:18" s="93" customFormat="1" ht="11.25" hidden="1" x14ac:dyDescent="0.2">
      <c r="B62" s="94"/>
      <c r="C62" s="94"/>
      <c r="D62" s="94"/>
      <c r="G62" s="95" t="s">
        <v>450</v>
      </c>
      <c r="I62" s="96">
        <f>-0.2*I11</f>
        <v>-7234.4000000000005</v>
      </c>
      <c r="J62" s="96">
        <f>-0.2*J11</f>
        <v>-9501</v>
      </c>
      <c r="L62" s="93" t="s">
        <v>450</v>
      </c>
      <c r="N62" s="96">
        <v>-38500</v>
      </c>
    </row>
    <row r="63" spans="1:18" s="93" customFormat="1" ht="11.25" hidden="1" x14ac:dyDescent="0.2">
      <c r="B63" s="94"/>
      <c r="C63" s="94"/>
      <c r="D63" s="94"/>
      <c r="G63" s="95" t="s">
        <v>451</v>
      </c>
      <c r="I63" s="96">
        <f>995729*-0.05</f>
        <v>-49786.450000000004</v>
      </c>
      <c r="J63" s="96">
        <f>-0.05*(755000)</f>
        <v>-37750</v>
      </c>
      <c r="L63" s="93" t="s">
        <v>451</v>
      </c>
      <c r="N63" s="96">
        <v>-37750</v>
      </c>
    </row>
    <row r="64" spans="1:18" s="93" customFormat="1" ht="11.25" hidden="1" x14ac:dyDescent="0.2">
      <c r="B64" s="94"/>
      <c r="C64" s="94"/>
      <c r="D64" s="94"/>
      <c r="F64" s="97" t="s">
        <v>452</v>
      </c>
      <c r="G64" s="98"/>
      <c r="H64" s="97"/>
      <c r="I64" s="99">
        <f>-SUM(I61:I63)</f>
        <v>57020.850000000006</v>
      </c>
      <c r="J64" s="99">
        <f>-SUM(J61:J63)</f>
        <v>47251</v>
      </c>
      <c r="K64" s="97"/>
      <c r="L64" s="97"/>
      <c r="M64" s="97"/>
      <c r="N64" s="99">
        <v>99350</v>
      </c>
    </row>
    <row r="65" spans="1:15" s="93" customFormat="1" ht="11.25" hidden="1" x14ac:dyDescent="0.2">
      <c r="B65" s="94"/>
      <c r="C65" s="94"/>
      <c r="D65" s="94"/>
      <c r="G65" s="95"/>
      <c r="I65" s="96"/>
      <c r="J65" s="96"/>
    </row>
    <row r="66" spans="1:15" s="81" customFormat="1" ht="14.25" hidden="1" x14ac:dyDescent="0.2">
      <c r="A66" s="93"/>
      <c r="B66" s="93"/>
      <c r="C66" s="93"/>
      <c r="D66" s="94"/>
      <c r="E66" s="93"/>
      <c r="F66" s="117" t="s">
        <v>453</v>
      </c>
      <c r="G66" s="117"/>
      <c r="H66" s="117"/>
      <c r="I66" s="117"/>
      <c r="J66" s="117"/>
      <c r="K66" s="117"/>
      <c r="L66" s="117"/>
      <c r="M66" s="117"/>
      <c r="N66" s="117"/>
    </row>
    <row r="67" spans="1:15" s="81" customFormat="1" ht="14.25" hidden="1" x14ac:dyDescent="0.2">
      <c r="A67" s="93"/>
      <c r="B67" s="93"/>
      <c r="C67" s="93"/>
      <c r="D67" s="100"/>
      <c r="E67" s="93"/>
      <c r="F67" s="93"/>
      <c r="G67" s="101" t="s">
        <v>454</v>
      </c>
      <c r="H67" s="93"/>
      <c r="I67" s="96">
        <f>-I8*0.5</f>
        <v>0</v>
      </c>
      <c r="J67" s="96">
        <f>-J8*0.5</f>
        <v>0</v>
      </c>
      <c r="K67" s="93"/>
      <c r="L67" s="102" t="s">
        <v>454</v>
      </c>
      <c r="N67" s="96">
        <v>-50000</v>
      </c>
    </row>
    <row r="68" spans="1:15" s="93" customFormat="1" ht="11.25" hidden="1" x14ac:dyDescent="0.2">
      <c r="F68" s="97" t="s">
        <v>455</v>
      </c>
      <c r="G68" s="97"/>
      <c r="H68" s="97"/>
      <c r="I68" s="103">
        <f>-I67</f>
        <v>0</v>
      </c>
      <c r="J68" s="103">
        <f>-J67</f>
        <v>0</v>
      </c>
      <c r="K68" s="97"/>
      <c r="L68" s="97"/>
      <c r="M68" s="97"/>
      <c r="N68" s="103">
        <v>50000</v>
      </c>
    </row>
    <row r="69" spans="1:15" s="93" customFormat="1" ht="11.25" hidden="1" x14ac:dyDescent="0.2">
      <c r="D69" s="94"/>
      <c r="G69" s="95"/>
      <c r="L69" s="104"/>
    </row>
    <row r="70" spans="1:15" s="93" customFormat="1" ht="14.25" hidden="1" x14ac:dyDescent="0.2">
      <c r="D70" s="94"/>
      <c r="G70" s="81"/>
      <c r="K70" s="96"/>
      <c r="N70" s="81"/>
    </row>
    <row r="71" spans="1:15" s="93" customFormat="1" hidden="1" x14ac:dyDescent="0.2">
      <c r="D71" s="94"/>
      <c r="G71" s="78" t="s">
        <v>456</v>
      </c>
      <c r="I71" s="77">
        <f>+I58-I64-I68</f>
        <v>9855.0899999999383</v>
      </c>
      <c r="J71" s="77">
        <f>+J58-J64-J68</f>
        <v>-53071</v>
      </c>
      <c r="K71" s="96"/>
      <c r="N71" s="77">
        <v>-114634</v>
      </c>
    </row>
    <row r="72" spans="1:15" s="93" customFormat="1" ht="14.25" hidden="1" x14ac:dyDescent="0.2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 x14ac:dyDescent="0.2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+B6*F75</f>
        <v>0</v>
      </c>
      <c r="C75" s="67">
        <f>+F75*C6</f>
        <v>0</v>
      </c>
      <c r="D75" s="65"/>
      <c r="F75" s="108">
        <v>0.05</v>
      </c>
      <c r="G75" s="65" t="s">
        <v>457</v>
      </c>
      <c r="H75" s="108"/>
      <c r="I75" s="67">
        <f>+F75*I6</f>
        <v>0</v>
      </c>
      <c r="J75" s="67">
        <f>+F75*J6</f>
        <v>0</v>
      </c>
      <c r="K75" s="65"/>
      <c r="N75" s="67">
        <f>+F75*N6</f>
        <v>35000</v>
      </c>
      <c r="O75" s="109"/>
    </row>
    <row r="76" spans="1:15" x14ac:dyDescent="0.2">
      <c r="B76" s="67">
        <f>+F76*B11</f>
        <v>7234.4000000000005</v>
      </c>
      <c r="C76" s="67">
        <f>+F76*C11</f>
        <v>9501</v>
      </c>
      <c r="D76" s="65"/>
      <c r="F76" s="108">
        <v>0.2</v>
      </c>
      <c r="G76" s="65" t="s">
        <v>458</v>
      </c>
      <c r="H76" s="108"/>
      <c r="I76" s="67">
        <f>+F76*I11</f>
        <v>7234.4000000000005</v>
      </c>
      <c r="J76" s="67">
        <f>+F76*J11</f>
        <v>9501</v>
      </c>
      <c r="K76" s="65"/>
      <c r="N76" s="67">
        <f>+F76*N11</f>
        <v>120000</v>
      </c>
      <c r="O76" s="109"/>
    </row>
    <row r="77" spans="1:15" x14ac:dyDescent="0.2">
      <c r="B77" s="67">
        <f>+F77*B8</f>
        <v>0</v>
      </c>
      <c r="C77" s="67">
        <f>+F77*C8</f>
        <v>0</v>
      </c>
      <c r="D77" s="65"/>
      <c r="F77" s="108">
        <v>0.5</v>
      </c>
      <c r="G77" s="65" t="s">
        <v>459</v>
      </c>
      <c r="H77" s="108"/>
      <c r="I77" s="67">
        <f>+F77*I8</f>
        <v>0</v>
      </c>
      <c r="J77" s="67">
        <f>+F77*J8</f>
        <v>0</v>
      </c>
      <c r="K77" s="65"/>
      <c r="N77" s="67">
        <f>+F77*N8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7234.4000000000005</v>
      </c>
      <c r="C79" s="67">
        <f>SUM(C75:C78)</f>
        <v>9501</v>
      </c>
      <c r="D79" s="65"/>
      <c r="I79" s="67">
        <f>SUM(I75:I78)</f>
        <v>7234.4000000000005</v>
      </c>
      <c r="J79" s="67">
        <f>SUM(J75:J78)</f>
        <v>9501</v>
      </c>
      <c r="K79" s="65"/>
      <c r="N79" s="67">
        <f>SUM(N75:N78)</f>
        <v>392500</v>
      </c>
      <c r="O79" s="109"/>
    </row>
    <row r="84" spans="2:14" x14ac:dyDescent="0.2">
      <c r="B84" s="79"/>
      <c r="C84" s="79"/>
      <c r="I84" s="79"/>
      <c r="J84" s="79"/>
      <c r="N84" s="79"/>
    </row>
  </sheetData>
  <mergeCells count="6">
    <mergeCell ref="F66:N66"/>
    <mergeCell ref="B1:G1"/>
    <mergeCell ref="I1:P1"/>
    <mergeCell ref="B3:E3"/>
    <mergeCell ref="I3:P3"/>
    <mergeCell ref="F60:N60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16A6-7950-4036-84A4-1E2B9698C1FC}">
  <sheetPr>
    <pageSetUpPr fitToPage="1"/>
  </sheetPr>
  <dimension ref="A1:R79"/>
  <sheetViews>
    <sheetView zoomScale="130" zoomScaleNormal="130" workbookViewId="0">
      <selection activeCell="I3" sqref="I3:P3"/>
    </sheetView>
  </sheetViews>
  <sheetFormatPr defaultColWidth="15.7109375" defaultRowHeight="12" x14ac:dyDescent="0.2"/>
  <cols>
    <col min="1" max="1" width="5.42578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 x14ac:dyDescent="0.2">
      <c r="B1" s="115" t="s">
        <v>398</v>
      </c>
      <c r="C1" s="115"/>
      <c r="D1" s="115"/>
      <c r="E1" s="115"/>
      <c r="F1" s="115"/>
      <c r="G1" s="115"/>
      <c r="H1" s="64"/>
      <c r="I1" s="116" t="s">
        <v>399</v>
      </c>
      <c r="J1" s="116"/>
      <c r="K1" s="116"/>
      <c r="L1" s="116"/>
      <c r="M1" s="116"/>
      <c r="N1" s="116"/>
      <c r="O1" s="116"/>
      <c r="P1" s="116"/>
    </row>
    <row r="2" spans="1:18" x14ac:dyDescent="0.2">
      <c r="B2" s="66"/>
    </row>
    <row r="3" spans="1:18" x14ac:dyDescent="0.2">
      <c r="B3" s="115" t="s">
        <v>400</v>
      </c>
      <c r="C3" s="115"/>
      <c r="D3" s="115"/>
      <c r="E3" s="115"/>
      <c r="I3" s="115" t="s">
        <v>401</v>
      </c>
      <c r="J3" s="115"/>
      <c r="K3" s="115"/>
      <c r="L3" s="115"/>
      <c r="M3" s="115"/>
      <c r="N3" s="115"/>
      <c r="O3" s="115"/>
      <c r="P3" s="115"/>
    </row>
    <row r="4" spans="1:18" s="62" customFormat="1" ht="36" x14ac:dyDescent="0.2">
      <c r="B4" s="68">
        <v>45777</v>
      </c>
      <c r="C4" s="69" t="s">
        <v>402</v>
      </c>
      <c r="D4" s="70" t="s">
        <v>403</v>
      </c>
      <c r="E4" s="71" t="s">
        <v>404</v>
      </c>
      <c r="F4" s="63"/>
      <c r="G4" s="72" t="s">
        <v>356</v>
      </c>
      <c r="H4" s="63"/>
      <c r="I4" s="73" t="s">
        <v>405</v>
      </c>
      <c r="J4" s="71" t="s">
        <v>406</v>
      </c>
      <c r="K4" s="70" t="s">
        <v>403</v>
      </c>
      <c r="L4" s="71" t="s">
        <v>407</v>
      </c>
      <c r="M4" s="74"/>
      <c r="N4" s="71" t="s">
        <v>408</v>
      </c>
      <c r="O4" s="70" t="s">
        <v>403</v>
      </c>
      <c r="P4" s="71" t="s">
        <v>409</v>
      </c>
    </row>
    <row r="6" spans="1:18" x14ac:dyDescent="0.2">
      <c r="B6" s="75">
        <v>0</v>
      </c>
      <c r="C6" s="75">
        <v>0</v>
      </c>
      <c r="D6" s="75">
        <f>B6-C6</f>
        <v>0</v>
      </c>
      <c r="E6" s="76"/>
      <c r="G6" s="65" t="s">
        <v>352</v>
      </c>
      <c r="H6" s="65" t="s">
        <v>134</v>
      </c>
      <c r="I6" s="75">
        <v>0</v>
      </c>
      <c r="J6" s="75">
        <v>0</v>
      </c>
      <c r="K6" s="75">
        <f t="shared" ref="K6:K13" si="0">I6-J6</f>
        <v>0</v>
      </c>
      <c r="L6" s="76"/>
      <c r="M6" s="76"/>
      <c r="N6" s="75">
        <v>700000</v>
      </c>
      <c r="O6" s="75">
        <f>I6-N6</f>
        <v>-700000</v>
      </c>
      <c r="P6" s="76">
        <f t="shared" ref="P6:P14" si="1">+I6/N6</f>
        <v>0</v>
      </c>
    </row>
    <row r="7" spans="1:18" x14ac:dyDescent="0.2">
      <c r="B7" s="75">
        <v>54624</v>
      </c>
      <c r="C7" s="75">
        <v>57750</v>
      </c>
      <c r="D7" s="75">
        <f t="shared" ref="D7:D13" si="2">B7-C7</f>
        <v>-3126</v>
      </c>
      <c r="E7" s="76">
        <f t="shared" ref="E7:E14" si="3">+B7/C7</f>
        <v>0.94587012987012986</v>
      </c>
      <c r="G7" s="65" t="s">
        <v>410</v>
      </c>
      <c r="I7" s="75">
        <v>54623.54</v>
      </c>
      <c r="J7" s="75">
        <v>57750</v>
      </c>
      <c r="K7" s="75">
        <f t="shared" si="0"/>
        <v>-3126.4599999999991</v>
      </c>
      <c r="L7" s="76">
        <f t="shared" ref="L7:L14" si="4">+I7/J7</f>
        <v>0.94586216450216454</v>
      </c>
      <c r="M7" s="76"/>
      <c r="N7" s="75">
        <v>825000</v>
      </c>
      <c r="O7" s="75">
        <f t="shared" ref="O7:O13" si="5">I7-N7</f>
        <v>-770376.46</v>
      </c>
      <c r="P7" s="76">
        <f t="shared" si="1"/>
        <v>6.6210351515151519E-2</v>
      </c>
    </row>
    <row r="8" spans="1:18" x14ac:dyDescent="0.2">
      <c r="B8" s="75">
        <v>0</v>
      </c>
      <c r="C8" s="75">
        <v>0</v>
      </c>
      <c r="D8" s="75">
        <f>B8-C8</f>
        <v>0</v>
      </c>
      <c r="E8" s="76"/>
      <c r="G8" s="65" t="s">
        <v>348</v>
      </c>
      <c r="I8" s="75">
        <v>0</v>
      </c>
      <c r="J8" s="75">
        <v>0</v>
      </c>
      <c r="K8" s="75">
        <f t="shared" si="0"/>
        <v>0</v>
      </c>
      <c r="L8" s="76"/>
      <c r="M8" s="76"/>
      <c r="N8" s="75">
        <v>475000</v>
      </c>
      <c r="O8" s="75">
        <f t="shared" si="5"/>
        <v>-475000</v>
      </c>
      <c r="P8" s="76">
        <f t="shared" si="1"/>
        <v>0</v>
      </c>
    </row>
    <row r="9" spans="1:18" x14ac:dyDescent="0.2">
      <c r="B9" s="75">
        <v>232256</v>
      </c>
      <c r="C9" s="75">
        <v>181750</v>
      </c>
      <c r="D9" s="75">
        <f t="shared" si="2"/>
        <v>50506</v>
      </c>
      <c r="E9" s="76">
        <f t="shared" si="3"/>
        <v>1.2778872077028887</v>
      </c>
      <c r="G9" s="65" t="s">
        <v>411</v>
      </c>
      <c r="I9" s="75">
        <v>232256</v>
      </c>
      <c r="J9" s="75">
        <v>181750</v>
      </c>
      <c r="K9" s="75">
        <f t="shared" si="0"/>
        <v>50506</v>
      </c>
      <c r="L9" s="76">
        <f t="shared" si="4"/>
        <v>1.2778872077028887</v>
      </c>
      <c r="M9" s="76"/>
      <c r="N9" s="75">
        <v>445000</v>
      </c>
      <c r="O9" s="75">
        <f t="shared" si="5"/>
        <v>-212744</v>
      </c>
      <c r="P9" s="76">
        <f t="shared" si="1"/>
        <v>0.52192359550561795</v>
      </c>
    </row>
    <row r="10" spans="1:18" x14ac:dyDescent="0.2">
      <c r="B10" s="75">
        <v>65800</v>
      </c>
      <c r="C10" s="75">
        <v>71550</v>
      </c>
      <c r="D10" s="75">
        <f t="shared" si="2"/>
        <v>-5750</v>
      </c>
      <c r="E10" s="76"/>
      <c r="G10" s="65" t="s">
        <v>412</v>
      </c>
      <c r="I10" s="75">
        <v>65800</v>
      </c>
      <c r="J10" s="75">
        <v>71550</v>
      </c>
      <c r="K10" s="75">
        <f t="shared" si="0"/>
        <v>-5750</v>
      </c>
      <c r="L10" s="76">
        <f t="shared" si="4"/>
        <v>0.9196366177498253</v>
      </c>
      <c r="M10" s="76"/>
      <c r="N10" s="75">
        <v>2010000</v>
      </c>
      <c r="O10" s="75">
        <f t="shared" si="5"/>
        <v>-1944200</v>
      </c>
      <c r="P10" s="76">
        <f t="shared" si="1"/>
        <v>3.2736318407960201E-2</v>
      </c>
    </row>
    <row r="11" spans="1:18" x14ac:dyDescent="0.2">
      <c r="B11" s="75">
        <v>36172</v>
      </c>
      <c r="C11" s="75">
        <v>47505</v>
      </c>
      <c r="D11" s="75">
        <f t="shared" si="2"/>
        <v>-11333</v>
      </c>
      <c r="E11" s="76">
        <f t="shared" si="3"/>
        <v>0.76143563835385752</v>
      </c>
      <c r="G11" s="65" t="s">
        <v>413</v>
      </c>
      <c r="I11" s="75">
        <v>36172</v>
      </c>
      <c r="J11" s="75">
        <v>47505</v>
      </c>
      <c r="K11" s="75">
        <f t="shared" si="0"/>
        <v>-11333</v>
      </c>
      <c r="L11" s="76">
        <f t="shared" si="4"/>
        <v>0.76143563835385752</v>
      </c>
      <c r="M11" s="76"/>
      <c r="N11" s="75">
        <v>600000</v>
      </c>
      <c r="O11" s="75">
        <f t="shared" si="5"/>
        <v>-563828</v>
      </c>
      <c r="P11" s="76">
        <f t="shared" si="1"/>
        <v>6.0286666666666669E-2</v>
      </c>
    </row>
    <row r="12" spans="1:18" x14ac:dyDescent="0.2">
      <c r="B12" s="75">
        <v>8219</v>
      </c>
      <c r="C12" s="75">
        <v>9883</v>
      </c>
      <c r="D12" s="75">
        <f t="shared" si="2"/>
        <v>-1664</v>
      </c>
      <c r="E12" s="76">
        <f t="shared" si="3"/>
        <v>0.83163007184053428</v>
      </c>
      <c r="G12" s="65" t="s">
        <v>414</v>
      </c>
      <c r="I12" s="75">
        <v>8218.67</v>
      </c>
      <c r="J12" s="75">
        <v>9883</v>
      </c>
      <c r="K12" s="75">
        <f t="shared" si="0"/>
        <v>-1664.33</v>
      </c>
      <c r="L12" s="76">
        <f t="shared" si="4"/>
        <v>0.83159668116968533</v>
      </c>
      <c r="M12" s="76"/>
      <c r="N12" s="75">
        <v>477000</v>
      </c>
      <c r="O12" s="75">
        <f t="shared" si="5"/>
        <v>-468781.33</v>
      </c>
      <c r="P12" s="76">
        <f t="shared" si="1"/>
        <v>1.7229916142557651E-2</v>
      </c>
    </row>
    <row r="13" spans="1:18" x14ac:dyDescent="0.2">
      <c r="B13" s="75">
        <v>90343</v>
      </c>
      <c r="C13" s="75">
        <v>31685</v>
      </c>
      <c r="D13" s="75">
        <f t="shared" si="2"/>
        <v>58658</v>
      </c>
      <c r="E13" s="76">
        <f t="shared" si="3"/>
        <v>2.851286097522487</v>
      </c>
      <c r="G13" s="65" t="s">
        <v>415</v>
      </c>
      <c r="I13" s="75">
        <v>90343</v>
      </c>
      <c r="J13" s="75">
        <f>400123-368438</f>
        <v>31685</v>
      </c>
      <c r="K13" s="75">
        <f t="shared" si="0"/>
        <v>58658</v>
      </c>
      <c r="L13" s="76">
        <f t="shared" si="4"/>
        <v>2.851286097522487</v>
      </c>
      <c r="M13" s="76"/>
      <c r="N13" s="75">
        <f>6192000-5532000</f>
        <v>660000</v>
      </c>
      <c r="O13" s="75">
        <f t="shared" si="5"/>
        <v>-569657</v>
      </c>
      <c r="P13" s="76">
        <f t="shared" si="1"/>
        <v>0.13688333333333333</v>
      </c>
    </row>
    <row r="14" spans="1:18" x14ac:dyDescent="0.2">
      <c r="B14" s="77">
        <f>SUM(B6:B13)</f>
        <v>487414</v>
      </c>
      <c r="C14" s="77">
        <f>SUM(C6:C13)</f>
        <v>400123</v>
      </c>
      <c r="D14" s="77">
        <f>SUM(D6:D13)</f>
        <v>87291</v>
      </c>
      <c r="E14" s="76">
        <f t="shared" si="3"/>
        <v>1.2181604156721808</v>
      </c>
      <c r="F14" s="62"/>
      <c r="G14" s="78" t="s">
        <v>416</v>
      </c>
      <c r="H14" s="62"/>
      <c r="I14" s="77">
        <f>SUM(I6:I13)</f>
        <v>487413.20999999996</v>
      </c>
      <c r="J14" s="77">
        <f>SUM(J6:J13)</f>
        <v>400123</v>
      </c>
      <c r="K14" s="77">
        <f>SUM(K6:K13)</f>
        <v>87290.209999999992</v>
      </c>
      <c r="L14" s="76">
        <f t="shared" si="4"/>
        <v>1.2181584412793065</v>
      </c>
      <c r="M14" s="76"/>
      <c r="N14" s="77">
        <f>SUM(N6:N13)</f>
        <v>6192000</v>
      </c>
      <c r="O14" s="77">
        <f>SUM(O6:O13)</f>
        <v>-5704586.79</v>
      </c>
      <c r="P14" s="76">
        <f t="shared" si="1"/>
        <v>7.8716603682170538E-2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4.25" x14ac:dyDescent="0.2">
      <c r="A16" s="65"/>
      <c r="B16" s="67">
        <f>+B79</f>
        <v>7234.4000000000005</v>
      </c>
      <c r="C16" s="67">
        <f>+C79</f>
        <v>9501</v>
      </c>
      <c r="D16" s="67">
        <f>+B16-C16</f>
        <v>-2266.5999999999995</v>
      </c>
      <c r="E16" s="76"/>
      <c r="F16" s="65"/>
      <c r="G16" s="78" t="s">
        <v>417</v>
      </c>
      <c r="H16" s="65"/>
      <c r="I16" s="67">
        <f>+I79</f>
        <v>7234.4000000000005</v>
      </c>
      <c r="J16" s="67">
        <f>+J79</f>
        <v>9501</v>
      </c>
      <c r="K16" s="67">
        <f>+I16-J16</f>
        <v>-2266.5999999999995</v>
      </c>
      <c r="L16" s="80"/>
      <c r="N16" s="67">
        <f>+N79</f>
        <v>392500</v>
      </c>
    </row>
    <row r="17" spans="1:18" s="81" customFormat="1" ht="14.25" x14ac:dyDescent="0.2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 x14ac:dyDescent="0.2">
      <c r="A18" s="65"/>
      <c r="B18" s="77">
        <f>+B14-B16</f>
        <v>480179.6</v>
      </c>
      <c r="C18" s="77">
        <f>+C14-C16</f>
        <v>390622</v>
      </c>
      <c r="D18" s="67"/>
      <c r="E18" s="76"/>
      <c r="F18" s="65"/>
      <c r="G18" s="78" t="s">
        <v>418</v>
      </c>
      <c r="H18" s="65"/>
      <c r="I18" s="77">
        <f>+I14-I16</f>
        <v>480178.80999999994</v>
      </c>
      <c r="J18" s="77">
        <f>+J14-J16</f>
        <v>390622</v>
      </c>
      <c r="K18" s="67"/>
      <c r="L18" s="80"/>
      <c r="N18" s="77">
        <f>+N14-N16</f>
        <v>5799500</v>
      </c>
      <c r="O18" s="67"/>
    </row>
    <row r="19" spans="1:18" s="81" customFormat="1" ht="14.25" x14ac:dyDescent="0.2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 x14ac:dyDescent="0.2">
      <c r="B20" s="82">
        <f>+B4</f>
        <v>45777</v>
      </c>
      <c r="C20" s="83" t="s">
        <v>402</v>
      </c>
      <c r="D20" s="84" t="s">
        <v>403</v>
      </c>
      <c r="E20" s="85"/>
      <c r="G20" s="72" t="s">
        <v>419</v>
      </c>
      <c r="I20" s="86" t="str">
        <f>I4</f>
        <v>Actual April 2025 - March 2026</v>
      </c>
      <c r="J20" s="71" t="str">
        <f>J4</f>
        <v>Budgeted April 2025 - March 2026</v>
      </c>
      <c r="K20" s="70" t="s">
        <v>403</v>
      </c>
      <c r="L20" s="71" t="s">
        <v>404</v>
      </c>
      <c r="M20" s="74"/>
      <c r="N20" s="71" t="s">
        <v>420</v>
      </c>
      <c r="O20" s="70" t="s">
        <v>403</v>
      </c>
      <c r="P20" s="71" t="s">
        <v>409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28438</v>
      </c>
      <c r="C22" s="75">
        <v>21195</v>
      </c>
      <c r="D22" s="75">
        <f>B22-C22</f>
        <v>7243</v>
      </c>
      <c r="E22" s="76">
        <f>+B22/C22</f>
        <v>1.3417315404576551</v>
      </c>
      <c r="G22" s="65" t="s">
        <v>421</v>
      </c>
      <c r="I22" s="75">
        <v>28438.49</v>
      </c>
      <c r="J22" s="75">
        <v>21195</v>
      </c>
      <c r="K22" s="75">
        <f>I22-J22</f>
        <v>7243.4900000000016</v>
      </c>
      <c r="L22" s="76">
        <f>+I22/J22</f>
        <v>1.3417546591177165</v>
      </c>
      <c r="M22" s="76"/>
      <c r="N22" s="75">
        <v>373000</v>
      </c>
      <c r="O22" s="75">
        <f>I22-N22</f>
        <v>-344561.51</v>
      </c>
      <c r="P22" s="76">
        <f>+I22/N22</f>
        <v>7.6242600536193028E-2</v>
      </c>
      <c r="R22" s="79"/>
    </row>
    <row r="23" spans="1:18" x14ac:dyDescent="0.2">
      <c r="B23" s="75">
        <v>7881</v>
      </c>
      <c r="C23" s="75">
        <v>9001</v>
      </c>
      <c r="D23" s="75">
        <f>B23-C23</f>
        <v>-1120</v>
      </c>
      <c r="E23" s="76">
        <f>+B23/C23</f>
        <v>0.87556938117986893</v>
      </c>
      <c r="G23" s="65" t="s">
        <v>422</v>
      </c>
      <c r="I23" s="75">
        <v>7881.18</v>
      </c>
      <c r="J23" s="75">
        <v>9001</v>
      </c>
      <c r="K23" s="75">
        <f>I23-J23</f>
        <v>-1119.8199999999997</v>
      </c>
      <c r="L23" s="76">
        <f>+I23/J23</f>
        <v>0.87558937895789357</v>
      </c>
      <c r="M23" s="76"/>
      <c r="N23" s="75">
        <v>108000</v>
      </c>
      <c r="O23" s="75">
        <f>I23-N23</f>
        <v>-100118.82</v>
      </c>
      <c r="P23" s="76">
        <f>+I23/N23</f>
        <v>7.2973888888888894E-2</v>
      </c>
      <c r="R23" s="79"/>
    </row>
    <row r="24" spans="1:18" s="62" customFormat="1" x14ac:dyDescent="0.2">
      <c r="B24" s="87">
        <f>SUM(B22:B23)</f>
        <v>36319</v>
      </c>
      <c r="C24" s="87">
        <f>SUM(C22:C23)</f>
        <v>30196</v>
      </c>
      <c r="D24" s="87">
        <f>+B24-C24</f>
        <v>6123</v>
      </c>
      <c r="E24" s="76">
        <f>+B24/C24</f>
        <v>1.2027752020135116</v>
      </c>
      <c r="G24" s="62" t="s">
        <v>423</v>
      </c>
      <c r="I24" s="87">
        <f>SUM(I22:I23)</f>
        <v>36319.67</v>
      </c>
      <c r="J24" s="87">
        <f>SUM(J22:J23)</f>
        <v>30196</v>
      </c>
      <c r="K24" s="87">
        <f>SUM(K22:K23)</f>
        <v>6123.6700000000019</v>
      </c>
      <c r="L24" s="76">
        <f>+I24/J24</f>
        <v>1.2027973903828322</v>
      </c>
      <c r="M24" s="76"/>
      <c r="N24" s="87">
        <f>SUM(N22:N23)</f>
        <v>481000</v>
      </c>
      <c r="O24" s="87">
        <f>SUM(O22:O23)</f>
        <v>-444680.33</v>
      </c>
      <c r="P24" s="76">
        <f>+I24/N24</f>
        <v>7.5508669438669435E-2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40431</v>
      </c>
      <c r="C26" s="75">
        <v>41240</v>
      </c>
      <c r="D26" s="75">
        <f>B26-C26</f>
        <v>-809</v>
      </c>
      <c r="E26" s="76">
        <f>+B26/C26</f>
        <v>0.98038312318137733</v>
      </c>
      <c r="G26" s="65" t="s">
        <v>424</v>
      </c>
      <c r="I26" s="75">
        <v>40431.040000000001</v>
      </c>
      <c r="J26" s="75">
        <v>41240</v>
      </c>
      <c r="K26" s="75">
        <f>I26-J26</f>
        <v>-808.95999999999913</v>
      </c>
      <c r="L26" s="76">
        <f>+I26/J26</f>
        <v>0.98038409311348207</v>
      </c>
      <c r="M26" s="76"/>
      <c r="N26" s="75">
        <v>528628</v>
      </c>
      <c r="O26" s="75">
        <f>I26-N26</f>
        <v>-488196.96</v>
      </c>
      <c r="P26" s="76">
        <f>+I26/N26</f>
        <v>7.648297101175118E-2</v>
      </c>
      <c r="R26" s="79"/>
    </row>
    <row r="27" spans="1:18" x14ac:dyDescent="0.2">
      <c r="B27" s="75">
        <v>1</v>
      </c>
      <c r="C27" s="75">
        <v>1</v>
      </c>
      <c r="D27" s="75">
        <f>B27-C27</f>
        <v>0</v>
      </c>
      <c r="E27" s="76">
        <f>+B27/C27</f>
        <v>1</v>
      </c>
      <c r="G27" s="65" t="s">
        <v>425</v>
      </c>
      <c r="I27" s="75">
        <v>1.22</v>
      </c>
      <c r="J27" s="75">
        <v>1</v>
      </c>
      <c r="K27" s="75">
        <f>I27-J27</f>
        <v>0.21999999999999997</v>
      </c>
      <c r="L27" s="76">
        <f>+I27/J27</f>
        <v>1.22</v>
      </c>
      <c r="M27" s="76"/>
      <c r="N27" s="75">
        <v>5465</v>
      </c>
      <c r="O27" s="75">
        <f>I27-N27</f>
        <v>-5463.78</v>
      </c>
      <c r="P27" s="76">
        <f>+I27/N27</f>
        <v>2.2323879231473011E-4</v>
      </c>
      <c r="R27" s="79"/>
    </row>
    <row r="28" spans="1:18" x14ac:dyDescent="0.2">
      <c r="B28" s="75">
        <v>32995</v>
      </c>
      <c r="C28" s="75">
        <v>17957</v>
      </c>
      <c r="D28" s="75">
        <f>B28-C28</f>
        <v>15038</v>
      </c>
      <c r="E28" s="76">
        <f>+B28/C28</f>
        <v>1.8374450075179596</v>
      </c>
      <c r="G28" s="65" t="s">
        <v>426</v>
      </c>
      <c r="I28" s="75">
        <v>32995</v>
      </c>
      <c r="J28" s="75">
        <v>17957</v>
      </c>
      <c r="K28" s="75">
        <f>I28-J28</f>
        <v>15038</v>
      </c>
      <c r="L28" s="76">
        <f>+I28/J28</f>
        <v>1.8374450075179596</v>
      </c>
      <c r="M28" s="76"/>
      <c r="N28" s="75">
        <f>744123-534093</f>
        <v>210030</v>
      </c>
      <c r="O28" s="75">
        <f>I28-N28</f>
        <v>-177035</v>
      </c>
      <c r="P28" s="76">
        <f>+I28/N28</f>
        <v>0.1570966052468695</v>
      </c>
      <c r="R28" s="79"/>
    </row>
    <row r="29" spans="1:18" s="62" customFormat="1" x14ac:dyDescent="0.2">
      <c r="B29" s="87">
        <f>SUM(B26:B28)</f>
        <v>73427</v>
      </c>
      <c r="C29" s="87">
        <f>SUM(C26:C28)</f>
        <v>59198</v>
      </c>
      <c r="D29" s="87">
        <f>+B29-C29</f>
        <v>14229</v>
      </c>
      <c r="E29" s="76">
        <f>+B29/C29</f>
        <v>1.2403628500962871</v>
      </c>
      <c r="G29" s="62" t="s">
        <v>176</v>
      </c>
      <c r="I29" s="87">
        <f>SUM(I26:I28)</f>
        <v>73427.260000000009</v>
      </c>
      <c r="J29" s="87">
        <f>SUM(J26:J28)</f>
        <v>59198</v>
      </c>
      <c r="K29" s="87">
        <f>SUM(K26:K28)</f>
        <v>14229.26</v>
      </c>
      <c r="L29" s="76">
        <f>+I29/J29</f>
        <v>1.2403672421365588</v>
      </c>
      <c r="M29" s="76"/>
      <c r="N29" s="87">
        <f>SUM(N26:N28)</f>
        <v>744123</v>
      </c>
      <c r="O29" s="87">
        <f>SUM(O26:O28)</f>
        <v>-670695.74</v>
      </c>
      <c r="P29" s="76">
        <f>+I29/N29</f>
        <v>9.8676240352737393E-2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134</v>
      </c>
      <c r="B31" s="75">
        <v>158611</v>
      </c>
      <c r="C31" s="75">
        <v>159514</v>
      </c>
      <c r="D31" s="75">
        <f>B31-C31</f>
        <v>-903</v>
      </c>
      <c r="E31" s="76">
        <f t="shared" ref="E31:E35" si="6">+B31/C31</f>
        <v>0.99433905487919561</v>
      </c>
      <c r="G31" s="65" t="s">
        <v>427</v>
      </c>
      <c r="I31" s="75">
        <v>158610.79999999999</v>
      </c>
      <c r="J31" s="75">
        <v>159514</v>
      </c>
      <c r="K31" s="75">
        <f>I31-J31</f>
        <v>-903.20000000001164</v>
      </c>
      <c r="L31" s="76">
        <f t="shared" ref="L31:L35" si="7">+I31/J31</f>
        <v>0.99433780107075231</v>
      </c>
      <c r="M31" s="76"/>
      <c r="N31" s="75">
        <v>2093228</v>
      </c>
      <c r="O31" s="75">
        <f>I31-N31</f>
        <v>-1934617.2</v>
      </c>
      <c r="P31" s="76">
        <f t="shared" ref="P31:P35" si="8">+I31/N31</f>
        <v>7.5773303242647236E-2</v>
      </c>
      <c r="R31" s="79"/>
    </row>
    <row r="32" spans="1:18" x14ac:dyDescent="0.2">
      <c r="B32" s="75">
        <v>43429</v>
      </c>
      <c r="C32" s="75">
        <v>42478</v>
      </c>
      <c r="D32" s="75">
        <f>B32-C32</f>
        <v>951</v>
      </c>
      <c r="E32" s="76">
        <f t="shared" si="6"/>
        <v>1.0223880597014925</v>
      </c>
      <c r="G32" s="65" t="s">
        <v>428</v>
      </c>
      <c r="I32" s="75">
        <v>43429</v>
      </c>
      <c r="J32" s="75">
        <v>42478</v>
      </c>
      <c r="K32" s="75">
        <f>I32-J32</f>
        <v>951</v>
      </c>
      <c r="L32" s="76">
        <f t="shared" si="7"/>
        <v>1.0223880597014925</v>
      </c>
      <c r="M32" s="76"/>
      <c r="N32" s="75">
        <v>539457</v>
      </c>
      <c r="O32" s="75">
        <f>I32-N32</f>
        <v>-496028</v>
      </c>
      <c r="P32" s="76">
        <f t="shared" si="8"/>
        <v>8.0505026350571038E-2</v>
      </c>
      <c r="R32" s="79"/>
    </row>
    <row r="33" spans="2:18" x14ac:dyDescent="0.2">
      <c r="B33" s="75">
        <v>7750</v>
      </c>
      <c r="C33" s="75">
        <v>5516</v>
      </c>
      <c r="D33" s="75">
        <f>B33-C33</f>
        <v>2234</v>
      </c>
      <c r="E33" s="76">
        <f t="shared" si="6"/>
        <v>1.4050036258158085</v>
      </c>
      <c r="G33" s="65" t="s">
        <v>429</v>
      </c>
      <c r="I33" s="75">
        <v>7750</v>
      </c>
      <c r="J33" s="75">
        <v>5516</v>
      </c>
      <c r="K33" s="75">
        <f>I33-J33</f>
        <v>2234</v>
      </c>
      <c r="L33" s="76">
        <f t="shared" si="7"/>
        <v>1.4050036258158085</v>
      </c>
      <c r="M33" s="76"/>
      <c r="N33" s="75">
        <v>233127</v>
      </c>
      <c r="O33" s="75">
        <f>I33-N33</f>
        <v>-225377</v>
      </c>
      <c r="P33" s="76">
        <f t="shared" si="8"/>
        <v>3.3243682627923835E-2</v>
      </c>
      <c r="R33" s="79"/>
    </row>
    <row r="34" spans="2:18" x14ac:dyDescent="0.2">
      <c r="B34" s="75">
        <v>176928</v>
      </c>
      <c r="C34" s="75">
        <v>37001</v>
      </c>
      <c r="D34" s="75">
        <f>B34-C34</f>
        <v>139927</v>
      </c>
      <c r="E34" s="76">
        <f t="shared" si="6"/>
        <v>4.7817086024702036</v>
      </c>
      <c r="G34" s="65" t="s">
        <v>430</v>
      </c>
      <c r="I34" s="75">
        <v>176928</v>
      </c>
      <c r="J34" s="75">
        <v>37001</v>
      </c>
      <c r="K34" s="75">
        <f>I34-J34</f>
        <v>139927</v>
      </c>
      <c r="L34" s="76">
        <f t="shared" si="7"/>
        <v>4.7817086024702036</v>
      </c>
      <c r="M34" s="76"/>
      <c r="N34" s="75">
        <f>3309812-2865812</f>
        <v>444000</v>
      </c>
      <c r="O34" s="75">
        <f>I34-N34</f>
        <v>-267072</v>
      </c>
      <c r="P34" s="76">
        <f t="shared" si="8"/>
        <v>0.39848648648648649</v>
      </c>
      <c r="R34" s="79"/>
    </row>
    <row r="35" spans="2:18" s="62" customFormat="1" x14ac:dyDescent="0.2">
      <c r="B35" s="87">
        <f>SUM(B31:B34)</f>
        <v>386718</v>
      </c>
      <c r="C35" s="87">
        <f>SUM(C31:C34)</f>
        <v>244509</v>
      </c>
      <c r="D35" s="87">
        <f>+B35-C35</f>
        <v>142209</v>
      </c>
      <c r="E35" s="76">
        <f t="shared" si="6"/>
        <v>1.5816104928652932</v>
      </c>
      <c r="G35" s="62" t="s">
        <v>431</v>
      </c>
      <c r="I35" s="87">
        <f>SUM(I31:I34)</f>
        <v>386717.8</v>
      </c>
      <c r="J35" s="87">
        <f>SUM(J31:J34)</f>
        <v>244509</v>
      </c>
      <c r="K35" s="87">
        <f>SUM(K31:K34)</f>
        <v>142208.79999999999</v>
      </c>
      <c r="L35" s="76">
        <f t="shared" si="7"/>
        <v>1.5816096748994923</v>
      </c>
      <c r="M35" s="76"/>
      <c r="N35" s="87">
        <f>SUM(N31:N34)</f>
        <v>3309812</v>
      </c>
      <c r="O35" s="87">
        <f>SUM(O31:O34)</f>
        <v>-2923094.2</v>
      </c>
      <c r="P35" s="76">
        <f t="shared" si="8"/>
        <v>0.11683980842416426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15974</v>
      </c>
      <c r="C37" s="75">
        <v>16848</v>
      </c>
      <c r="D37" s="75">
        <f>B37-C37</f>
        <v>-874</v>
      </c>
      <c r="E37" s="76">
        <f>+B37/C37</f>
        <v>0.94812440645773977</v>
      </c>
      <c r="G37" s="65" t="s">
        <v>432</v>
      </c>
      <c r="I37" s="75">
        <v>15974</v>
      </c>
      <c r="J37" s="75">
        <v>16848</v>
      </c>
      <c r="K37" s="75">
        <f>I37-J37</f>
        <v>-874</v>
      </c>
      <c r="L37" s="76">
        <f>+I37/J37</f>
        <v>0.94812440645773977</v>
      </c>
      <c r="M37" s="76"/>
      <c r="N37" s="75">
        <v>206600</v>
      </c>
      <c r="O37" s="75">
        <f>I37-N37</f>
        <v>-190626</v>
      </c>
      <c r="P37" s="76">
        <f>+I37/N37</f>
        <v>7.7318489835430784E-2</v>
      </c>
      <c r="R37" s="79"/>
    </row>
    <row r="38" spans="2:18" x14ac:dyDescent="0.2">
      <c r="B38" s="75">
        <v>427</v>
      </c>
      <c r="C38" s="75">
        <v>24</v>
      </c>
      <c r="D38" s="75">
        <f>B38-C38</f>
        <v>403</v>
      </c>
      <c r="E38" s="76"/>
      <c r="G38" s="65" t="s">
        <v>433</v>
      </c>
      <c r="I38" s="75">
        <v>427</v>
      </c>
      <c r="J38" s="75">
        <v>24</v>
      </c>
      <c r="K38" s="75">
        <f>I38-J38</f>
        <v>403</v>
      </c>
      <c r="L38" s="76">
        <f>+I38/J38</f>
        <v>17.791666666666668</v>
      </c>
      <c r="M38" s="76"/>
      <c r="N38" s="75">
        <v>11308</v>
      </c>
      <c r="O38" s="75">
        <f>I38-N38</f>
        <v>-10881</v>
      </c>
      <c r="P38" s="76">
        <f>+I38/N38</f>
        <v>3.7760877255040681E-2</v>
      </c>
      <c r="R38" s="79"/>
    </row>
    <row r="39" spans="2:18" x14ac:dyDescent="0.2">
      <c r="B39" s="75">
        <v>916</v>
      </c>
      <c r="C39" s="75">
        <v>2139</v>
      </c>
      <c r="D39" s="75">
        <f>B39-C39</f>
        <v>-1223</v>
      </c>
      <c r="E39" s="76">
        <f>+B39/C39</f>
        <v>0.42823749415614776</v>
      </c>
      <c r="G39" s="65" t="s">
        <v>434</v>
      </c>
      <c r="I39" s="75">
        <v>916</v>
      </c>
      <c r="J39" s="75">
        <v>2139</v>
      </c>
      <c r="K39" s="75">
        <f>I39-J39</f>
        <v>-1223</v>
      </c>
      <c r="L39" s="76">
        <f>+I39/J39</f>
        <v>0.42823749415614776</v>
      </c>
      <c r="M39" s="76"/>
      <c r="N39" s="75">
        <f>243558-217908</f>
        <v>25650</v>
      </c>
      <c r="O39" s="75">
        <f>I39-N39</f>
        <v>-24734</v>
      </c>
      <c r="P39" s="76">
        <f>+I39/N39</f>
        <v>3.5711500974658868E-2</v>
      </c>
      <c r="R39" s="79"/>
    </row>
    <row r="40" spans="2:18" s="62" customFormat="1" x14ac:dyDescent="0.2">
      <c r="B40" s="87">
        <f>SUM(B37:B39)</f>
        <v>17317</v>
      </c>
      <c r="C40" s="87">
        <f>SUM(C37:C39)</f>
        <v>19011</v>
      </c>
      <c r="D40" s="87">
        <f>SUM(D37:D39)</f>
        <v>-1694</v>
      </c>
      <c r="E40" s="76">
        <f>+B40/C40</f>
        <v>0.91089369312503288</v>
      </c>
      <c r="G40" s="62" t="s">
        <v>435</v>
      </c>
      <c r="I40" s="87">
        <f>SUM(I37:I39)</f>
        <v>17317</v>
      </c>
      <c r="J40" s="87">
        <f>SUM(J37:J39)</f>
        <v>19011</v>
      </c>
      <c r="K40" s="87">
        <f>SUM(K37:K39)</f>
        <v>-1694</v>
      </c>
      <c r="L40" s="76">
        <f>+I40/J40</f>
        <v>0.91089369312503288</v>
      </c>
      <c r="M40" s="76"/>
      <c r="N40" s="87">
        <f>SUM(N37:N39)</f>
        <v>243558</v>
      </c>
      <c r="O40" s="87">
        <f>SUM(O37:O39)</f>
        <v>-226241</v>
      </c>
      <c r="P40" s="76">
        <f>+I40/N40</f>
        <v>7.1100107571913054E-2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10298</v>
      </c>
      <c r="C42" s="75">
        <v>10702</v>
      </c>
      <c r="D42" s="75">
        <f>B42-C42</f>
        <v>-404</v>
      </c>
      <c r="E42" s="76">
        <f>+B42/C42</f>
        <v>0.96225004672023917</v>
      </c>
      <c r="G42" s="65" t="s">
        <v>436</v>
      </c>
      <c r="I42" s="75">
        <v>10298</v>
      </c>
      <c r="J42" s="75">
        <v>10702</v>
      </c>
      <c r="K42" s="75">
        <f>I42-J42</f>
        <v>-404</v>
      </c>
      <c r="L42" s="76">
        <f>+I42/J42</f>
        <v>0.96225004672023917</v>
      </c>
      <c r="M42" s="76"/>
      <c r="N42" s="75">
        <v>129330</v>
      </c>
      <c r="O42" s="75">
        <f>I42-N42</f>
        <v>-119032</v>
      </c>
      <c r="P42" s="76">
        <f>+I42/N42</f>
        <v>7.9625763550606979E-2</v>
      </c>
      <c r="R42" s="79"/>
    </row>
    <row r="43" spans="2:18" x14ac:dyDescent="0.2">
      <c r="B43" s="75">
        <v>1919</v>
      </c>
      <c r="C43" s="75">
        <v>3032</v>
      </c>
      <c r="D43" s="75">
        <f>B43-C43</f>
        <v>-1113</v>
      </c>
      <c r="E43" s="76">
        <f>+B43/C43</f>
        <v>0.6329155672823219</v>
      </c>
      <c r="G43" s="65" t="s">
        <v>437</v>
      </c>
      <c r="I43" s="75">
        <v>1919</v>
      </c>
      <c r="J43" s="75">
        <v>3032</v>
      </c>
      <c r="K43" s="75">
        <f>I43-J43</f>
        <v>-1113</v>
      </c>
      <c r="L43" s="76">
        <f>+I43/J43</f>
        <v>0.6329155672823219</v>
      </c>
      <c r="M43" s="76"/>
      <c r="N43" s="75">
        <v>13400</v>
      </c>
      <c r="O43" s="75">
        <f>I43-N43</f>
        <v>-11481</v>
      </c>
      <c r="P43" s="76">
        <f>+I43/N43</f>
        <v>0.14320895522388061</v>
      </c>
      <c r="R43" s="79"/>
    </row>
    <row r="44" spans="2:18" x14ac:dyDescent="0.2">
      <c r="B44" s="75">
        <v>536</v>
      </c>
      <c r="C44" s="75">
        <v>2367</v>
      </c>
      <c r="D44" s="75">
        <f>B44-C44</f>
        <v>-1831</v>
      </c>
      <c r="E44" s="76">
        <f>+B44/C44</f>
        <v>0.22644697929869032</v>
      </c>
      <c r="G44" s="65" t="s">
        <v>438</v>
      </c>
      <c r="I44" s="75">
        <v>536</v>
      </c>
      <c r="J44" s="75">
        <v>2367</v>
      </c>
      <c r="K44" s="75">
        <f>I44-J44</f>
        <v>-1831</v>
      </c>
      <c r="L44" s="76">
        <f>+I44/J44</f>
        <v>0.22644697929869032</v>
      </c>
      <c r="M44" s="76"/>
      <c r="N44" s="75">
        <f>258025-142730</f>
        <v>115295</v>
      </c>
      <c r="O44" s="75">
        <f>I44-N44</f>
        <v>-114759</v>
      </c>
      <c r="P44" s="76">
        <f>+I44/N44</f>
        <v>4.6489440131835726E-3</v>
      </c>
      <c r="R44" s="79"/>
    </row>
    <row r="45" spans="2:18" s="62" customFormat="1" x14ac:dyDescent="0.2">
      <c r="B45" s="87">
        <f>SUM(B42:B44)</f>
        <v>12753</v>
      </c>
      <c r="C45" s="87">
        <f>SUM(C42:C44)</f>
        <v>16101</v>
      </c>
      <c r="D45" s="87">
        <f>+B45-C45</f>
        <v>-3348</v>
      </c>
      <c r="E45" s="76">
        <f>+B45/C45</f>
        <v>0.79206260480715485</v>
      </c>
      <c r="G45" s="62" t="s">
        <v>439</v>
      </c>
      <c r="I45" s="87">
        <f>SUM(I42:I44)</f>
        <v>12753</v>
      </c>
      <c r="J45" s="87">
        <f>SUM(J42:J44)</f>
        <v>16101</v>
      </c>
      <c r="K45" s="87">
        <f>SUM(K42:K44)</f>
        <v>-3348</v>
      </c>
      <c r="L45" s="76">
        <f>+I45/J45</f>
        <v>0.79206260480715485</v>
      </c>
      <c r="M45" s="76"/>
      <c r="N45" s="87">
        <f>SUM(N42:N44)</f>
        <v>258025</v>
      </c>
      <c r="O45" s="87">
        <f>SUM(O42:O44)</f>
        <v>-245272</v>
      </c>
      <c r="P45" s="76">
        <f>+I45/N45</f>
        <v>4.9425443271000874E-2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x14ac:dyDescent="0.2">
      <c r="B47" s="87">
        <v>11616</v>
      </c>
      <c r="C47" s="87">
        <v>12162</v>
      </c>
      <c r="D47" s="87">
        <f>+B47-C47</f>
        <v>-546</v>
      </c>
      <c r="E47" s="76">
        <f>+B47/C47</f>
        <v>0.9551060680809077</v>
      </c>
      <c r="G47" s="62" t="s">
        <v>440</v>
      </c>
      <c r="I47" s="87">
        <v>11616</v>
      </c>
      <c r="J47" s="87">
        <v>12162</v>
      </c>
      <c r="K47" s="87">
        <f>I47-J47</f>
        <v>-546</v>
      </c>
      <c r="L47" s="76">
        <f>+I47/J47</f>
        <v>0.9551060680809077</v>
      </c>
      <c r="M47" s="76"/>
      <c r="N47" s="87">
        <v>153474</v>
      </c>
      <c r="O47" s="87">
        <f>I47-N47</f>
        <v>-141858</v>
      </c>
      <c r="P47" s="76">
        <f>+I47/N47</f>
        <v>7.568708706360687E-2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x14ac:dyDescent="0.2">
      <c r="B49" s="87">
        <v>2980</v>
      </c>
      <c r="C49" s="87">
        <v>2570</v>
      </c>
      <c r="D49" s="87">
        <f>+B49-C49</f>
        <v>410</v>
      </c>
      <c r="E49" s="76">
        <f>+B49/C49</f>
        <v>1.1595330739299612</v>
      </c>
      <c r="G49" s="62" t="s">
        <v>136</v>
      </c>
      <c r="I49" s="87">
        <v>2980</v>
      </c>
      <c r="J49" s="87">
        <v>2570</v>
      </c>
      <c r="K49" s="87">
        <f>I49-J49</f>
        <v>410</v>
      </c>
      <c r="L49" s="76">
        <f>+I49/J49</f>
        <v>1.1595330739299612</v>
      </c>
      <c r="M49" s="76"/>
      <c r="N49" s="87">
        <v>33277</v>
      </c>
      <c r="O49" s="87">
        <f>I49-N49</f>
        <v>-30297</v>
      </c>
      <c r="P49" s="76">
        <f>+I49/N49</f>
        <v>8.9551341767587223E-2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2254</v>
      </c>
      <c r="C51" s="75">
        <v>2448</v>
      </c>
      <c r="D51" s="75">
        <f>B51-C51</f>
        <v>-194</v>
      </c>
      <c r="E51" s="76">
        <f>+B51/C51</f>
        <v>0.92075163398692805</v>
      </c>
      <c r="G51" s="65" t="s">
        <v>441</v>
      </c>
      <c r="I51" s="75">
        <v>2254</v>
      </c>
      <c r="J51" s="75">
        <v>2448</v>
      </c>
      <c r="K51" s="75">
        <f>I51-J51</f>
        <v>-194</v>
      </c>
      <c r="L51" s="76">
        <f>+I51/J51</f>
        <v>0.92075163398692805</v>
      </c>
      <c r="M51" s="76"/>
      <c r="N51" s="75">
        <v>29585</v>
      </c>
      <c r="O51" s="75">
        <f>I51-N51</f>
        <v>-27331</v>
      </c>
      <c r="P51" s="76">
        <f>+I51/N51</f>
        <v>7.618725705594051E-2</v>
      </c>
      <c r="R51" s="79"/>
    </row>
    <row r="52" spans="1:18" x14ac:dyDescent="0.2">
      <c r="B52" s="75">
        <v>1008</v>
      </c>
      <c r="C52" s="75">
        <v>6055</v>
      </c>
      <c r="D52" s="75">
        <f>B52-C52</f>
        <v>-5047</v>
      </c>
      <c r="E52" s="76">
        <f>+B52/C52</f>
        <v>0.16647398843930636</v>
      </c>
      <c r="G52" s="65" t="s">
        <v>442</v>
      </c>
      <c r="I52" s="75">
        <v>1008</v>
      </c>
      <c r="J52" s="75">
        <v>6055</v>
      </c>
      <c r="K52" s="75">
        <f>I52-J52</f>
        <v>-5047</v>
      </c>
      <c r="L52" s="76">
        <f>+I52/J52</f>
        <v>0.16647398843930636</v>
      </c>
      <c r="M52" s="76"/>
      <c r="N52" s="75">
        <v>509245</v>
      </c>
      <c r="O52" s="75">
        <f>I52-N52</f>
        <v>-508237</v>
      </c>
      <c r="P52" s="76">
        <f>+I52/N52</f>
        <v>1.9794008777700321E-3</v>
      </c>
      <c r="R52" s="79"/>
    </row>
    <row r="53" spans="1:18" x14ac:dyDescent="0.2">
      <c r="B53" s="75">
        <v>13891</v>
      </c>
      <c r="C53" s="75">
        <v>4192</v>
      </c>
      <c r="D53" s="75">
        <f>B53-C53</f>
        <v>9699</v>
      </c>
      <c r="E53" s="76">
        <f>+B53/C53</f>
        <v>3.313692748091603</v>
      </c>
      <c r="G53" s="65" t="s">
        <v>443</v>
      </c>
      <c r="I53" s="75">
        <v>13891</v>
      </c>
      <c r="J53" s="75">
        <v>4192</v>
      </c>
      <c r="K53" s="75">
        <f>I53-J53</f>
        <v>9699</v>
      </c>
      <c r="L53" s="76">
        <f>+I53/J53</f>
        <v>3.313692748091603</v>
      </c>
      <c r="M53" s="76"/>
      <c r="N53" s="75">
        <f>575630-538830</f>
        <v>36800</v>
      </c>
      <c r="O53" s="75">
        <f>I53-N53</f>
        <v>-22909</v>
      </c>
      <c r="P53" s="76">
        <f>+I53/N53</f>
        <v>0.37747282608695654</v>
      </c>
      <c r="R53" s="79"/>
    </row>
    <row r="54" spans="1:18" s="62" customFormat="1" x14ac:dyDescent="0.2">
      <c r="B54" s="87">
        <f>B53+B52+B51</f>
        <v>17153</v>
      </c>
      <c r="C54" s="87">
        <f>C53+C52+C51</f>
        <v>12695</v>
      </c>
      <c r="D54" s="87">
        <f>+B54-C54</f>
        <v>4458</v>
      </c>
      <c r="E54" s="76">
        <f>+B54/C54</f>
        <v>1.3511618747538401</v>
      </c>
      <c r="G54" s="62" t="s">
        <v>444</v>
      </c>
      <c r="I54" s="87">
        <f>I53+I52+I51</f>
        <v>17153</v>
      </c>
      <c r="J54" s="87">
        <f>J53+J52+J51</f>
        <v>12695</v>
      </c>
      <c r="K54" s="87">
        <f>K53+K52+K51</f>
        <v>4458</v>
      </c>
      <c r="L54" s="76">
        <f>+I54/J54</f>
        <v>1.3511618747538401</v>
      </c>
      <c r="M54" s="76"/>
      <c r="N54" s="87">
        <f>N53+N52+N51</f>
        <v>575630</v>
      </c>
      <c r="O54" s="87">
        <f>O53+O52+O51</f>
        <v>-558477</v>
      </c>
      <c r="P54" s="76">
        <f>+I54/N54</f>
        <v>2.9798655386272431E-2</v>
      </c>
      <c r="R54" s="79"/>
    </row>
    <row r="55" spans="1:18" s="81" customFormat="1" ht="14.25" x14ac:dyDescent="0.2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x14ac:dyDescent="0.2">
      <c r="B56" s="77">
        <f>+B54+B49+B47+B45+B40+B35+B29+B24</f>
        <v>558283</v>
      </c>
      <c r="C56" s="77">
        <f>+C54+C49+C47+C45+C40+C35+C29+C24</f>
        <v>396442</v>
      </c>
      <c r="D56" s="77">
        <f>B56-C56</f>
        <v>161841</v>
      </c>
      <c r="E56" s="76">
        <f>+B56/C56</f>
        <v>1.408233739109378</v>
      </c>
      <c r="F56" s="62"/>
      <c r="G56" s="78" t="s">
        <v>445</v>
      </c>
      <c r="H56" s="62"/>
      <c r="I56" s="77">
        <f>+I54+I49+I47+I45+I40+I35+I29+I24</f>
        <v>558283.73</v>
      </c>
      <c r="J56" s="77">
        <f>+J54+J49+J47+J45+J40+J35+J29+J24</f>
        <v>396442</v>
      </c>
      <c r="K56" s="77">
        <f>I56-J56</f>
        <v>161841.72999999998</v>
      </c>
      <c r="L56" s="76">
        <f>+I56/J56</f>
        <v>1.4082355804884448</v>
      </c>
      <c r="M56" s="88"/>
      <c r="N56" s="77">
        <f>+N54+N49+N47+N45+N40+N35+N29+N24</f>
        <v>5798899</v>
      </c>
      <c r="O56" s="77">
        <f>I56-N56</f>
        <v>-5240615.2699999996</v>
      </c>
      <c r="P56" s="76">
        <f>+I56/N56</f>
        <v>9.627409099554933E-2</v>
      </c>
      <c r="R56" s="79"/>
    </row>
    <row r="57" spans="1:18" s="81" customFormat="1" ht="14.25" x14ac:dyDescent="0.2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x14ac:dyDescent="0.2">
      <c r="B58" s="77">
        <f>+B18-B56</f>
        <v>-78103.400000000023</v>
      </c>
      <c r="C58" s="77">
        <f>+C18-C56</f>
        <v>-5820</v>
      </c>
      <c r="D58" s="89"/>
      <c r="E58" s="90"/>
      <c r="F58" s="62"/>
      <c r="G58" s="78" t="s">
        <v>446</v>
      </c>
      <c r="H58" s="62"/>
      <c r="I58" s="77">
        <f>+I18-I56</f>
        <v>-78104.920000000042</v>
      </c>
      <c r="J58" s="77">
        <f>+J18-J56</f>
        <v>-5820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 x14ac:dyDescent="0.2">
      <c r="A60" s="81"/>
      <c r="D60" s="94" t="s">
        <v>447</v>
      </c>
      <c r="F60" s="117" t="s">
        <v>448</v>
      </c>
      <c r="G60" s="117"/>
      <c r="H60" s="117"/>
      <c r="I60" s="117"/>
      <c r="J60" s="117"/>
      <c r="K60" s="117"/>
      <c r="L60" s="117"/>
      <c r="M60" s="117"/>
      <c r="N60" s="117"/>
    </row>
    <row r="61" spans="1:18" s="93" customFormat="1" ht="11.25" hidden="1" x14ac:dyDescent="0.2">
      <c r="C61" s="94"/>
      <c r="G61" s="95" t="s">
        <v>449</v>
      </c>
      <c r="I61" s="96">
        <f>-I6*0.03</f>
        <v>0</v>
      </c>
      <c r="J61" s="96">
        <f>-J6*0.03</f>
        <v>0</v>
      </c>
      <c r="L61" s="93" t="s">
        <v>449</v>
      </c>
      <c r="N61" s="96">
        <v>-23100</v>
      </c>
    </row>
    <row r="62" spans="1:18" s="93" customFormat="1" ht="11.25" hidden="1" x14ac:dyDescent="0.2">
      <c r="B62" s="94"/>
      <c r="C62" s="94"/>
      <c r="D62" s="94"/>
      <c r="G62" s="95" t="s">
        <v>450</v>
      </c>
      <c r="I62" s="96">
        <f>-0.2*I11</f>
        <v>-7234.4000000000005</v>
      </c>
      <c r="J62" s="96">
        <f>-0.2*J11</f>
        <v>-9501</v>
      </c>
      <c r="L62" s="93" t="s">
        <v>450</v>
      </c>
      <c r="N62" s="96">
        <v>-38500</v>
      </c>
    </row>
    <row r="63" spans="1:18" s="93" customFormat="1" ht="11.25" hidden="1" x14ac:dyDescent="0.2">
      <c r="B63" s="94"/>
      <c r="C63" s="94"/>
      <c r="D63" s="94"/>
      <c r="G63" s="95" t="s">
        <v>451</v>
      </c>
      <c r="I63" s="96">
        <f>995729*-0.05</f>
        <v>-49786.450000000004</v>
      </c>
      <c r="J63" s="96">
        <f>-0.05*(755000)</f>
        <v>-37750</v>
      </c>
      <c r="L63" s="93" t="s">
        <v>451</v>
      </c>
      <c r="N63" s="96">
        <v>-37750</v>
      </c>
    </row>
    <row r="64" spans="1:18" s="93" customFormat="1" ht="11.25" hidden="1" x14ac:dyDescent="0.2">
      <c r="B64" s="94"/>
      <c r="C64" s="94"/>
      <c r="D64" s="94"/>
      <c r="F64" s="97" t="s">
        <v>452</v>
      </c>
      <c r="G64" s="98"/>
      <c r="H64" s="97"/>
      <c r="I64" s="99">
        <f>-SUM(I61:I63)</f>
        <v>57020.850000000006</v>
      </c>
      <c r="J64" s="99">
        <f>-SUM(J61:J63)</f>
        <v>47251</v>
      </c>
      <c r="K64" s="97"/>
      <c r="L64" s="97"/>
      <c r="M64" s="97"/>
      <c r="N64" s="99">
        <v>99350</v>
      </c>
    </row>
    <row r="65" spans="1:15" s="93" customFormat="1" ht="11.25" hidden="1" x14ac:dyDescent="0.2">
      <c r="B65" s="94"/>
      <c r="C65" s="94"/>
      <c r="D65" s="94"/>
      <c r="G65" s="95"/>
      <c r="I65" s="96"/>
      <c r="J65" s="96"/>
    </row>
    <row r="66" spans="1:15" s="81" customFormat="1" ht="14.25" hidden="1" x14ac:dyDescent="0.2">
      <c r="A66" s="93"/>
      <c r="B66" s="93"/>
      <c r="C66" s="93"/>
      <c r="D66" s="94"/>
      <c r="E66" s="93"/>
      <c r="F66" s="117" t="s">
        <v>453</v>
      </c>
      <c r="G66" s="117"/>
      <c r="H66" s="117"/>
      <c r="I66" s="117"/>
      <c r="J66" s="117"/>
      <c r="K66" s="117"/>
      <c r="L66" s="117"/>
      <c r="M66" s="117"/>
      <c r="N66" s="117"/>
    </row>
    <row r="67" spans="1:15" s="81" customFormat="1" ht="14.25" hidden="1" x14ac:dyDescent="0.2">
      <c r="A67" s="93"/>
      <c r="B67" s="93"/>
      <c r="C67" s="93"/>
      <c r="D67" s="100"/>
      <c r="E67" s="93"/>
      <c r="F67" s="93"/>
      <c r="G67" s="101" t="s">
        <v>454</v>
      </c>
      <c r="H67" s="93"/>
      <c r="I67" s="96">
        <f>-I8*0.5</f>
        <v>0</v>
      </c>
      <c r="J67" s="96">
        <f>-J8*0.5</f>
        <v>0</v>
      </c>
      <c r="K67" s="93"/>
      <c r="L67" s="102" t="s">
        <v>454</v>
      </c>
      <c r="N67" s="96">
        <v>-50000</v>
      </c>
    </row>
    <row r="68" spans="1:15" s="93" customFormat="1" ht="11.25" hidden="1" x14ac:dyDescent="0.2">
      <c r="F68" s="97" t="s">
        <v>455</v>
      </c>
      <c r="G68" s="97"/>
      <c r="H68" s="97"/>
      <c r="I68" s="103">
        <f>-I67</f>
        <v>0</v>
      </c>
      <c r="J68" s="103">
        <f>-J67</f>
        <v>0</v>
      </c>
      <c r="K68" s="97"/>
      <c r="L68" s="97"/>
      <c r="M68" s="97"/>
      <c r="N68" s="103">
        <v>50000</v>
      </c>
    </row>
    <row r="69" spans="1:15" s="93" customFormat="1" ht="11.25" hidden="1" x14ac:dyDescent="0.2">
      <c r="D69" s="94"/>
      <c r="G69" s="95"/>
      <c r="L69" s="104"/>
    </row>
    <row r="70" spans="1:15" s="93" customFormat="1" ht="14.25" hidden="1" x14ac:dyDescent="0.2">
      <c r="D70" s="94"/>
      <c r="G70" s="81"/>
      <c r="K70" s="96"/>
      <c r="N70" s="81"/>
    </row>
    <row r="71" spans="1:15" s="93" customFormat="1" hidden="1" x14ac:dyDescent="0.2">
      <c r="D71" s="94"/>
      <c r="G71" s="78" t="s">
        <v>456</v>
      </c>
      <c r="I71" s="77">
        <f>+I58-I64-I68</f>
        <v>-135125.77000000005</v>
      </c>
      <c r="J71" s="77">
        <f>+J58-J64-J68</f>
        <v>-53071</v>
      </c>
      <c r="K71" s="96"/>
      <c r="N71" s="77">
        <v>-114634</v>
      </c>
    </row>
    <row r="72" spans="1:15" s="93" customFormat="1" ht="14.25" hidden="1" x14ac:dyDescent="0.2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 x14ac:dyDescent="0.2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+B6*$F75</f>
        <v>0</v>
      </c>
      <c r="C75" s="67">
        <f>+C6*$F75</f>
        <v>0</v>
      </c>
      <c r="D75" s="65"/>
      <c r="F75" s="108">
        <v>0.05</v>
      </c>
      <c r="G75" s="65" t="s">
        <v>457</v>
      </c>
      <c r="H75" s="108"/>
      <c r="I75" s="67">
        <f>+I6*$F75</f>
        <v>0</v>
      </c>
      <c r="J75" s="67">
        <f>+J6*$F75</f>
        <v>0</v>
      </c>
      <c r="K75" s="65"/>
      <c r="N75" s="67">
        <f>+N6*$F75</f>
        <v>35000</v>
      </c>
      <c r="O75" s="109"/>
    </row>
    <row r="76" spans="1:15" x14ac:dyDescent="0.2">
      <c r="B76" s="67">
        <f>+B11*$F76</f>
        <v>7234.4000000000005</v>
      </c>
      <c r="C76" s="67">
        <f>+C11*$F76</f>
        <v>9501</v>
      </c>
      <c r="D76" s="65"/>
      <c r="F76" s="108">
        <v>0.2</v>
      </c>
      <c r="G76" s="65" t="s">
        <v>458</v>
      </c>
      <c r="H76" s="108"/>
      <c r="I76" s="67">
        <f>+I11*$F76</f>
        <v>7234.4000000000005</v>
      </c>
      <c r="J76" s="67">
        <f>+J11*$F76</f>
        <v>9501</v>
      </c>
      <c r="K76" s="65"/>
      <c r="N76" s="67">
        <f>+N11*$F76</f>
        <v>120000</v>
      </c>
      <c r="O76" s="109"/>
    </row>
    <row r="77" spans="1:15" x14ac:dyDescent="0.2">
      <c r="B77" s="67">
        <f>+B8*$F77</f>
        <v>0</v>
      </c>
      <c r="C77" s="67">
        <f>+C8*$F77</f>
        <v>0</v>
      </c>
      <c r="D77" s="65"/>
      <c r="F77" s="108">
        <v>0.5</v>
      </c>
      <c r="G77" s="65" t="s">
        <v>459</v>
      </c>
      <c r="H77" s="108"/>
      <c r="I77" s="67">
        <f>+I8*$F77</f>
        <v>0</v>
      </c>
      <c r="J77" s="67">
        <f>+J8*$F77</f>
        <v>0</v>
      </c>
      <c r="K77" s="65"/>
      <c r="N77" s="67">
        <f>+N8*$F77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7234.4000000000005</v>
      </c>
      <c r="C79" s="67">
        <f>SUM(C75:C78)</f>
        <v>9501</v>
      </c>
      <c r="D79" s="65"/>
      <c r="I79" s="67">
        <f>SUM(I75:I78)</f>
        <v>7234.4000000000005</v>
      </c>
      <c r="J79" s="67">
        <f>SUM(J75:J78)</f>
        <v>9501</v>
      </c>
      <c r="K79" s="65"/>
      <c r="N79" s="67">
        <f>SUM(N75:N78)</f>
        <v>392500</v>
      </c>
      <c r="O79" s="109"/>
    </row>
  </sheetData>
  <mergeCells count="6">
    <mergeCell ref="F66:N66"/>
    <mergeCell ref="B1:G1"/>
    <mergeCell ref="I1:P1"/>
    <mergeCell ref="B3:E3"/>
    <mergeCell ref="I3:P3"/>
    <mergeCell ref="F60:N60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P386"/>
  <sheetViews>
    <sheetView tabSelected="1" zoomScale="190" zoomScaleNormal="1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9" customWidth="1"/>
    <col min="4" max="4" width="10.85546875" style="59" customWidth="1"/>
    <col min="5" max="5" width="2.7109375" style="1" customWidth="1"/>
    <col min="6" max="6" width="9.85546875" style="1" hidden="1" customWidth="1"/>
    <col min="7" max="7" width="10.28515625" style="1" hidden="1" customWidth="1"/>
    <col min="8" max="8" width="2.7109375" style="1" hidden="1" customWidth="1"/>
    <col min="9" max="9" width="9.85546875" style="1" hidden="1" customWidth="1"/>
    <col min="10" max="10" width="10.28515625" style="1" hidden="1" customWidth="1"/>
    <col min="11" max="11" width="2.7109375" style="1" hidden="1" customWidth="1"/>
    <col min="12" max="12" width="9.85546875" style="1" hidden="1" customWidth="1"/>
    <col min="13" max="13" width="10.28515625" style="1" hidden="1" customWidth="1"/>
    <col min="14" max="14" width="2.7109375" style="1" hidden="1" customWidth="1"/>
    <col min="15" max="15" width="10.5703125" style="1" hidden="1" customWidth="1"/>
    <col min="16" max="16" width="12.7109375" style="1" hidden="1" customWidth="1"/>
    <col min="17" max="17" width="2.7109375" style="1" hidden="1" customWidth="1"/>
    <col min="18" max="18" width="13.85546875" style="1" hidden="1" customWidth="1"/>
    <col min="19" max="19" width="16" style="1" hidden="1" customWidth="1"/>
    <col min="20" max="20" width="2.7109375" style="1" hidden="1" customWidth="1"/>
    <col min="21" max="21" width="13.85546875" style="1" hidden="1" customWidth="1"/>
    <col min="22" max="22" width="16" style="1" hidden="1" customWidth="1"/>
    <col min="23" max="23" width="2.7109375" style="1" hidden="1" customWidth="1"/>
    <col min="24" max="24" width="13.85546875" style="1" hidden="1" customWidth="1"/>
    <col min="25" max="25" width="16" style="1" hidden="1" customWidth="1"/>
    <col min="26" max="26" width="2.7109375" style="1" hidden="1" customWidth="1"/>
    <col min="27" max="27" width="13.85546875" style="1" hidden="1" customWidth="1"/>
    <col min="28" max="28" width="16" style="1" hidden="1" customWidth="1"/>
    <col min="29" max="29" width="2.7109375" style="1" hidden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hidden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2" ht="15" customHeight="1" x14ac:dyDescent="0.2">
      <c r="A1" s="122" t="s">
        <v>367</v>
      </c>
      <c r="B1" s="120" t="s">
        <v>366</v>
      </c>
      <c r="C1" s="123" t="s">
        <v>490</v>
      </c>
      <c r="D1" s="123" t="s">
        <v>368</v>
      </c>
      <c r="E1" s="26"/>
      <c r="F1" s="119" t="s">
        <v>491</v>
      </c>
      <c r="G1" s="120" t="s">
        <v>369</v>
      </c>
      <c r="H1" s="26"/>
      <c r="I1" s="119" t="s">
        <v>492</v>
      </c>
      <c r="J1" s="120" t="s">
        <v>373</v>
      </c>
      <c r="K1" s="26"/>
      <c r="L1" s="119" t="s">
        <v>493</v>
      </c>
      <c r="M1" s="120" t="s">
        <v>374</v>
      </c>
      <c r="N1" s="26"/>
      <c r="O1" s="119" t="s">
        <v>494</v>
      </c>
      <c r="P1" s="120" t="s">
        <v>376</v>
      </c>
      <c r="Q1" s="26"/>
      <c r="R1" s="119" t="s">
        <v>495</v>
      </c>
      <c r="S1" s="120" t="s">
        <v>378</v>
      </c>
      <c r="T1" s="26"/>
      <c r="U1" s="119" t="s">
        <v>496</v>
      </c>
      <c r="V1" s="120" t="s">
        <v>379</v>
      </c>
      <c r="W1" s="26"/>
      <c r="X1" s="119" t="s">
        <v>497</v>
      </c>
      <c r="Y1" s="120" t="s">
        <v>380</v>
      </c>
      <c r="Z1" s="26"/>
      <c r="AA1" s="119" t="s">
        <v>498</v>
      </c>
      <c r="AB1" s="120" t="s">
        <v>382</v>
      </c>
      <c r="AC1" s="26"/>
      <c r="AD1" s="119" t="s">
        <v>501</v>
      </c>
      <c r="AE1" s="120" t="s">
        <v>384</v>
      </c>
      <c r="AF1" s="26"/>
      <c r="AG1" s="119" t="s">
        <v>500</v>
      </c>
      <c r="AH1" s="120" t="s">
        <v>385</v>
      </c>
      <c r="AI1" s="26"/>
      <c r="AJ1" s="119" t="s">
        <v>499</v>
      </c>
      <c r="AK1" s="120" t="s">
        <v>386</v>
      </c>
      <c r="AL1" s="121" t="s">
        <v>370</v>
      </c>
      <c r="AM1" s="121" t="s">
        <v>371</v>
      </c>
      <c r="AN1" s="26"/>
      <c r="AO1" s="118" t="s">
        <v>461</v>
      </c>
    </row>
    <row r="2" spans="1:42" ht="15" customHeight="1" x14ac:dyDescent="0.2">
      <c r="A2" s="122"/>
      <c r="B2" s="120"/>
      <c r="C2" s="123"/>
      <c r="D2" s="123"/>
      <c r="E2" s="26"/>
      <c r="F2" s="119"/>
      <c r="G2" s="120"/>
      <c r="H2" s="26"/>
      <c r="I2" s="119"/>
      <c r="J2" s="120"/>
      <c r="K2" s="26"/>
      <c r="L2" s="119"/>
      <c r="M2" s="120"/>
      <c r="N2" s="26"/>
      <c r="O2" s="119"/>
      <c r="P2" s="120"/>
      <c r="Q2" s="26"/>
      <c r="R2" s="119"/>
      <c r="S2" s="120"/>
      <c r="T2" s="26"/>
      <c r="U2" s="119"/>
      <c r="V2" s="120"/>
      <c r="W2" s="26"/>
      <c r="X2" s="119"/>
      <c r="Y2" s="120"/>
      <c r="Z2" s="26"/>
      <c r="AA2" s="119"/>
      <c r="AB2" s="120"/>
      <c r="AC2" s="26"/>
      <c r="AD2" s="119"/>
      <c r="AE2" s="120"/>
      <c r="AF2" s="26"/>
      <c r="AG2" s="119"/>
      <c r="AH2" s="120"/>
      <c r="AI2" s="26"/>
      <c r="AJ2" s="119"/>
      <c r="AK2" s="120"/>
      <c r="AL2" s="121"/>
      <c r="AM2" s="121"/>
      <c r="AN2" s="26"/>
      <c r="AO2" s="118"/>
    </row>
    <row r="3" spans="1:42" s="23" customFormat="1" x14ac:dyDescent="0.2">
      <c r="A3" s="25"/>
      <c r="B3" s="24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2" ht="15" customHeight="1" x14ac:dyDescent="0.2">
      <c r="A4" s="22" t="s">
        <v>365</v>
      </c>
      <c r="B4" s="21" t="s">
        <v>364</v>
      </c>
      <c r="C4" s="57"/>
      <c r="D4" s="5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2" ht="15" customHeight="1" x14ac:dyDescent="0.2">
      <c r="A5" s="14" t="s">
        <v>363</v>
      </c>
      <c r="B5" s="13" t="s">
        <v>362</v>
      </c>
      <c r="C5" s="20">
        <f>+(C29*0.2)</f>
        <v>7234.3780000000006</v>
      </c>
      <c r="D5" s="20">
        <f>(D29*0.2)</f>
        <v>9501</v>
      </c>
      <c r="E5" s="13"/>
      <c r="F5" s="20">
        <f>+(F29*0.2)</f>
        <v>0</v>
      </c>
      <c r="G5" s="20">
        <f>(G29*0.2)</f>
        <v>0</v>
      </c>
      <c r="H5" s="13"/>
      <c r="I5" s="20">
        <f>+(I29*0.2)</f>
        <v>0</v>
      </c>
      <c r="J5" s="20">
        <f>(J29*0.2)</f>
        <v>0</v>
      </c>
      <c r="K5" s="13"/>
      <c r="L5" s="20">
        <f>+(L29*0.2)</f>
        <v>0</v>
      </c>
      <c r="M5" s="20">
        <f>(M29*0.2)</f>
        <v>0</v>
      </c>
      <c r="N5" s="13"/>
      <c r="O5" s="20">
        <f>+(O29*0.2)</f>
        <v>0</v>
      </c>
      <c r="P5" s="20">
        <f>(P29*0.2)</f>
        <v>0</v>
      </c>
      <c r="Q5" s="13"/>
      <c r="R5" s="20">
        <f>+(R29*0.2)</f>
        <v>0</v>
      </c>
      <c r="S5" s="20">
        <f>(S29*0.2)</f>
        <v>0</v>
      </c>
      <c r="T5" s="13"/>
      <c r="U5" s="20">
        <f>+(U29*0.2)</f>
        <v>0</v>
      </c>
      <c r="V5" s="20">
        <f>(V29*0.2)</f>
        <v>0</v>
      </c>
      <c r="W5" s="13"/>
      <c r="X5" s="20">
        <f>+(X29*0.2)</f>
        <v>0</v>
      </c>
      <c r="Y5" s="20">
        <f>(Y29*0.2)</f>
        <v>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7234.3780000000006</v>
      </c>
      <c r="AM5" s="27">
        <f t="shared" si="0"/>
        <v>9501</v>
      </c>
      <c r="AN5" s="13"/>
      <c r="AO5" s="10">
        <f>+(AO29*0.2)</f>
        <v>120000</v>
      </c>
      <c r="AP5" s="46"/>
    </row>
    <row r="6" spans="1:42" ht="15" customHeight="1" x14ac:dyDescent="0.2">
      <c r="A6" s="14">
        <v>3200750</v>
      </c>
      <c r="B6" s="13" t="s">
        <v>361</v>
      </c>
      <c r="C6" s="20">
        <f>+C15*0.5</f>
        <v>0</v>
      </c>
      <c r="D6" s="20">
        <f>+D15*0.5</f>
        <v>0</v>
      </c>
      <c r="E6" s="13"/>
      <c r="F6" s="10">
        <f>+F15*0.5</f>
        <v>0</v>
      </c>
      <c r="G6" s="10">
        <f>+G15*0.5</f>
        <v>0</v>
      </c>
      <c r="H6" s="13"/>
      <c r="I6" s="10">
        <f>+I15*0.5</f>
        <v>0</v>
      </c>
      <c r="J6" s="10">
        <f>+J15*0.5</f>
        <v>0</v>
      </c>
      <c r="K6" s="13"/>
      <c r="L6" s="10">
        <f>+L15*0.5</f>
        <v>0</v>
      </c>
      <c r="M6" s="10">
        <f>+M15*0.5</f>
        <v>0</v>
      </c>
      <c r="N6" s="13"/>
      <c r="O6" s="10">
        <f>+O15*0.5</f>
        <v>0</v>
      </c>
      <c r="P6" s="10">
        <f>+P15*0.5</f>
        <v>0</v>
      </c>
      <c r="Q6" s="13"/>
      <c r="R6" s="10">
        <f>+R15*0.5</f>
        <v>0</v>
      </c>
      <c r="S6" s="10">
        <f>+S15*0.5</f>
        <v>0</v>
      </c>
      <c r="T6" s="13"/>
      <c r="U6" s="10">
        <f>+U15*0.5</f>
        <v>0</v>
      </c>
      <c r="V6" s="10">
        <f>+V15*0.5</f>
        <v>0</v>
      </c>
      <c r="W6" s="13"/>
      <c r="X6" s="10">
        <f>+X15*0.5</f>
        <v>0</v>
      </c>
      <c r="Y6" s="10">
        <f>+Y15*0.5</f>
        <v>0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0</v>
      </c>
      <c r="AM6" s="27">
        <f t="shared" si="0"/>
        <v>0</v>
      </c>
      <c r="AN6" s="13"/>
      <c r="AO6" s="10">
        <f>+AO15*0.5</f>
        <v>237500</v>
      </c>
      <c r="AP6" s="46"/>
    </row>
    <row r="7" spans="1:42" ht="15" customHeight="1" x14ac:dyDescent="0.2">
      <c r="A7" s="14" t="s">
        <v>360</v>
      </c>
      <c r="B7" s="13" t="s">
        <v>359</v>
      </c>
      <c r="C7" s="20">
        <f>+C13*0.05</f>
        <v>0</v>
      </c>
      <c r="D7" s="20">
        <f>+D13*0.05</f>
        <v>0</v>
      </c>
      <c r="E7" s="13"/>
      <c r="F7" s="10">
        <f>+F13*0.05</f>
        <v>0</v>
      </c>
      <c r="G7" s="10">
        <f>+G13*0.05</f>
        <v>0</v>
      </c>
      <c r="H7" s="13"/>
      <c r="I7" s="10">
        <f>+I13*0.05</f>
        <v>0</v>
      </c>
      <c r="J7" s="10">
        <f>+J13*0.05</f>
        <v>0</v>
      </c>
      <c r="K7" s="13"/>
      <c r="L7" s="10">
        <f>+L13*0.05</f>
        <v>0</v>
      </c>
      <c r="M7" s="10">
        <f>+M13*0.05</f>
        <v>0</v>
      </c>
      <c r="N7" s="13"/>
      <c r="O7" s="10">
        <f>+O13*0.05</f>
        <v>0</v>
      </c>
      <c r="P7" s="10">
        <f>+P13*0.05</f>
        <v>0</v>
      </c>
      <c r="Q7" s="13"/>
      <c r="R7" s="10">
        <f>+R13*0.05</f>
        <v>0</v>
      </c>
      <c r="S7" s="10">
        <f>+S13*0.05</f>
        <v>0</v>
      </c>
      <c r="T7" s="13"/>
      <c r="U7" s="10">
        <f>+U13*0.05</f>
        <v>0</v>
      </c>
      <c r="V7" s="10">
        <f>+V13*0.05</f>
        <v>0</v>
      </c>
      <c r="W7" s="13"/>
      <c r="X7" s="10">
        <f>+X13*0.05</f>
        <v>0</v>
      </c>
      <c r="Y7" s="10">
        <f>+Y13*0.05</f>
        <v>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0</v>
      </c>
      <c r="AM7" s="27">
        <f t="shared" si="0"/>
        <v>0</v>
      </c>
      <c r="AN7" s="13"/>
      <c r="AO7" s="10">
        <f>+AO13*0.05</f>
        <v>35000</v>
      </c>
      <c r="AP7" s="46"/>
    </row>
    <row r="8" spans="1:42" ht="15" customHeight="1" x14ac:dyDescent="0.2">
      <c r="A8" s="14"/>
      <c r="B8" s="13"/>
      <c r="C8" s="58"/>
      <c r="D8" s="5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6"/>
    </row>
    <row r="9" spans="1:42" ht="15" customHeight="1" x14ac:dyDescent="0.2">
      <c r="A9" s="9" t="s">
        <v>4</v>
      </c>
      <c r="B9" s="8" t="s">
        <v>358</v>
      </c>
      <c r="C9" s="29">
        <f>SUM(C5:C7)</f>
        <v>7234.3780000000006</v>
      </c>
      <c r="D9" s="29">
        <f>SUM(D5:D7)</f>
        <v>9501</v>
      </c>
      <c r="E9" s="8"/>
      <c r="F9" s="7">
        <f>SUM(F5:F7)</f>
        <v>0</v>
      </c>
      <c r="G9" s="7">
        <f>SUM(G5:G7)</f>
        <v>0</v>
      </c>
      <c r="H9" s="8"/>
      <c r="I9" s="7">
        <f>SUM(I5:I7)</f>
        <v>0</v>
      </c>
      <c r="J9" s="7">
        <f>SUM(J5:J7)</f>
        <v>0</v>
      </c>
      <c r="K9" s="8"/>
      <c r="L9" s="7">
        <f>SUM(L5:L7)</f>
        <v>0</v>
      </c>
      <c r="M9" s="7">
        <f>SUM(M5:M7)</f>
        <v>0</v>
      </c>
      <c r="N9" s="8"/>
      <c r="O9" s="7">
        <f>SUM(O5:O7)</f>
        <v>0</v>
      </c>
      <c r="P9" s="7">
        <f>SUM(P5:P7)</f>
        <v>0</v>
      </c>
      <c r="Q9" s="8"/>
      <c r="R9" s="7">
        <f>SUM(R5:R7)</f>
        <v>0</v>
      </c>
      <c r="S9" s="7">
        <f>SUM(S5:S7)</f>
        <v>0</v>
      </c>
      <c r="T9" s="8"/>
      <c r="U9" s="7">
        <f>SUM(U5:U7)</f>
        <v>0</v>
      </c>
      <c r="V9" s="7">
        <f>SUM(V5:V7)</f>
        <v>0</v>
      </c>
      <c r="W9" s="8"/>
      <c r="X9" s="7">
        <f>SUM(X5:X7)</f>
        <v>0</v>
      </c>
      <c r="Y9" s="7">
        <f>SUM(Y5:Y7)</f>
        <v>0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7234.3780000000006</v>
      </c>
      <c r="AM9" s="7">
        <f>SUM(AM5:AM7)</f>
        <v>9501</v>
      </c>
      <c r="AN9" s="8"/>
      <c r="AO9" s="7">
        <f>SUM(AO5:AO7)</f>
        <v>392500</v>
      </c>
      <c r="AP9" s="46"/>
    </row>
    <row r="10" spans="1:42" ht="15" customHeight="1" x14ac:dyDescent="0.2"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42" x14ac:dyDescent="0.2">
      <c r="A11" s="22" t="s">
        <v>357</v>
      </c>
      <c r="B11" s="21" t="s">
        <v>356</v>
      </c>
      <c r="C11" s="57"/>
      <c r="D11" s="5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8"/>
      <c r="AH11" s="48"/>
      <c r="AI11" s="48"/>
      <c r="AJ11" s="48"/>
      <c r="AK11" s="48"/>
      <c r="AL11" s="48"/>
      <c r="AM11" s="48"/>
      <c r="AN11" s="48"/>
      <c r="AO11" s="46" t="s">
        <v>134</v>
      </c>
      <c r="AP11" s="46"/>
    </row>
    <row r="12" spans="1:42" ht="15" customHeight="1" x14ac:dyDescent="0.2">
      <c r="A12" s="16" t="s">
        <v>355</v>
      </c>
      <c r="B12" s="15" t="s">
        <v>354</v>
      </c>
      <c r="C12" s="60"/>
      <c r="D12" s="6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9"/>
      <c r="AH12" s="49"/>
      <c r="AI12" s="49"/>
      <c r="AJ12" s="49"/>
      <c r="AK12" s="49"/>
      <c r="AL12" s="49"/>
      <c r="AM12" s="49"/>
      <c r="AN12" s="49"/>
      <c r="AO12" s="46"/>
      <c r="AP12" s="46"/>
    </row>
    <row r="13" spans="1:42" x14ac:dyDescent="0.2">
      <c r="A13" s="14" t="s">
        <v>353</v>
      </c>
      <c r="B13" s="13" t="s">
        <v>352</v>
      </c>
      <c r="C13" s="28">
        <v>0</v>
      </c>
      <c r="D13" s="28">
        <v>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0</v>
      </c>
      <c r="AM13" s="27">
        <f t="shared" ref="AM13" si="2">+D13+G13+J13+M13+P13+S13+V13+Y13+AB13+AE13+AH13+AK13</f>
        <v>0</v>
      </c>
      <c r="AN13" s="28"/>
      <c r="AO13" s="20">
        <v>700000</v>
      </c>
      <c r="AP13" s="46"/>
    </row>
    <row r="14" spans="1:42" x14ac:dyDescent="0.2">
      <c r="A14" s="14" t="s">
        <v>351</v>
      </c>
      <c r="B14" s="13" t="s">
        <v>350</v>
      </c>
      <c r="C14" s="28">
        <v>54623.54</v>
      </c>
      <c r="D14" s="28">
        <v>57750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54623.54</v>
      </c>
      <c r="AM14" s="27">
        <f t="shared" ref="AM14:AM17" si="4">+D14+G14+J14+M14+P14+S14+V14+Y14+AB14+AE14+AH14+AK14</f>
        <v>57750</v>
      </c>
      <c r="AN14" s="28"/>
      <c r="AO14" s="20">
        <v>825000</v>
      </c>
      <c r="AP14" s="46"/>
    </row>
    <row r="15" spans="1:42" x14ac:dyDescent="0.2">
      <c r="A15" s="14" t="s">
        <v>349</v>
      </c>
      <c r="B15" s="13" t="s">
        <v>348</v>
      </c>
      <c r="C15" s="28">
        <v>0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0</v>
      </c>
      <c r="AM15" s="27">
        <f t="shared" si="4"/>
        <v>0</v>
      </c>
      <c r="AN15" s="28"/>
      <c r="AO15" s="20">
        <v>475000</v>
      </c>
      <c r="AP15" s="46"/>
    </row>
    <row r="16" spans="1:42" x14ac:dyDescent="0.2">
      <c r="A16" s="14" t="s">
        <v>347</v>
      </c>
      <c r="B16" s="13" t="s">
        <v>346</v>
      </c>
      <c r="C16" s="28">
        <v>0</v>
      </c>
      <c r="D16" s="28">
        <v>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0</v>
      </c>
      <c r="AM16" s="27">
        <f t="shared" si="4"/>
        <v>0</v>
      </c>
      <c r="AN16" s="28"/>
      <c r="AO16" s="20">
        <v>50000</v>
      </c>
      <c r="AP16" s="46"/>
    </row>
    <row r="17" spans="1:42" x14ac:dyDescent="0.2">
      <c r="A17" s="14" t="s">
        <v>345</v>
      </c>
      <c r="B17" s="13" t="s">
        <v>344</v>
      </c>
      <c r="C17" s="28">
        <v>0</v>
      </c>
      <c r="D17" s="28"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0</v>
      </c>
      <c r="AM17" s="27">
        <f t="shared" si="4"/>
        <v>0</v>
      </c>
      <c r="AN17" s="28"/>
      <c r="AO17" s="20">
        <v>85000</v>
      </c>
      <c r="AP17" s="46"/>
    </row>
    <row r="18" spans="1:42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6"/>
    </row>
    <row r="19" spans="1:42" x14ac:dyDescent="0.2">
      <c r="A19" s="9" t="s">
        <v>4</v>
      </c>
      <c r="B19" s="8" t="s">
        <v>343</v>
      </c>
      <c r="C19" s="29">
        <f>SUM(C13:C18)</f>
        <v>54623.54</v>
      </c>
      <c r="D19" s="29">
        <f>SUM(D13:D18)</f>
        <v>57750</v>
      </c>
      <c r="E19" s="34"/>
      <c r="F19" s="29">
        <f>SUM(F13:F18)</f>
        <v>0</v>
      </c>
      <c r="G19" s="29">
        <f>SUM(G13:G18)</f>
        <v>0</v>
      </c>
      <c r="H19" s="34"/>
      <c r="I19" s="29">
        <f>SUM(I13:I18)</f>
        <v>0</v>
      </c>
      <c r="J19" s="29">
        <f>SUM(J13:J18)</f>
        <v>0</v>
      </c>
      <c r="K19" s="34"/>
      <c r="L19" s="29">
        <f>SUM(L13:L18)</f>
        <v>0</v>
      </c>
      <c r="M19" s="29">
        <f>SUM(M13:M18)</f>
        <v>0</v>
      </c>
      <c r="N19" s="34"/>
      <c r="O19" s="29">
        <f>SUM(O13:O18)</f>
        <v>0</v>
      </c>
      <c r="P19" s="29">
        <f>SUM(P13:P18)</f>
        <v>0</v>
      </c>
      <c r="Q19" s="34"/>
      <c r="R19" s="29">
        <f>SUM(R13:R18)</f>
        <v>0</v>
      </c>
      <c r="S19" s="29">
        <f>SUM(S13:S18)</f>
        <v>0</v>
      </c>
      <c r="T19" s="34"/>
      <c r="U19" s="29">
        <f>SUM(U13:U18)</f>
        <v>0</v>
      </c>
      <c r="V19" s="29">
        <f>SUM(V13:V18)</f>
        <v>0</v>
      </c>
      <c r="W19" s="34"/>
      <c r="X19" s="29">
        <f>SUM(X13:X18)</f>
        <v>0</v>
      </c>
      <c r="Y19" s="29">
        <f>SUM(Y13:Y18)</f>
        <v>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54623.54</v>
      </c>
      <c r="AM19" s="29">
        <f>SUM(AM13:AM18)</f>
        <v>57750</v>
      </c>
      <c r="AN19" s="34"/>
      <c r="AO19" s="29">
        <f>SUM(AO13:AO18)</f>
        <v>2135000</v>
      </c>
      <c r="AP19" s="46"/>
    </row>
    <row r="20" spans="1:42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50"/>
      <c r="AH20" s="50"/>
      <c r="AI20" s="50"/>
      <c r="AJ20" s="50"/>
      <c r="AK20" s="50"/>
      <c r="AL20" s="50"/>
      <c r="AM20" s="50"/>
      <c r="AN20" s="50"/>
      <c r="AO20" s="50"/>
      <c r="AP20" s="46"/>
    </row>
    <row r="21" spans="1:42" x14ac:dyDescent="0.2">
      <c r="A21" s="16" t="s">
        <v>342</v>
      </c>
      <c r="B21" s="15" t="s">
        <v>341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1"/>
      <c r="AH21" s="51"/>
      <c r="AI21" s="51"/>
      <c r="AJ21" s="51"/>
      <c r="AK21" s="51"/>
      <c r="AL21" s="51"/>
      <c r="AM21" s="51"/>
      <c r="AN21" s="51"/>
      <c r="AO21" s="50"/>
      <c r="AP21" s="46"/>
    </row>
    <row r="22" spans="1:42" x14ac:dyDescent="0.2">
      <c r="A22" s="14" t="s">
        <v>340</v>
      </c>
      <c r="B22" s="13" t="s">
        <v>339</v>
      </c>
      <c r="C22" s="28">
        <v>0</v>
      </c>
      <c r="D22" s="28"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  <c r="AP22" s="46"/>
    </row>
    <row r="23" spans="1:42" x14ac:dyDescent="0.2">
      <c r="A23" s="14" t="s">
        <v>338</v>
      </c>
      <c r="B23" s="13" t="s">
        <v>337</v>
      </c>
      <c r="C23" s="28">
        <v>88731</v>
      </c>
      <c r="D23" s="28">
        <v>71500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5"/>
        <v>88731</v>
      </c>
      <c r="AM23" s="27">
        <f t="shared" si="6"/>
        <v>71500</v>
      </c>
      <c r="AN23" s="28"/>
      <c r="AO23" s="20">
        <v>130000</v>
      </c>
      <c r="AP23" s="46"/>
    </row>
    <row r="24" spans="1:42" x14ac:dyDescent="0.2">
      <c r="A24" s="14" t="s">
        <v>336</v>
      </c>
      <c r="B24" s="13" t="s">
        <v>335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  <c r="AP24" s="46"/>
    </row>
    <row r="25" spans="1:42" x14ac:dyDescent="0.2">
      <c r="A25" s="14" t="s">
        <v>334</v>
      </c>
      <c r="B25" s="13" t="s">
        <v>333</v>
      </c>
      <c r="C25" s="28">
        <v>143525</v>
      </c>
      <c r="D25" s="28">
        <v>110250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5"/>
        <v>143525</v>
      </c>
      <c r="AM25" s="27">
        <f t="shared" si="6"/>
        <v>110250</v>
      </c>
      <c r="AN25" s="28"/>
      <c r="AO25" s="20">
        <v>315000</v>
      </c>
      <c r="AP25" s="46"/>
    </row>
    <row r="26" spans="1:42" x14ac:dyDescent="0.2">
      <c r="A26" s="14" t="s">
        <v>332</v>
      </c>
      <c r="B26" s="13" t="s">
        <v>331</v>
      </c>
      <c r="C26" s="28">
        <v>65800</v>
      </c>
      <c r="D26" s="28">
        <v>71550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5"/>
        <v>65800</v>
      </c>
      <c r="AM26" s="27">
        <f t="shared" si="6"/>
        <v>71550</v>
      </c>
      <c r="AN26" s="28"/>
      <c r="AO26" s="20">
        <v>477000</v>
      </c>
      <c r="AP26" s="46"/>
    </row>
    <row r="27" spans="1:42" x14ac:dyDescent="0.2">
      <c r="A27" s="14" t="s">
        <v>330</v>
      </c>
      <c r="B27" s="13" t="s">
        <v>329</v>
      </c>
      <c r="C27" s="28">
        <v>0</v>
      </c>
      <c r="D27" s="28"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5"/>
        <v>0</v>
      </c>
      <c r="AM27" s="27">
        <f t="shared" si="6"/>
        <v>0</v>
      </c>
      <c r="AN27" s="28"/>
      <c r="AO27" s="20">
        <v>353000</v>
      </c>
      <c r="AP27" s="46"/>
    </row>
    <row r="28" spans="1:42" x14ac:dyDescent="0.2">
      <c r="A28" s="14" t="s">
        <v>328</v>
      </c>
      <c r="B28" s="13" t="s">
        <v>327</v>
      </c>
      <c r="C28" s="28">
        <v>0</v>
      </c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5"/>
        <v>0</v>
      </c>
      <c r="AM28" s="27">
        <f t="shared" si="6"/>
        <v>0</v>
      </c>
      <c r="AN28" s="28"/>
      <c r="AO28" s="20">
        <v>1180000</v>
      </c>
      <c r="AP28" s="46"/>
    </row>
    <row r="29" spans="1:42" x14ac:dyDescent="0.2">
      <c r="A29" s="14" t="s">
        <v>326</v>
      </c>
      <c r="B29" s="13" t="s">
        <v>325</v>
      </c>
      <c r="C29" s="28">
        <v>36171.89</v>
      </c>
      <c r="D29" s="28">
        <v>47505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5"/>
        <v>36171.89</v>
      </c>
      <c r="AM29" s="27">
        <f t="shared" si="6"/>
        <v>47505</v>
      </c>
      <c r="AN29" s="28"/>
      <c r="AO29" s="20">
        <v>600000</v>
      </c>
      <c r="AP29" s="46"/>
    </row>
    <row r="30" spans="1:42" x14ac:dyDescent="0.2">
      <c r="A30" s="14" t="s">
        <v>324</v>
      </c>
      <c r="B30" s="13" t="s">
        <v>323</v>
      </c>
      <c r="C30" s="28">
        <v>3000</v>
      </c>
      <c r="D30" s="28">
        <v>1667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5"/>
        <v>3000</v>
      </c>
      <c r="AM30" s="27">
        <f t="shared" si="6"/>
        <v>1667</v>
      </c>
      <c r="AN30" s="28"/>
      <c r="AO30" s="20">
        <v>20000</v>
      </c>
      <c r="AP30" s="46"/>
    </row>
    <row r="31" spans="1:42" x14ac:dyDescent="0.2">
      <c r="A31" s="14" t="s">
        <v>322</v>
      </c>
      <c r="B31" s="13" t="s">
        <v>321</v>
      </c>
      <c r="C31" s="28">
        <v>8470</v>
      </c>
      <c r="D31" s="28">
        <v>4000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5"/>
        <v>8470</v>
      </c>
      <c r="AM31" s="27">
        <f t="shared" si="6"/>
        <v>4000</v>
      </c>
      <c r="AN31" s="28"/>
      <c r="AO31" s="20">
        <v>50000</v>
      </c>
      <c r="AP31" s="46"/>
    </row>
    <row r="32" spans="1:42" x14ac:dyDescent="0.2">
      <c r="A32" s="14" t="s">
        <v>320</v>
      </c>
      <c r="B32" s="13" t="s">
        <v>319</v>
      </c>
      <c r="C32" s="28">
        <v>5369</v>
      </c>
      <c r="D32" s="28">
        <v>3934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5"/>
        <v>5369</v>
      </c>
      <c r="AM32" s="27">
        <f t="shared" si="6"/>
        <v>3934</v>
      </c>
      <c r="AN32" s="28"/>
      <c r="AO32" s="20">
        <v>55000</v>
      </c>
      <c r="AP32" s="46"/>
    </row>
    <row r="33" spans="1:42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6"/>
    </row>
    <row r="34" spans="1:42" x14ac:dyDescent="0.2">
      <c r="A34" s="9" t="s">
        <v>4</v>
      </c>
      <c r="B34" s="8" t="s">
        <v>318</v>
      </c>
      <c r="C34" s="29">
        <f>SUM(C22:C33)</f>
        <v>351066.89</v>
      </c>
      <c r="D34" s="29">
        <f>SUM(D22:D33)</f>
        <v>310406</v>
      </c>
      <c r="E34" s="34"/>
      <c r="F34" s="29">
        <f>SUM(F22:F33)</f>
        <v>0</v>
      </c>
      <c r="G34" s="29">
        <f>SUM(G22:G33)</f>
        <v>0</v>
      </c>
      <c r="H34" s="34"/>
      <c r="I34" s="29">
        <f>SUM(I22:I33)</f>
        <v>0</v>
      </c>
      <c r="J34" s="29">
        <f>SUM(J22:J33)</f>
        <v>0</v>
      </c>
      <c r="K34" s="34"/>
      <c r="L34" s="29">
        <f>SUM(L22:L33)</f>
        <v>0</v>
      </c>
      <c r="M34" s="29">
        <f>SUM(M22:M33)</f>
        <v>0</v>
      </c>
      <c r="N34" s="34"/>
      <c r="O34" s="29">
        <f>SUM(O22:O33)</f>
        <v>0</v>
      </c>
      <c r="P34" s="29">
        <f>SUM(P22:P33)</f>
        <v>0</v>
      </c>
      <c r="Q34" s="34"/>
      <c r="R34" s="29">
        <f>SUM(R22:R33)</f>
        <v>0</v>
      </c>
      <c r="S34" s="29">
        <f>SUM(S22:S33)</f>
        <v>0</v>
      </c>
      <c r="T34" s="34"/>
      <c r="U34" s="29">
        <f>SUM(U22:U33)</f>
        <v>0</v>
      </c>
      <c r="V34" s="29">
        <f>SUM(V22:V33)</f>
        <v>0</v>
      </c>
      <c r="W34" s="34"/>
      <c r="X34" s="29">
        <f>SUM(X22:X33)</f>
        <v>0</v>
      </c>
      <c r="Y34" s="29">
        <f>SUM(Y22:Y33)</f>
        <v>0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351066.89</v>
      </c>
      <c r="AM34" s="29">
        <f>SUM(AM22:AM33)</f>
        <v>310406</v>
      </c>
      <c r="AN34" s="34"/>
      <c r="AO34" s="29">
        <f>SUM(AO22:AO33)</f>
        <v>3180000</v>
      </c>
      <c r="AP34" s="46"/>
    </row>
    <row r="35" spans="1:42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50"/>
      <c r="AH35" s="50"/>
      <c r="AI35" s="50"/>
      <c r="AJ35" s="50"/>
      <c r="AK35" s="50"/>
      <c r="AL35" s="50"/>
      <c r="AM35" s="50"/>
      <c r="AN35" s="50"/>
      <c r="AO35" s="50"/>
      <c r="AP35" s="46"/>
    </row>
    <row r="36" spans="1:42" x14ac:dyDescent="0.2">
      <c r="A36" s="16" t="s">
        <v>317</v>
      </c>
      <c r="B36" s="15" t="s">
        <v>316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1"/>
      <c r="AH36" s="51"/>
      <c r="AI36" s="51"/>
      <c r="AJ36" s="51"/>
      <c r="AK36" s="51"/>
      <c r="AL36" s="51"/>
      <c r="AM36" s="51"/>
      <c r="AN36" s="51"/>
      <c r="AO36" s="50"/>
      <c r="AP36" s="46"/>
    </row>
    <row r="37" spans="1:42" x14ac:dyDescent="0.2">
      <c r="A37" s="14" t="s">
        <v>315</v>
      </c>
      <c r="B37" s="13" t="s">
        <v>314</v>
      </c>
      <c r="C37" s="28">
        <v>2255</v>
      </c>
      <c r="D37" s="28">
        <v>3467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7">+C37+F37+I37+L37+O37+R37+U37+X37+AA37+AD37+AG37+AJ37</f>
        <v>2255</v>
      </c>
      <c r="AM37" s="27">
        <f t="shared" ref="AM37:AM42" si="8">+D37+G37+J37+M37+P37+S37+V37+Y37+AB37+AE37+AH37+AK37</f>
        <v>3467</v>
      </c>
      <c r="AN37" s="28"/>
      <c r="AO37" s="20">
        <v>400000</v>
      </c>
      <c r="AP37" s="46"/>
    </row>
    <row r="38" spans="1:42" x14ac:dyDescent="0.2">
      <c r="A38" s="14" t="s">
        <v>313</v>
      </c>
      <c r="B38" s="13" t="s">
        <v>312</v>
      </c>
      <c r="C38" s="28">
        <v>200</v>
      </c>
      <c r="D38" s="28">
        <v>0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7"/>
        <v>200</v>
      </c>
      <c r="AM38" s="27">
        <f t="shared" si="8"/>
        <v>0</v>
      </c>
      <c r="AN38" s="28"/>
      <c r="AO38" s="20"/>
      <c r="AP38" s="46"/>
    </row>
    <row r="39" spans="1:42" x14ac:dyDescent="0.2">
      <c r="A39" s="14" t="s">
        <v>311</v>
      </c>
      <c r="B39" s="13" t="s">
        <v>310</v>
      </c>
      <c r="C39" s="28">
        <v>3264.02</v>
      </c>
      <c r="D39" s="28">
        <v>5000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7"/>
        <v>3264.02</v>
      </c>
      <c r="AM39" s="27">
        <f t="shared" si="8"/>
        <v>5000</v>
      </c>
      <c r="AN39" s="28"/>
      <c r="AO39" s="20">
        <v>60000</v>
      </c>
      <c r="AP39" s="46"/>
    </row>
    <row r="40" spans="1:42" x14ac:dyDescent="0.2">
      <c r="A40" s="14" t="s">
        <v>309</v>
      </c>
      <c r="B40" s="13" t="s">
        <v>308</v>
      </c>
      <c r="C40" s="28">
        <v>2054.9</v>
      </c>
      <c r="D40" s="28">
        <v>1041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7"/>
        <v>2054.9</v>
      </c>
      <c r="AM40" s="27">
        <f t="shared" si="8"/>
        <v>1041</v>
      </c>
      <c r="AN40" s="28"/>
      <c r="AO40" s="20">
        <v>12500</v>
      </c>
      <c r="AP40" s="46"/>
    </row>
    <row r="41" spans="1:42" x14ac:dyDescent="0.2">
      <c r="A41" s="14" t="s">
        <v>307</v>
      </c>
      <c r="B41" s="13" t="s">
        <v>306</v>
      </c>
      <c r="C41" s="28">
        <v>0</v>
      </c>
      <c r="D41" s="28">
        <v>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>
        <f t="shared" si="7"/>
        <v>0</v>
      </c>
      <c r="AM41" s="27">
        <f t="shared" si="8"/>
        <v>0</v>
      </c>
      <c r="AN41" s="28"/>
      <c r="AO41" s="20"/>
      <c r="AP41" s="46"/>
    </row>
    <row r="42" spans="1:42" x14ac:dyDescent="0.2">
      <c r="A42" s="14" t="s">
        <v>305</v>
      </c>
      <c r="B42" s="13" t="s">
        <v>304</v>
      </c>
      <c r="C42" s="28">
        <v>444.75</v>
      </c>
      <c r="D42" s="28">
        <v>375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7"/>
        <v>444.75</v>
      </c>
      <c r="AM42" s="27">
        <f t="shared" si="8"/>
        <v>375</v>
      </c>
      <c r="AN42" s="28"/>
      <c r="AO42" s="20">
        <v>4500</v>
      </c>
      <c r="AP42" s="46"/>
    </row>
    <row r="43" spans="1:42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6"/>
    </row>
    <row r="44" spans="1:42" x14ac:dyDescent="0.2">
      <c r="A44" s="9" t="s">
        <v>4</v>
      </c>
      <c r="B44" s="8" t="s">
        <v>303</v>
      </c>
      <c r="C44" s="29">
        <f>SUM(C37:C43)</f>
        <v>8218.67</v>
      </c>
      <c r="D44" s="29">
        <f>SUM(D37:D43)</f>
        <v>9883</v>
      </c>
      <c r="E44" s="34"/>
      <c r="F44" s="29">
        <f>SUM(F37:F43)</f>
        <v>0</v>
      </c>
      <c r="G44" s="29">
        <f>SUM(G37:G43)</f>
        <v>0</v>
      </c>
      <c r="H44" s="34"/>
      <c r="I44" s="29">
        <f>SUM(I37:I43)</f>
        <v>0</v>
      </c>
      <c r="J44" s="29">
        <f>SUM(J37:J43)</f>
        <v>0</v>
      </c>
      <c r="K44" s="34"/>
      <c r="L44" s="29">
        <f>SUM(L37:L43)</f>
        <v>0</v>
      </c>
      <c r="M44" s="29">
        <f>SUM(M37:M43)</f>
        <v>0</v>
      </c>
      <c r="N44" s="34"/>
      <c r="O44" s="29">
        <f>SUM(O37:O43)</f>
        <v>0</v>
      </c>
      <c r="P44" s="29">
        <f>SUM(P37:P43)</f>
        <v>0</v>
      </c>
      <c r="Q44" s="34"/>
      <c r="R44" s="29">
        <f>SUM(R37:R43)</f>
        <v>0</v>
      </c>
      <c r="S44" s="29">
        <f>SUM(S37:S43)</f>
        <v>0</v>
      </c>
      <c r="T44" s="34"/>
      <c r="U44" s="29">
        <f>SUM(U37:U43)</f>
        <v>0</v>
      </c>
      <c r="V44" s="29">
        <f>SUM(V37:V43)</f>
        <v>0</v>
      </c>
      <c r="W44" s="34"/>
      <c r="X44" s="29">
        <f>SUM(X37:X43)</f>
        <v>0</v>
      </c>
      <c r="Y44" s="29">
        <f>SUM(Y37:Y43)</f>
        <v>0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8218.67</v>
      </c>
      <c r="AM44" s="29">
        <f>SUM(AM37:AM43)</f>
        <v>9883</v>
      </c>
      <c r="AN44" s="34"/>
      <c r="AO44" s="29">
        <f>SUM(AO37:AO43)</f>
        <v>477000</v>
      </c>
      <c r="AP44" s="46"/>
    </row>
    <row r="45" spans="1:42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50"/>
      <c r="AH45" s="50"/>
      <c r="AI45" s="50"/>
      <c r="AJ45" s="50"/>
      <c r="AK45" s="50"/>
      <c r="AL45" s="50"/>
      <c r="AM45" s="50"/>
      <c r="AN45" s="50"/>
      <c r="AO45" s="50"/>
      <c r="AP45" s="46"/>
    </row>
    <row r="46" spans="1:42" x14ac:dyDescent="0.2">
      <c r="A46" s="16" t="s">
        <v>302</v>
      </c>
      <c r="B46" s="15" t="s">
        <v>301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1"/>
      <c r="AH46" s="51"/>
      <c r="AI46" s="51"/>
      <c r="AJ46" s="51"/>
      <c r="AK46" s="51"/>
      <c r="AL46" s="51"/>
      <c r="AM46" s="51"/>
      <c r="AN46" s="51"/>
      <c r="AO46" s="50"/>
      <c r="AP46" s="46"/>
    </row>
    <row r="47" spans="1:42" x14ac:dyDescent="0.2">
      <c r="A47" s="14">
        <v>4040980</v>
      </c>
      <c r="B47" s="13" t="s">
        <v>300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5"/>
      <c r="AK47" s="28"/>
      <c r="AL47" s="27">
        <f t="shared" ref="AL47:AL55" si="9">+C47+F47+I47+L47+O47+R47+U47+X47+AA47+AD47+AG47+AJ47</f>
        <v>806.25</v>
      </c>
      <c r="AM47" s="27">
        <f t="shared" ref="AM47:AM55" si="10">+D47+G47+J47+M47+P47+S47+V47+Y47+AB47+AE47+AH47+AK47</f>
        <v>0</v>
      </c>
      <c r="AN47" s="28"/>
      <c r="AO47" s="20">
        <v>0</v>
      </c>
      <c r="AP47" s="46"/>
    </row>
    <row r="48" spans="1:42" x14ac:dyDescent="0.2">
      <c r="A48" s="14" t="s">
        <v>299</v>
      </c>
      <c r="B48" s="13" t="s">
        <v>298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5"/>
      <c r="AK48" s="28"/>
      <c r="AL48" s="27">
        <f t="shared" si="9"/>
        <v>0</v>
      </c>
      <c r="AM48" s="27">
        <f t="shared" si="10"/>
        <v>0</v>
      </c>
      <c r="AN48" s="28"/>
      <c r="AO48" s="20">
        <v>0</v>
      </c>
      <c r="AP48" s="46"/>
    </row>
    <row r="49" spans="1:42" x14ac:dyDescent="0.2">
      <c r="A49" s="14" t="s">
        <v>297</v>
      </c>
      <c r="B49" s="13" t="s">
        <v>296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5"/>
      <c r="AK49" s="28"/>
      <c r="AL49" s="27">
        <f t="shared" si="9"/>
        <v>0</v>
      </c>
      <c r="AM49" s="27">
        <f t="shared" si="10"/>
        <v>0</v>
      </c>
      <c r="AN49" s="28"/>
      <c r="AO49" s="20">
        <v>0</v>
      </c>
      <c r="AP49" s="46"/>
    </row>
    <row r="50" spans="1:42" x14ac:dyDescent="0.2">
      <c r="A50" s="14" t="s">
        <v>295</v>
      </c>
      <c r="B50" s="13" t="s">
        <v>294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5"/>
      <c r="AK50" s="28"/>
      <c r="AL50" s="27">
        <f t="shared" si="9"/>
        <v>0</v>
      </c>
      <c r="AM50" s="27">
        <f t="shared" si="10"/>
        <v>0</v>
      </c>
      <c r="AN50" s="28"/>
      <c r="AO50" s="20">
        <v>0</v>
      </c>
      <c r="AP50" s="46"/>
    </row>
    <row r="51" spans="1:42" x14ac:dyDescent="0.2">
      <c r="A51" s="14">
        <v>4060400</v>
      </c>
      <c r="B51" s="13" t="s">
        <v>293</v>
      </c>
      <c r="C51" s="28">
        <v>0</v>
      </c>
      <c r="D51" s="28">
        <v>0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5"/>
      <c r="AK51" s="28"/>
      <c r="AL51" s="27">
        <f t="shared" si="9"/>
        <v>0</v>
      </c>
      <c r="AM51" s="27">
        <f t="shared" si="10"/>
        <v>0</v>
      </c>
      <c r="AN51" s="28"/>
      <c r="AO51" s="20">
        <v>0</v>
      </c>
      <c r="AP51" s="46"/>
    </row>
    <row r="52" spans="1:42" x14ac:dyDescent="0.2">
      <c r="A52" s="14" t="s">
        <v>292</v>
      </c>
      <c r="B52" s="13" t="s">
        <v>291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5"/>
      <c r="AK52" s="28"/>
      <c r="AL52" s="27">
        <f t="shared" si="9"/>
        <v>0</v>
      </c>
      <c r="AM52" s="27">
        <f t="shared" si="10"/>
        <v>0</v>
      </c>
      <c r="AN52" s="28"/>
      <c r="AO52" s="20">
        <v>0</v>
      </c>
      <c r="AP52" s="46"/>
    </row>
    <row r="53" spans="1:42" x14ac:dyDescent="0.2">
      <c r="A53" s="14">
        <v>4060800</v>
      </c>
      <c r="B53" s="13" t="s">
        <v>290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5"/>
      <c r="AK53" s="28"/>
      <c r="AL53" s="27">
        <f t="shared" si="9"/>
        <v>0</v>
      </c>
      <c r="AM53" s="27">
        <f t="shared" si="10"/>
        <v>0</v>
      </c>
      <c r="AN53" s="28"/>
      <c r="AO53" s="20">
        <v>0</v>
      </c>
      <c r="AP53" s="46"/>
    </row>
    <row r="54" spans="1:42" x14ac:dyDescent="0.2">
      <c r="A54" s="14">
        <v>4060900</v>
      </c>
      <c r="B54" s="13" t="s">
        <v>289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5"/>
      <c r="AK54" s="28"/>
      <c r="AL54" s="27">
        <f t="shared" si="9"/>
        <v>0</v>
      </c>
      <c r="AM54" s="27">
        <f t="shared" si="10"/>
        <v>0</v>
      </c>
      <c r="AN54" s="28"/>
      <c r="AO54" s="20">
        <v>0</v>
      </c>
      <c r="AP54" s="46"/>
    </row>
    <row r="55" spans="1:42" x14ac:dyDescent="0.2">
      <c r="A55" s="14" t="s">
        <v>288</v>
      </c>
      <c r="B55" s="13" t="s">
        <v>287</v>
      </c>
      <c r="C55" s="28">
        <v>33098.949999999997</v>
      </c>
      <c r="D55" s="28">
        <v>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5"/>
      <c r="AK55" s="28"/>
      <c r="AL55" s="27">
        <f t="shared" si="9"/>
        <v>33098.949999999997</v>
      </c>
      <c r="AM55" s="27">
        <f t="shared" si="10"/>
        <v>0</v>
      </c>
      <c r="AN55" s="28"/>
      <c r="AO55" s="20">
        <v>0</v>
      </c>
      <c r="AP55" s="46"/>
    </row>
    <row r="56" spans="1:42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6"/>
    </row>
    <row r="57" spans="1:42" x14ac:dyDescent="0.2">
      <c r="A57" s="9" t="s">
        <v>4</v>
      </c>
      <c r="B57" s="8" t="s">
        <v>286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0</v>
      </c>
      <c r="G57" s="29">
        <f>SUM(G47:G56)</f>
        <v>0</v>
      </c>
      <c r="H57" s="34"/>
      <c r="I57" s="29">
        <f>SUM(I47:I56)</f>
        <v>0</v>
      </c>
      <c r="J57" s="29">
        <f>SUM(J47:J56)</f>
        <v>0</v>
      </c>
      <c r="K57" s="34"/>
      <c r="L57" s="29">
        <f>SUM(L47:L56)</f>
        <v>0</v>
      </c>
      <c r="M57" s="29">
        <f>SUM(M47:M56)</f>
        <v>0</v>
      </c>
      <c r="N57" s="34"/>
      <c r="O57" s="29">
        <f>SUM(O47:O56)</f>
        <v>0</v>
      </c>
      <c r="P57" s="29">
        <f>SUM(P47:P56)</f>
        <v>0</v>
      </c>
      <c r="Q57" s="34"/>
      <c r="R57" s="29">
        <f>SUM(R47:R56)</f>
        <v>0</v>
      </c>
      <c r="S57" s="29">
        <f>SUM(S47:S56)</f>
        <v>0</v>
      </c>
      <c r="T57" s="34"/>
      <c r="U57" s="29">
        <f>SUM(U47:U56)</f>
        <v>0</v>
      </c>
      <c r="V57" s="29">
        <f>SUM(V47:V56)</f>
        <v>0</v>
      </c>
      <c r="W57" s="34"/>
      <c r="X57" s="29">
        <f>SUM(X47:X56)</f>
        <v>0</v>
      </c>
      <c r="Y57" s="29">
        <f>SUM(Y47:Y56)</f>
        <v>0</v>
      </c>
      <c r="Z57" s="34"/>
      <c r="AA57" s="43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33905.199999999997</v>
      </c>
      <c r="AM57" s="29">
        <f>SUM(AM47:AM56)</f>
        <v>0</v>
      </c>
      <c r="AN57" s="34"/>
      <c r="AO57" s="29">
        <f>SUM(AO47:AO56)</f>
        <v>0</v>
      </c>
      <c r="AP57" s="46"/>
    </row>
    <row r="58" spans="1:42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50"/>
      <c r="AH58" s="50"/>
      <c r="AI58" s="50"/>
      <c r="AJ58" s="50"/>
      <c r="AK58" s="50"/>
      <c r="AL58" s="50"/>
      <c r="AM58" s="50"/>
      <c r="AN58" s="50"/>
      <c r="AO58" s="50"/>
      <c r="AP58" s="46"/>
    </row>
    <row r="59" spans="1:42" x14ac:dyDescent="0.2">
      <c r="A59" s="16" t="s">
        <v>285</v>
      </c>
      <c r="B59" s="15" t="s">
        <v>284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1"/>
      <c r="AH59" s="51"/>
      <c r="AI59" s="51"/>
      <c r="AJ59" s="51"/>
      <c r="AK59" s="51"/>
      <c r="AL59" s="51"/>
      <c r="AM59" s="51"/>
      <c r="AN59" s="51"/>
      <c r="AO59" s="50"/>
      <c r="AP59" s="46"/>
    </row>
    <row r="60" spans="1:42" x14ac:dyDescent="0.2">
      <c r="A60" s="14" t="s">
        <v>283</v>
      </c>
      <c r="B60" s="13" t="s">
        <v>225</v>
      </c>
      <c r="C60" s="28">
        <v>0</v>
      </c>
      <c r="D60" s="28">
        <v>0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1">+C60+F60+I60+L60+O60+R60+U60+X60+AA60+AD60+AG60+AJ60</f>
        <v>0</v>
      </c>
      <c r="AM60" s="27">
        <f t="shared" ref="AM60:AM66" si="12">+D60+G60+J60+M60+P60+S60+V60+Y60+AB60+AE60+AH60+AK60</f>
        <v>0</v>
      </c>
      <c r="AN60" s="28"/>
      <c r="AO60" s="20">
        <v>0</v>
      </c>
      <c r="AP60" s="46"/>
    </row>
    <row r="61" spans="1:42" x14ac:dyDescent="0.2">
      <c r="A61" s="14">
        <v>4040525</v>
      </c>
      <c r="B61" s="13" t="s">
        <v>387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1"/>
        <v>0</v>
      </c>
      <c r="AM61" s="27">
        <f t="shared" si="12"/>
        <v>0</v>
      </c>
      <c r="AN61" s="28"/>
      <c r="AO61" s="20">
        <v>0</v>
      </c>
      <c r="AP61" s="46"/>
    </row>
    <row r="62" spans="1:42" x14ac:dyDescent="0.2">
      <c r="A62" s="14" t="s">
        <v>282</v>
      </c>
      <c r="B62" s="13" t="s">
        <v>281</v>
      </c>
      <c r="C62" s="28">
        <v>750</v>
      </c>
      <c r="D62" s="28">
        <v>0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44"/>
      <c r="AB62" s="28"/>
      <c r="AC62" s="28"/>
      <c r="AD62" s="45"/>
      <c r="AE62" s="28"/>
      <c r="AF62" s="28"/>
      <c r="AG62" s="45"/>
      <c r="AH62" s="28"/>
      <c r="AI62" s="28"/>
      <c r="AJ62" s="45"/>
      <c r="AK62" s="28"/>
      <c r="AL62" s="27">
        <f t="shared" si="11"/>
        <v>750</v>
      </c>
      <c r="AM62" s="27">
        <f t="shared" si="12"/>
        <v>0</v>
      </c>
      <c r="AN62" s="28"/>
      <c r="AO62" s="20">
        <v>0</v>
      </c>
      <c r="AP62" s="46"/>
    </row>
    <row r="63" spans="1:42" x14ac:dyDescent="0.2">
      <c r="A63" s="14" t="s">
        <v>280</v>
      </c>
      <c r="B63" s="13" t="s">
        <v>279</v>
      </c>
      <c r="C63" s="28">
        <v>0</v>
      </c>
      <c r="D63" s="28">
        <v>83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1"/>
        <v>0</v>
      </c>
      <c r="AM63" s="27">
        <f t="shared" si="12"/>
        <v>83</v>
      </c>
      <c r="AN63" s="28"/>
      <c r="AO63" s="20">
        <v>1000</v>
      </c>
      <c r="AP63" s="46"/>
    </row>
    <row r="64" spans="1:42" x14ac:dyDescent="0.2">
      <c r="A64" s="14" t="s">
        <v>278</v>
      </c>
      <c r="B64" s="13" t="s">
        <v>396</v>
      </c>
      <c r="C64" s="28">
        <v>2625</v>
      </c>
      <c r="D64" s="28">
        <v>0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1"/>
        <v>2625</v>
      </c>
      <c r="AM64" s="27">
        <f t="shared" si="12"/>
        <v>0</v>
      </c>
      <c r="AN64" s="28"/>
      <c r="AO64" s="20">
        <v>15000</v>
      </c>
      <c r="AP64" s="46"/>
    </row>
    <row r="65" spans="1:42" x14ac:dyDescent="0.2">
      <c r="A65" s="14">
        <v>4040750</v>
      </c>
      <c r="B65" s="13" t="s">
        <v>397</v>
      </c>
      <c r="C65" s="28">
        <v>1780.2</v>
      </c>
      <c r="D65" s="28">
        <v>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3">+C65+F65+I65+L65+O65+R65+U65+X65+AA65+AD65+AG65+AJ65</f>
        <v>1780.2</v>
      </c>
      <c r="AM65" s="27">
        <f t="shared" ref="AM65" si="14">+D65+G65+J65+M65+P65+S65+V65+Y65+AB65+AE65+AH65+AK65</f>
        <v>0</v>
      </c>
      <c r="AN65" s="28"/>
      <c r="AO65" s="20">
        <v>0</v>
      </c>
      <c r="AP65" s="46"/>
    </row>
    <row r="66" spans="1:42" x14ac:dyDescent="0.2">
      <c r="A66" s="14" t="s">
        <v>277</v>
      </c>
      <c r="B66" s="13" t="s">
        <v>276</v>
      </c>
      <c r="C66" s="28">
        <v>0</v>
      </c>
      <c r="D66" s="28">
        <v>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1"/>
        <v>0</v>
      </c>
      <c r="AM66" s="27">
        <f t="shared" si="12"/>
        <v>0</v>
      </c>
      <c r="AN66" s="28"/>
      <c r="AO66" s="20">
        <v>70000</v>
      </c>
      <c r="AP66" s="46"/>
    </row>
    <row r="67" spans="1:42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6"/>
    </row>
    <row r="68" spans="1:42" x14ac:dyDescent="0.2">
      <c r="A68" s="9" t="s">
        <v>4</v>
      </c>
      <c r="B68" s="8" t="s">
        <v>275</v>
      </c>
      <c r="C68" s="29">
        <f>SUM(C60:C67)</f>
        <v>5155.2</v>
      </c>
      <c r="D68" s="29">
        <f>SUM(D60:D67)</f>
        <v>83</v>
      </c>
      <c r="E68" s="34"/>
      <c r="F68" s="29">
        <f>SUM(F60:F67)</f>
        <v>0</v>
      </c>
      <c r="G68" s="29">
        <f>SUM(G60:G67)</f>
        <v>0</v>
      </c>
      <c r="H68" s="34"/>
      <c r="I68" s="29">
        <f>SUM(I60:I67)</f>
        <v>0</v>
      </c>
      <c r="J68" s="29">
        <f>SUM(J60:J67)</f>
        <v>0</v>
      </c>
      <c r="K68" s="34"/>
      <c r="L68" s="29">
        <f>SUM(L60:L67)</f>
        <v>0</v>
      </c>
      <c r="M68" s="29">
        <f>SUM(M60:M67)</f>
        <v>0</v>
      </c>
      <c r="N68" s="34"/>
      <c r="O68" s="29">
        <f>SUM(O60:O67)</f>
        <v>0</v>
      </c>
      <c r="P68" s="29">
        <f>SUM(P60:P67)</f>
        <v>0</v>
      </c>
      <c r="Q68" s="34"/>
      <c r="R68" s="29">
        <f>SUM(R60:R67)</f>
        <v>0</v>
      </c>
      <c r="S68" s="29">
        <f>SUM(S60:S67)</f>
        <v>0</v>
      </c>
      <c r="T68" s="34"/>
      <c r="U68" s="29">
        <f>SUM(U60:U67)</f>
        <v>0</v>
      </c>
      <c r="V68" s="29">
        <f>SUM(V60:V67)</f>
        <v>0</v>
      </c>
      <c r="W68" s="34"/>
      <c r="X68" s="29">
        <f>SUM(X60:X67)</f>
        <v>0</v>
      </c>
      <c r="Y68" s="29">
        <f>SUM(Y60:Y67)</f>
        <v>0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5155.2</v>
      </c>
      <c r="AM68" s="29">
        <f>SUM(AM60:AM67)</f>
        <v>83</v>
      </c>
      <c r="AN68" s="34"/>
      <c r="AO68" s="29">
        <f>SUM(AO60:AO67)</f>
        <v>86000</v>
      </c>
      <c r="AP68" s="46"/>
    </row>
    <row r="69" spans="1:42" x14ac:dyDescent="0.2"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50"/>
      <c r="AH69" s="50"/>
      <c r="AI69" s="50"/>
      <c r="AJ69" s="50"/>
      <c r="AK69" s="50"/>
      <c r="AL69" s="50"/>
      <c r="AM69" s="50"/>
      <c r="AN69" s="50"/>
      <c r="AO69" s="50"/>
      <c r="AP69" s="46"/>
    </row>
    <row r="70" spans="1:42" x14ac:dyDescent="0.2">
      <c r="A70" s="16" t="s">
        <v>274</v>
      </c>
      <c r="B70" s="15" t="s">
        <v>273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1"/>
      <c r="AH70" s="51"/>
      <c r="AI70" s="51"/>
      <c r="AJ70" s="51"/>
      <c r="AK70" s="51"/>
      <c r="AL70" s="51"/>
      <c r="AM70" s="51"/>
      <c r="AN70" s="51"/>
      <c r="AO70" s="50"/>
      <c r="AP70" s="46"/>
    </row>
    <row r="71" spans="1:42" x14ac:dyDescent="0.2">
      <c r="A71" s="14" t="s">
        <v>272</v>
      </c>
      <c r="B71" s="13" t="s">
        <v>271</v>
      </c>
      <c r="C71" s="28">
        <v>0</v>
      </c>
      <c r="D71" s="28">
        <v>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7">
        <f t="shared" ref="AL71:AL73" si="15">+C71+F71+I71+L71+O71+R71+U71+X71+AA71+AD71+AG71+AJ71</f>
        <v>0</v>
      </c>
      <c r="AM71" s="27">
        <f t="shared" ref="AM71:AM73" si="16">+D71+G71+J71+M71+P71+S71+V71+Y71+AB71+AE71+AH71+AK71</f>
        <v>0</v>
      </c>
      <c r="AN71" s="28"/>
      <c r="AO71" s="20">
        <v>0</v>
      </c>
      <c r="AP71" s="46"/>
    </row>
    <row r="72" spans="1:42" x14ac:dyDescent="0.2">
      <c r="A72" s="14" t="s">
        <v>270</v>
      </c>
      <c r="B72" s="13" t="s">
        <v>269</v>
      </c>
      <c r="C72" s="28">
        <v>660</v>
      </c>
      <c r="D72" s="28">
        <v>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7">
        <f t="shared" si="15"/>
        <v>660</v>
      </c>
      <c r="AM72" s="27">
        <f t="shared" si="16"/>
        <v>0</v>
      </c>
      <c r="AN72" s="28"/>
      <c r="AO72" s="20">
        <v>0</v>
      </c>
      <c r="AP72" s="46"/>
    </row>
    <row r="73" spans="1:42" x14ac:dyDescent="0.2">
      <c r="A73" s="14" t="s">
        <v>268</v>
      </c>
      <c r="B73" s="13" t="s">
        <v>267</v>
      </c>
      <c r="C73" s="28">
        <v>0</v>
      </c>
      <c r="D73" s="28">
        <v>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>
        <f t="shared" si="15"/>
        <v>0</v>
      </c>
      <c r="AM73" s="27">
        <f t="shared" si="16"/>
        <v>0</v>
      </c>
      <c r="AN73" s="28"/>
      <c r="AO73" s="20">
        <v>0</v>
      </c>
      <c r="AP73" s="46"/>
    </row>
    <row r="74" spans="1:42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0"/>
      <c r="AP74" s="46"/>
    </row>
    <row r="75" spans="1:42" x14ac:dyDescent="0.2">
      <c r="A75" s="9" t="s">
        <v>4</v>
      </c>
      <c r="B75" s="8" t="s">
        <v>266</v>
      </c>
      <c r="C75" s="29">
        <f>SUM(C71:C74)</f>
        <v>660</v>
      </c>
      <c r="D75" s="29">
        <f>SUM(D71:D74)</f>
        <v>0</v>
      </c>
      <c r="E75" s="34"/>
      <c r="F75" s="29">
        <f>SUM(F71:F74)</f>
        <v>0</v>
      </c>
      <c r="G75" s="29">
        <f>SUM(G71:G74)</f>
        <v>0</v>
      </c>
      <c r="H75" s="34"/>
      <c r="I75" s="29">
        <f>SUM(I71:I74)</f>
        <v>0</v>
      </c>
      <c r="J75" s="29">
        <f>SUM(J71:J74)</f>
        <v>0</v>
      </c>
      <c r="K75" s="34"/>
      <c r="L75" s="29">
        <f>SUM(L71:L74)</f>
        <v>0</v>
      </c>
      <c r="M75" s="29">
        <f>SUM(M71:M74)</f>
        <v>0</v>
      </c>
      <c r="N75" s="34"/>
      <c r="O75" s="29">
        <f>SUM(O71:O74)</f>
        <v>0</v>
      </c>
      <c r="P75" s="29">
        <f>SUM(P71:P74)</f>
        <v>0</v>
      </c>
      <c r="Q75" s="34"/>
      <c r="R75" s="29">
        <f>SUM(R71:R74)</f>
        <v>0</v>
      </c>
      <c r="S75" s="29">
        <f>SUM(S71:S74)</f>
        <v>0</v>
      </c>
      <c r="T75" s="34"/>
      <c r="U75" s="29">
        <f>SUM(U71:U74)</f>
        <v>0</v>
      </c>
      <c r="V75" s="29">
        <f>SUM(V71:V74)</f>
        <v>0</v>
      </c>
      <c r="W75" s="34"/>
      <c r="X75" s="29">
        <f>SUM(X71:X74)</f>
        <v>0</v>
      </c>
      <c r="Y75" s="29">
        <f>SUM(Y71:Y74)</f>
        <v>0</v>
      </c>
      <c r="Z75" s="34"/>
      <c r="AA75" s="43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660</v>
      </c>
      <c r="AM75" s="29">
        <f>SUM(AM71:AM74)</f>
        <v>0</v>
      </c>
      <c r="AN75" s="34"/>
      <c r="AO75" s="29">
        <f>SUM(AO71:AO74)</f>
        <v>0</v>
      </c>
      <c r="AP75" s="46"/>
    </row>
    <row r="76" spans="1:42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50"/>
      <c r="AH76" s="50"/>
      <c r="AI76" s="50"/>
      <c r="AJ76" s="50"/>
      <c r="AK76" s="50"/>
      <c r="AL76" s="50"/>
      <c r="AM76" s="50"/>
      <c r="AN76" s="50"/>
      <c r="AO76" s="50"/>
      <c r="AP76" s="46"/>
    </row>
    <row r="77" spans="1:42" x14ac:dyDescent="0.2">
      <c r="A77" s="16" t="s">
        <v>265</v>
      </c>
      <c r="B77" s="15" t="s">
        <v>261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1"/>
      <c r="AH77" s="51"/>
      <c r="AI77" s="51"/>
      <c r="AJ77" s="51"/>
      <c r="AK77" s="51"/>
      <c r="AL77" s="51"/>
      <c r="AM77" s="51"/>
      <c r="AN77" s="51"/>
      <c r="AO77" s="50"/>
      <c r="AP77" s="46"/>
    </row>
    <row r="78" spans="1:42" x14ac:dyDescent="0.2">
      <c r="A78" s="14" t="s">
        <v>264</v>
      </c>
      <c r="B78" s="13" t="s">
        <v>263</v>
      </c>
      <c r="C78" s="28">
        <v>24953.71</v>
      </c>
      <c r="D78" s="28">
        <v>20834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7">+C78+F78+I78+L78+O78+R78+U78+X78+AA78+AD78+AG78+AJ78</f>
        <v>24953.71</v>
      </c>
      <c r="AM78" s="27">
        <f t="shared" ref="AM78:AM79" si="18">+D78+G78+J78+M78+P78+S78+V78+Y78+AB78+AE78+AH78+AK78</f>
        <v>20834</v>
      </c>
      <c r="AN78" s="28"/>
      <c r="AO78" s="20">
        <v>250000</v>
      </c>
      <c r="AP78" s="46"/>
    </row>
    <row r="79" spans="1:42" x14ac:dyDescent="0.2">
      <c r="A79" s="14" t="s">
        <v>262</v>
      </c>
      <c r="B79" s="13" t="s">
        <v>261</v>
      </c>
      <c r="C79" s="28">
        <v>3795.79</v>
      </c>
      <c r="D79" s="28">
        <v>0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44"/>
      <c r="AB79" s="28"/>
      <c r="AC79" s="28"/>
      <c r="AD79" s="45"/>
      <c r="AE79" s="28"/>
      <c r="AF79" s="28"/>
      <c r="AG79" s="45"/>
      <c r="AH79" s="28"/>
      <c r="AI79" s="28"/>
      <c r="AJ79" s="45"/>
      <c r="AK79" s="28"/>
      <c r="AL79" s="27">
        <f t="shared" si="17"/>
        <v>3795.79</v>
      </c>
      <c r="AM79" s="27">
        <f t="shared" si="18"/>
        <v>0</v>
      </c>
      <c r="AN79" s="28"/>
      <c r="AO79" s="20">
        <v>0</v>
      </c>
      <c r="AP79" s="46"/>
    </row>
    <row r="80" spans="1:42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6"/>
    </row>
    <row r="81" spans="1:42" x14ac:dyDescent="0.2">
      <c r="A81" s="9" t="s">
        <v>4</v>
      </c>
      <c r="B81" s="8" t="s">
        <v>260</v>
      </c>
      <c r="C81" s="29">
        <f>SUM(C78:C80)</f>
        <v>28749.5</v>
      </c>
      <c r="D81" s="29">
        <f>SUM(D78:D80)</f>
        <v>20834</v>
      </c>
      <c r="E81" s="34"/>
      <c r="F81" s="29">
        <f>SUM(F78:F80)</f>
        <v>0</v>
      </c>
      <c r="G81" s="29">
        <f>SUM(G78:G80)</f>
        <v>0</v>
      </c>
      <c r="H81" s="34"/>
      <c r="I81" s="29">
        <f>SUM(I78:I80)</f>
        <v>0</v>
      </c>
      <c r="J81" s="29">
        <f>SUM(J78:J80)</f>
        <v>0</v>
      </c>
      <c r="K81" s="34"/>
      <c r="L81" s="29">
        <f>SUM(L78:L80)</f>
        <v>0</v>
      </c>
      <c r="M81" s="29">
        <f>SUM(M78:M80)</f>
        <v>0</v>
      </c>
      <c r="N81" s="34"/>
      <c r="O81" s="29">
        <f>SUM(O78:O80)</f>
        <v>0</v>
      </c>
      <c r="P81" s="29">
        <f>SUM(P78:P80)</f>
        <v>0</v>
      </c>
      <c r="Q81" s="34"/>
      <c r="R81" s="29">
        <f>SUM(R78:R80)</f>
        <v>0</v>
      </c>
      <c r="S81" s="29">
        <f>SUM(S78:S80)</f>
        <v>0</v>
      </c>
      <c r="T81" s="34"/>
      <c r="U81" s="29">
        <f>SUM(U78:U80)</f>
        <v>0</v>
      </c>
      <c r="V81" s="29">
        <f>SUM(V78:V80)</f>
        <v>0</v>
      </c>
      <c r="W81" s="34"/>
      <c r="X81" s="29">
        <f>SUM(X78:X80)</f>
        <v>0</v>
      </c>
      <c r="Y81" s="29">
        <f>SUM(Y78:Y80)</f>
        <v>0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28749.5</v>
      </c>
      <c r="AM81" s="29">
        <f>SUM(AM78:AM80)</f>
        <v>20834</v>
      </c>
      <c r="AN81" s="34"/>
      <c r="AO81" s="29">
        <f>SUM(AO78:AO80)</f>
        <v>250000</v>
      </c>
      <c r="AP81" s="46"/>
    </row>
    <row r="82" spans="1:42" x14ac:dyDescent="0.2"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50"/>
      <c r="AH82" s="50"/>
      <c r="AI82" s="50"/>
      <c r="AJ82" s="50"/>
      <c r="AK82" s="50"/>
      <c r="AL82" s="50"/>
      <c r="AM82" s="50"/>
      <c r="AN82" s="50"/>
      <c r="AO82" s="50"/>
      <c r="AP82" s="46"/>
    </row>
    <row r="83" spans="1:42" x14ac:dyDescent="0.2">
      <c r="A83" s="16" t="s">
        <v>259</v>
      </c>
      <c r="B83" s="15" t="s">
        <v>258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1"/>
      <c r="AH83" s="51"/>
      <c r="AI83" s="51"/>
      <c r="AJ83" s="51"/>
      <c r="AK83" s="51"/>
      <c r="AL83" s="51"/>
      <c r="AM83" s="51"/>
      <c r="AN83" s="51"/>
      <c r="AO83" s="50"/>
      <c r="AP83" s="46"/>
    </row>
    <row r="84" spans="1:42" x14ac:dyDescent="0.2">
      <c r="A84" s="14" t="s">
        <v>257</v>
      </c>
      <c r="B84" s="13" t="s">
        <v>256</v>
      </c>
      <c r="C84" s="28">
        <v>1426.05</v>
      </c>
      <c r="D84" s="28">
        <v>0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19">+C84+F84+I84+L84+O84+R84+U84+X84+AA84+AD84+AG84+AJ84</f>
        <v>1426.05</v>
      </c>
      <c r="AM84" s="27">
        <f t="shared" ref="AM84:AM85" si="20">+D84+G84+J84+M84+P84+S84+V84+Y84+AB84+AE84+AH84+AK84</f>
        <v>0</v>
      </c>
      <c r="AN84" s="28"/>
      <c r="AO84" s="20">
        <v>0</v>
      </c>
      <c r="AP84" s="46"/>
    </row>
    <row r="85" spans="1:42" x14ac:dyDescent="0.2">
      <c r="A85" s="14">
        <v>4050400</v>
      </c>
      <c r="B85" s="13" t="s">
        <v>255</v>
      </c>
      <c r="C85" s="28">
        <v>0</v>
      </c>
      <c r="D85" s="28">
        <v>0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19"/>
        <v>0</v>
      </c>
      <c r="AM85" s="27">
        <f t="shared" si="20"/>
        <v>0</v>
      </c>
      <c r="AN85" s="28"/>
      <c r="AO85" s="20">
        <v>0</v>
      </c>
      <c r="AP85" s="46"/>
    </row>
    <row r="86" spans="1:42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6"/>
    </row>
    <row r="87" spans="1:42" x14ac:dyDescent="0.2">
      <c r="A87" s="9" t="s">
        <v>4</v>
      </c>
      <c r="B87" s="8" t="s">
        <v>254</v>
      </c>
      <c r="C87" s="29">
        <f>SUM(C84:C86)</f>
        <v>1426.05</v>
      </c>
      <c r="D87" s="29">
        <f>SUM(D84:D86)</f>
        <v>0</v>
      </c>
      <c r="E87" s="34"/>
      <c r="F87" s="29">
        <f>SUM(F84:F86)</f>
        <v>0</v>
      </c>
      <c r="G87" s="29">
        <f>SUM(G84:G86)</f>
        <v>0</v>
      </c>
      <c r="H87" s="34"/>
      <c r="I87" s="29">
        <f>SUM(I84:I86)</f>
        <v>0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3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1426.05</v>
      </c>
      <c r="AM87" s="29">
        <f>SUM(AM84:AM86)</f>
        <v>0</v>
      </c>
      <c r="AN87" s="34"/>
      <c r="AO87" s="29">
        <f>SUM(AO84:AO86)</f>
        <v>0</v>
      </c>
      <c r="AP87" s="46"/>
    </row>
    <row r="88" spans="1:42" x14ac:dyDescent="0.2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50"/>
      <c r="AH88" s="50"/>
      <c r="AI88" s="50"/>
      <c r="AJ88" s="50"/>
      <c r="AK88" s="50"/>
      <c r="AL88" s="50"/>
      <c r="AM88" s="50"/>
      <c r="AN88" s="50"/>
      <c r="AO88" s="50"/>
      <c r="AP88" s="46"/>
    </row>
    <row r="89" spans="1:42" x14ac:dyDescent="0.2">
      <c r="A89" s="16" t="s">
        <v>253</v>
      </c>
      <c r="B89" s="15" t="s">
        <v>252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1"/>
      <c r="AH89" s="51"/>
      <c r="AI89" s="51"/>
      <c r="AJ89" s="51"/>
      <c r="AK89" s="51"/>
      <c r="AL89" s="51"/>
      <c r="AM89" s="51"/>
      <c r="AN89" s="51"/>
      <c r="AO89" s="50"/>
      <c r="AP89" s="46"/>
    </row>
    <row r="90" spans="1:42" x14ac:dyDescent="0.2">
      <c r="A90" s="14" t="s">
        <v>251</v>
      </c>
      <c r="B90" s="13" t="s">
        <v>250</v>
      </c>
      <c r="C90" s="45">
        <v>2250</v>
      </c>
      <c r="D90" s="45">
        <v>125</v>
      </c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>
        <f t="shared" ref="AL90:AL93" si="21">+C90+F90+I90+L90+O90+R90+U90+X90+AA90+AD90+AG90+AJ90</f>
        <v>2250</v>
      </c>
      <c r="AM90" s="27">
        <f t="shared" ref="AM90:AM93" si="22">+D90+G90+J90+M90+P90+S90+V90+Y90+AB90+AE90+AH90+AK90</f>
        <v>125</v>
      </c>
      <c r="AN90" s="28"/>
      <c r="AO90" s="20">
        <v>1500</v>
      </c>
      <c r="AP90" s="46"/>
    </row>
    <row r="91" spans="1:42" x14ac:dyDescent="0.2">
      <c r="A91" s="14" t="s">
        <v>249</v>
      </c>
      <c r="B91" s="13" t="s">
        <v>9</v>
      </c>
      <c r="C91" s="45">
        <v>1358.86</v>
      </c>
      <c r="D91" s="45">
        <v>1042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>
        <f t="shared" si="21"/>
        <v>1358.86</v>
      </c>
      <c r="AM91" s="27">
        <f t="shared" si="22"/>
        <v>1042</v>
      </c>
      <c r="AN91" s="28"/>
      <c r="AO91" s="20">
        <v>12500</v>
      </c>
      <c r="AP91" s="46"/>
    </row>
    <row r="92" spans="1:42" x14ac:dyDescent="0.2">
      <c r="A92" s="14" t="s">
        <v>248</v>
      </c>
      <c r="B92" s="13" t="s">
        <v>247</v>
      </c>
      <c r="C92" s="45">
        <v>0</v>
      </c>
      <c r="D92" s="45">
        <v>0</v>
      </c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>
        <f t="shared" si="21"/>
        <v>0</v>
      </c>
      <c r="AM92" s="27">
        <f t="shared" si="22"/>
        <v>0</v>
      </c>
      <c r="AN92" s="28"/>
      <c r="AO92" s="20">
        <v>0</v>
      </c>
      <c r="AP92" s="46"/>
    </row>
    <row r="93" spans="1:42" x14ac:dyDescent="0.2">
      <c r="A93" s="14" t="s">
        <v>246</v>
      </c>
      <c r="B93" s="13" t="s">
        <v>245</v>
      </c>
      <c r="C93" s="45">
        <v>0</v>
      </c>
      <c r="D93" s="45">
        <v>0</v>
      </c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>
        <f t="shared" si="21"/>
        <v>0</v>
      </c>
      <c r="AM93" s="27">
        <f t="shared" si="22"/>
        <v>0</v>
      </c>
      <c r="AN93" s="28"/>
      <c r="AO93" s="20">
        <v>50000</v>
      </c>
      <c r="AP93" s="46"/>
    </row>
    <row r="94" spans="1:42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6"/>
    </row>
    <row r="95" spans="1:42" x14ac:dyDescent="0.2">
      <c r="A95" s="9" t="s">
        <v>4</v>
      </c>
      <c r="B95" s="8" t="s">
        <v>244</v>
      </c>
      <c r="C95" s="29">
        <f>SUM(C90:C94)</f>
        <v>3608.8599999999997</v>
      </c>
      <c r="D95" s="29">
        <f>SUM(D90:D94)</f>
        <v>1167</v>
      </c>
      <c r="E95" s="34"/>
      <c r="F95" s="29">
        <f>SUM(F90:F94)</f>
        <v>0</v>
      </c>
      <c r="G95" s="29">
        <f>SUM(G90:G94)</f>
        <v>0</v>
      </c>
      <c r="H95" s="34"/>
      <c r="I95" s="29">
        <f>SUM(I90:I94)</f>
        <v>0</v>
      </c>
      <c r="J95" s="29">
        <f>SUM(J90:J94)</f>
        <v>0</v>
      </c>
      <c r="K95" s="34"/>
      <c r="L95" s="29">
        <f>SUM(L90:L94)</f>
        <v>0</v>
      </c>
      <c r="M95" s="29">
        <f>SUM(M90:M94)</f>
        <v>0</v>
      </c>
      <c r="N95" s="34"/>
      <c r="O95" s="29">
        <f>SUM(O90:O94)</f>
        <v>0</v>
      </c>
      <c r="P95" s="29">
        <f>SUM(P90:P94)</f>
        <v>0</v>
      </c>
      <c r="Q95" s="34"/>
      <c r="R95" s="29">
        <f>SUM(R90:R94)</f>
        <v>0</v>
      </c>
      <c r="S95" s="29">
        <f>SUM(S90:S94)</f>
        <v>0</v>
      </c>
      <c r="T95" s="34"/>
      <c r="U95" s="29">
        <f>SUM(U90:U94)</f>
        <v>0</v>
      </c>
      <c r="V95" s="29">
        <f>SUM(V90:V94)</f>
        <v>0</v>
      </c>
      <c r="W95" s="34"/>
      <c r="X95" s="29">
        <f>SUM(X90:X94)</f>
        <v>0</v>
      </c>
      <c r="Y95" s="29">
        <f>SUM(Y90:Y94)</f>
        <v>0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29">
        <f>SUM(AL90:AL94)</f>
        <v>3608.8599999999997</v>
      </c>
      <c r="AM95" s="29">
        <f>SUM(AM90:AM94)</f>
        <v>1167</v>
      </c>
      <c r="AN95" s="34"/>
      <c r="AO95" s="29">
        <f>SUM(AO90:AO94)</f>
        <v>64000</v>
      </c>
      <c r="AP95" s="46"/>
    </row>
    <row r="96" spans="1:42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50"/>
      <c r="AH96" s="50"/>
      <c r="AI96" s="50"/>
      <c r="AJ96" s="50"/>
      <c r="AK96" s="50"/>
      <c r="AL96" s="50"/>
      <c r="AM96" s="50"/>
      <c r="AN96" s="50"/>
      <c r="AO96" s="50"/>
      <c r="AP96" s="46"/>
    </row>
    <row r="97" spans="1:42" ht="12" thickBot="1" x14ac:dyDescent="0.25">
      <c r="A97" s="6"/>
      <c r="B97" s="5" t="s">
        <v>243</v>
      </c>
      <c r="C97" s="30">
        <f>+C95+C87+C81+C75+C68+C57+C44+C34+C19</f>
        <v>487413.91</v>
      </c>
      <c r="D97" s="30">
        <f>+D95+D87+D81+D75+D68+D57+D44+D34+D19</f>
        <v>400123</v>
      </c>
      <c r="E97" s="34"/>
      <c r="F97" s="30">
        <f>+F95+F87+F81+F75+F68+F57+F44+F34+F19</f>
        <v>0</v>
      </c>
      <c r="G97" s="30">
        <f>+G95+G87+G81+G75+G68+G57+G44+G34+G19</f>
        <v>0</v>
      </c>
      <c r="H97" s="34"/>
      <c r="I97" s="30">
        <f>+I95+I87+I81+I75+I68+I57+I44+I34+I19</f>
        <v>0</v>
      </c>
      <c r="J97" s="30">
        <f>+J95+J87+J81+J75+J68+J57+J44+J34+J19</f>
        <v>0</v>
      </c>
      <c r="K97" s="34"/>
      <c r="L97" s="30">
        <f>+L95+L87+L81+L75+L68+L57+L44+L34+L19</f>
        <v>0</v>
      </c>
      <c r="M97" s="30">
        <f>+M95+M87+M81+M75+M68+M57+M44+M34+M19</f>
        <v>0</v>
      </c>
      <c r="N97" s="34"/>
      <c r="O97" s="30">
        <f>+O95+O87+O81+O75+O68+O57+O44+O34+O19</f>
        <v>0</v>
      </c>
      <c r="P97" s="30">
        <f>+P95+P87+P81+P75+P68+P57+P44+P34+P19</f>
        <v>0</v>
      </c>
      <c r="Q97" s="34"/>
      <c r="R97" s="30">
        <f>+R95+R87+R81+R75+R68+R57+R44+R34+R19</f>
        <v>0</v>
      </c>
      <c r="S97" s="30">
        <f>+S95+S87+S81+S75+S68+S57+S44+S34+S19</f>
        <v>0</v>
      </c>
      <c r="T97" s="34"/>
      <c r="U97" s="30">
        <f>+U95+U87+U81+U75+U68+U57+U44+U34+U19</f>
        <v>0</v>
      </c>
      <c r="V97" s="30">
        <f>+V95+V87+V81+V75+V68+V57+V44+V34+V19</f>
        <v>0</v>
      </c>
      <c r="W97" s="34"/>
      <c r="X97" s="30">
        <f>+X95+X87+X81+X75+X68+X57+X44+X34+X19</f>
        <v>0</v>
      </c>
      <c r="Y97" s="30">
        <f>+Y95+Y87+Y81+Y75+Y68+Y57+Y44+Y34+Y19</f>
        <v>0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487413.91</v>
      </c>
      <c r="AM97" s="30">
        <f>+AM95+AM87+AM81+AM75+AM68+AM57+AM44+AM34+AM19</f>
        <v>400123</v>
      </c>
      <c r="AN97" s="34"/>
      <c r="AO97" s="30">
        <f>+AO95+AO87+AO81+AO75+AO68+AO57+AO44+AO34+AO19</f>
        <v>6192000</v>
      </c>
      <c r="AP97" s="46"/>
    </row>
    <row r="98" spans="1:42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50"/>
      <c r="AH98" s="50"/>
      <c r="AI98" s="50"/>
      <c r="AJ98" s="50"/>
      <c r="AK98" s="50"/>
      <c r="AL98" s="50"/>
      <c r="AM98" s="50"/>
      <c r="AN98" s="50"/>
      <c r="AO98" s="50"/>
      <c r="AP98" s="46"/>
    </row>
    <row r="99" spans="1:42" x14ac:dyDescent="0.2">
      <c r="A99" s="22" t="s">
        <v>242</v>
      </c>
      <c r="B99" s="21" t="s">
        <v>241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2"/>
      <c r="AH99" s="52"/>
      <c r="AI99" s="52"/>
      <c r="AJ99" s="52"/>
      <c r="AK99" s="52"/>
      <c r="AL99" s="52"/>
      <c r="AM99" s="52"/>
      <c r="AN99" s="52"/>
      <c r="AO99" s="50"/>
      <c r="AP99" s="46"/>
    </row>
    <row r="100" spans="1:42" x14ac:dyDescent="0.2">
      <c r="A100" s="16" t="s">
        <v>240</v>
      </c>
      <c r="B100" s="15" t="s">
        <v>239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1"/>
      <c r="AH100" s="51"/>
      <c r="AI100" s="51"/>
      <c r="AJ100" s="51"/>
      <c r="AK100" s="51"/>
      <c r="AL100" s="51"/>
      <c r="AM100" s="51"/>
      <c r="AN100" s="51"/>
      <c r="AO100" s="50"/>
      <c r="AP100" s="46"/>
    </row>
    <row r="101" spans="1:42" x14ac:dyDescent="0.2">
      <c r="A101" s="14" t="s">
        <v>238</v>
      </c>
      <c r="B101" s="13" t="s">
        <v>237</v>
      </c>
      <c r="C101" s="45">
        <v>1370.38</v>
      </c>
      <c r="D101" s="45">
        <v>1250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>
        <f t="shared" ref="AL101:AL121" si="23">+C101+F101+I101+L101+O101+R101+U101+X101+AA101+AD101+AG101+AJ101</f>
        <v>1370.38</v>
      </c>
      <c r="AM101" s="27">
        <f t="shared" ref="AM101:AM121" si="24">+D101+G101+J101+M101+P101+S101+V101+Y101+AB101+AE101+AH101+AK101</f>
        <v>1250</v>
      </c>
      <c r="AN101" s="28"/>
      <c r="AO101" s="20">
        <v>15000</v>
      </c>
      <c r="AP101" s="46"/>
    </row>
    <row r="102" spans="1:42" x14ac:dyDescent="0.2">
      <c r="A102" s="14" t="s">
        <v>236</v>
      </c>
      <c r="B102" s="13" t="s">
        <v>235</v>
      </c>
      <c r="C102" s="45">
        <v>0</v>
      </c>
      <c r="D102" s="45">
        <v>0</v>
      </c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>
        <f t="shared" si="23"/>
        <v>0</v>
      </c>
      <c r="AM102" s="27">
        <f t="shared" si="24"/>
        <v>0</v>
      </c>
      <c r="AN102" s="28"/>
      <c r="AO102" s="20">
        <f>+AO13*0.01</f>
        <v>7000</v>
      </c>
      <c r="AP102" s="46"/>
    </row>
    <row r="103" spans="1:42" x14ac:dyDescent="0.2">
      <c r="A103" s="14" t="s">
        <v>234</v>
      </c>
      <c r="B103" s="13" t="s">
        <v>233</v>
      </c>
      <c r="C103" s="45">
        <v>1031.73</v>
      </c>
      <c r="D103" s="45">
        <v>0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>
        <f t="shared" si="23"/>
        <v>1031.73</v>
      </c>
      <c r="AM103" s="27">
        <f t="shared" si="24"/>
        <v>0</v>
      </c>
      <c r="AN103" s="28"/>
      <c r="AO103" s="20">
        <v>0</v>
      </c>
      <c r="AP103" s="46"/>
    </row>
    <row r="104" spans="1:42" x14ac:dyDescent="0.2">
      <c r="A104" s="14" t="s">
        <v>232</v>
      </c>
      <c r="B104" s="13" t="s">
        <v>231</v>
      </c>
      <c r="C104" s="45">
        <v>70</v>
      </c>
      <c r="D104" s="45">
        <v>0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>
        <f t="shared" si="23"/>
        <v>70</v>
      </c>
      <c r="AM104" s="27">
        <f t="shared" si="24"/>
        <v>0</v>
      </c>
      <c r="AN104" s="28"/>
      <c r="AO104" s="20">
        <v>0</v>
      </c>
      <c r="AP104" s="46"/>
    </row>
    <row r="105" spans="1:42" x14ac:dyDescent="0.2">
      <c r="A105" s="14" t="s">
        <v>230</v>
      </c>
      <c r="B105" s="13" t="s">
        <v>229</v>
      </c>
      <c r="C105" s="45">
        <v>147</v>
      </c>
      <c r="D105" s="45">
        <v>250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>
        <f t="shared" si="23"/>
        <v>147</v>
      </c>
      <c r="AM105" s="27">
        <f t="shared" si="24"/>
        <v>250</v>
      </c>
      <c r="AN105" s="28"/>
      <c r="AO105" s="20">
        <v>3000</v>
      </c>
      <c r="AP105" s="46"/>
    </row>
    <row r="106" spans="1:42" x14ac:dyDescent="0.2">
      <c r="A106" s="14" t="s">
        <v>228</v>
      </c>
      <c r="B106" s="13" t="s">
        <v>227</v>
      </c>
      <c r="C106" s="45">
        <v>0</v>
      </c>
      <c r="D106" s="45">
        <v>0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>
        <f t="shared" si="23"/>
        <v>0</v>
      </c>
      <c r="AM106" s="27">
        <f t="shared" si="24"/>
        <v>0</v>
      </c>
      <c r="AN106" s="28"/>
      <c r="AO106" s="20">
        <v>5000</v>
      </c>
      <c r="AP106" s="46"/>
    </row>
    <row r="107" spans="1:42" x14ac:dyDescent="0.2">
      <c r="A107" s="14" t="s">
        <v>226</v>
      </c>
      <c r="B107" s="13" t="s">
        <v>225</v>
      </c>
      <c r="C107" s="45">
        <v>0</v>
      </c>
      <c r="D107" s="45">
        <v>0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>
        <f t="shared" si="23"/>
        <v>0</v>
      </c>
      <c r="AM107" s="27">
        <f t="shared" si="24"/>
        <v>0</v>
      </c>
      <c r="AN107" s="28"/>
      <c r="AO107" s="20">
        <v>10000</v>
      </c>
      <c r="AP107" s="46"/>
    </row>
    <row r="108" spans="1:42" x14ac:dyDescent="0.2">
      <c r="A108" s="14" t="s">
        <v>224</v>
      </c>
      <c r="B108" s="13" t="s">
        <v>223</v>
      </c>
      <c r="C108" s="45">
        <v>0</v>
      </c>
      <c r="D108" s="45">
        <v>0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>
        <f t="shared" si="23"/>
        <v>0</v>
      </c>
      <c r="AM108" s="27">
        <f t="shared" si="24"/>
        <v>0</v>
      </c>
      <c r="AN108" s="28"/>
      <c r="AO108" s="20">
        <v>5000</v>
      </c>
      <c r="AP108" s="46"/>
    </row>
    <row r="109" spans="1:42" x14ac:dyDescent="0.2">
      <c r="A109" s="14" t="s">
        <v>222</v>
      </c>
      <c r="B109" s="13" t="s">
        <v>221</v>
      </c>
      <c r="C109" s="45">
        <v>3322.5</v>
      </c>
      <c r="D109" s="45">
        <v>8333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>
        <f t="shared" si="23"/>
        <v>3322.5</v>
      </c>
      <c r="AM109" s="27">
        <f t="shared" si="24"/>
        <v>8333</v>
      </c>
      <c r="AN109" s="28"/>
      <c r="AO109" s="20">
        <v>100000</v>
      </c>
      <c r="AP109" s="46"/>
    </row>
    <row r="110" spans="1:42" x14ac:dyDescent="0.2">
      <c r="A110" s="14" t="s">
        <v>220</v>
      </c>
      <c r="B110" s="13" t="s">
        <v>219</v>
      </c>
      <c r="C110" s="45">
        <v>0</v>
      </c>
      <c r="D110" s="45">
        <v>0</v>
      </c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>
        <f t="shared" si="23"/>
        <v>0</v>
      </c>
      <c r="AM110" s="27">
        <f t="shared" si="24"/>
        <v>0</v>
      </c>
      <c r="AN110" s="28"/>
      <c r="AO110" s="20">
        <v>65000</v>
      </c>
      <c r="AP110" s="46"/>
    </row>
    <row r="111" spans="1:42" x14ac:dyDescent="0.2">
      <c r="A111" s="14" t="s">
        <v>218</v>
      </c>
      <c r="B111" s="13" t="s">
        <v>217</v>
      </c>
      <c r="C111" s="45">
        <v>0</v>
      </c>
      <c r="D111" s="45">
        <v>0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>
        <f t="shared" si="23"/>
        <v>0</v>
      </c>
      <c r="AM111" s="27">
        <f t="shared" si="24"/>
        <v>0</v>
      </c>
      <c r="AN111" s="28"/>
      <c r="AO111" s="20">
        <v>0</v>
      </c>
      <c r="AP111" s="46"/>
    </row>
    <row r="112" spans="1:42" x14ac:dyDescent="0.2">
      <c r="A112" s="14" t="s">
        <v>216</v>
      </c>
      <c r="B112" s="13" t="s">
        <v>215</v>
      </c>
      <c r="C112" s="45">
        <v>0</v>
      </c>
      <c r="D112" s="45">
        <v>0</v>
      </c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>
        <f t="shared" si="23"/>
        <v>0</v>
      </c>
      <c r="AM112" s="27">
        <f t="shared" si="24"/>
        <v>0</v>
      </c>
      <c r="AN112" s="28"/>
      <c r="AO112" s="20">
        <v>3000</v>
      </c>
      <c r="AP112" s="46"/>
    </row>
    <row r="113" spans="1:42" x14ac:dyDescent="0.2">
      <c r="A113" s="14">
        <v>6010850</v>
      </c>
      <c r="B113" s="13" t="s">
        <v>214</v>
      </c>
      <c r="C113" s="45">
        <v>0</v>
      </c>
      <c r="D113" s="45">
        <v>0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>
        <f t="shared" si="23"/>
        <v>0</v>
      </c>
      <c r="AM113" s="27">
        <f t="shared" si="24"/>
        <v>0</v>
      </c>
      <c r="AN113" s="28"/>
      <c r="AO113" s="20">
        <f>+AO62</f>
        <v>0</v>
      </c>
      <c r="AP113" s="46"/>
    </row>
    <row r="114" spans="1:42" x14ac:dyDescent="0.2">
      <c r="A114" s="14" t="s">
        <v>213</v>
      </c>
      <c r="B114" s="13" t="s">
        <v>212</v>
      </c>
      <c r="C114" s="45">
        <v>24643.29</v>
      </c>
      <c r="D114" s="45">
        <v>9167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>
        <f t="shared" si="23"/>
        <v>24643.29</v>
      </c>
      <c r="AM114" s="27">
        <f t="shared" si="24"/>
        <v>9167</v>
      </c>
      <c r="AN114" s="28"/>
      <c r="AO114" s="20">
        <v>110000</v>
      </c>
      <c r="AP114" s="46"/>
    </row>
    <row r="115" spans="1:42" x14ac:dyDescent="0.2">
      <c r="A115" s="14">
        <v>6010950</v>
      </c>
      <c r="B115" s="13" t="s">
        <v>211</v>
      </c>
      <c r="C115" s="45">
        <v>1764.31</v>
      </c>
      <c r="D115" s="45">
        <v>416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>
        <f t="shared" si="23"/>
        <v>1764.31</v>
      </c>
      <c r="AM115" s="27">
        <f t="shared" si="24"/>
        <v>416</v>
      </c>
      <c r="AN115" s="28"/>
      <c r="AO115" s="20">
        <v>5000</v>
      </c>
      <c r="AP115" s="46"/>
    </row>
    <row r="116" spans="1:42" x14ac:dyDescent="0.2">
      <c r="A116" s="14" t="s">
        <v>210</v>
      </c>
      <c r="B116" s="13" t="s">
        <v>209</v>
      </c>
      <c r="C116" s="45">
        <v>0</v>
      </c>
      <c r="D116" s="45">
        <v>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>
        <f t="shared" si="23"/>
        <v>0</v>
      </c>
      <c r="AM116" s="27">
        <f t="shared" si="24"/>
        <v>0</v>
      </c>
      <c r="AN116" s="28"/>
      <c r="AO116" s="20">
        <v>20000</v>
      </c>
      <c r="AP116" s="46"/>
    </row>
    <row r="117" spans="1:42" x14ac:dyDescent="0.2">
      <c r="A117" s="14" t="s">
        <v>208</v>
      </c>
      <c r="B117" s="13" t="s">
        <v>135</v>
      </c>
      <c r="C117" s="45">
        <v>1006.51</v>
      </c>
      <c r="D117" s="45">
        <v>1154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>
        <f t="shared" si="23"/>
        <v>1006.51</v>
      </c>
      <c r="AM117" s="27">
        <f t="shared" si="24"/>
        <v>1154</v>
      </c>
      <c r="AN117" s="28"/>
      <c r="AO117" s="20">
        <v>15000</v>
      </c>
      <c r="AP117" s="46"/>
    </row>
    <row r="118" spans="1:42" x14ac:dyDescent="0.2">
      <c r="A118" s="14" t="s">
        <v>207</v>
      </c>
      <c r="B118" s="13" t="s">
        <v>206</v>
      </c>
      <c r="C118" s="45">
        <v>233.11</v>
      </c>
      <c r="D118" s="45">
        <v>0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>
        <f t="shared" si="23"/>
        <v>233.11</v>
      </c>
      <c r="AM118" s="27">
        <f t="shared" si="24"/>
        <v>0</v>
      </c>
      <c r="AN118" s="28"/>
      <c r="AO118" s="20">
        <v>2500</v>
      </c>
      <c r="AP118" s="46"/>
    </row>
    <row r="119" spans="1:42" x14ac:dyDescent="0.2">
      <c r="A119" s="14" t="s">
        <v>205</v>
      </c>
      <c r="B119" s="13" t="s">
        <v>204</v>
      </c>
      <c r="C119" s="45">
        <v>116.64</v>
      </c>
      <c r="D119" s="45">
        <v>625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>
        <f t="shared" si="23"/>
        <v>116.64</v>
      </c>
      <c r="AM119" s="27">
        <f t="shared" si="24"/>
        <v>625</v>
      </c>
      <c r="AN119" s="28"/>
      <c r="AO119" s="20">
        <v>7500</v>
      </c>
      <c r="AP119" s="46"/>
    </row>
    <row r="120" spans="1:42" x14ac:dyDescent="0.2">
      <c r="A120" s="14" t="s">
        <v>203</v>
      </c>
      <c r="B120" s="13" t="s">
        <v>202</v>
      </c>
      <c r="C120" s="45">
        <v>-5266.98</v>
      </c>
      <c r="D120" s="45">
        <v>0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>
        <f t="shared" si="23"/>
        <v>-5266.98</v>
      </c>
      <c r="AM120" s="27">
        <f t="shared" si="24"/>
        <v>0</v>
      </c>
      <c r="AN120" s="28"/>
      <c r="AO120" s="20">
        <v>0</v>
      </c>
      <c r="AP120" s="46"/>
    </row>
    <row r="121" spans="1:42" x14ac:dyDescent="0.2">
      <c r="A121" s="14" t="s">
        <v>201</v>
      </c>
      <c r="B121" s="13" t="s">
        <v>200</v>
      </c>
      <c r="C121" s="45">
        <v>4735.17</v>
      </c>
      <c r="D121" s="45">
        <v>834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>
        <f t="shared" si="23"/>
        <v>4735.17</v>
      </c>
      <c r="AM121" s="27">
        <f t="shared" si="24"/>
        <v>834</v>
      </c>
      <c r="AN121" s="28"/>
      <c r="AO121" s="20">
        <v>10000</v>
      </c>
      <c r="AP121" s="46"/>
    </row>
    <row r="122" spans="1:42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6"/>
    </row>
    <row r="123" spans="1:42" s="19" customFormat="1" x14ac:dyDescent="0.2">
      <c r="A123" s="18"/>
      <c r="B123" s="17" t="s">
        <v>199</v>
      </c>
      <c r="C123" s="31">
        <f>SUM(C101:C121)</f>
        <v>33173.660000000003</v>
      </c>
      <c r="D123" s="31">
        <f>SUM(D101:D121)</f>
        <v>22029</v>
      </c>
      <c r="E123" s="34"/>
      <c r="F123" s="31">
        <f>SUM(F101:F121)</f>
        <v>0</v>
      </c>
      <c r="G123" s="31">
        <f>SUM(G101:G121)</f>
        <v>0</v>
      </c>
      <c r="H123" s="34"/>
      <c r="I123" s="31">
        <f>SUM(I101:I121)</f>
        <v>0</v>
      </c>
      <c r="J123" s="31">
        <f>SUM(J101:J121)</f>
        <v>0</v>
      </c>
      <c r="K123" s="34"/>
      <c r="L123" s="31">
        <f>SUM(L101:L121)</f>
        <v>0</v>
      </c>
      <c r="M123" s="31">
        <f>SUM(M101:M121)</f>
        <v>0</v>
      </c>
      <c r="N123" s="34"/>
      <c r="O123" s="31">
        <f>SUM(O101:O121)</f>
        <v>0</v>
      </c>
      <c r="P123" s="31">
        <f>SUM(P101:P121)</f>
        <v>0</v>
      </c>
      <c r="Q123" s="34"/>
      <c r="R123" s="31">
        <f>SUM(R101:R121)</f>
        <v>0</v>
      </c>
      <c r="S123" s="31">
        <f>SUM(S101:S121)</f>
        <v>0</v>
      </c>
      <c r="T123" s="34"/>
      <c r="U123" s="31">
        <f>SUM(U101:U121)</f>
        <v>0</v>
      </c>
      <c r="V123" s="31">
        <f>SUM(V101:V121)</f>
        <v>0</v>
      </c>
      <c r="W123" s="34"/>
      <c r="X123" s="31">
        <f>SUM(X101:X121)</f>
        <v>0</v>
      </c>
      <c r="Y123" s="31">
        <f>SUM(Y101:Y121)</f>
        <v>0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33173.660000000003</v>
      </c>
      <c r="AM123" s="31">
        <f>SUM(AM101:AM121)</f>
        <v>22029</v>
      </c>
      <c r="AN123" s="34"/>
      <c r="AO123" s="31">
        <f>SUM(AO101:AO121)</f>
        <v>383000</v>
      </c>
      <c r="AP123" s="53"/>
    </row>
    <row r="124" spans="1:42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5"/>
      <c r="AM124" s="34"/>
      <c r="AN124" s="34"/>
      <c r="AO124" s="32"/>
      <c r="AP124" s="53"/>
    </row>
    <row r="125" spans="1:42" x14ac:dyDescent="0.2">
      <c r="A125" s="14" t="s">
        <v>198</v>
      </c>
      <c r="B125" s="13" t="s">
        <v>41</v>
      </c>
      <c r="C125" s="28">
        <v>30578.79</v>
      </c>
      <c r="D125" s="45">
        <v>30931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>
        <f t="shared" ref="AL125:AL147" si="25">+C125+F125+I125+L125+O125+R125+U125+X125+AA125+AD125+AG125+AJ125</f>
        <v>30578.79</v>
      </c>
      <c r="AM125" s="27">
        <f t="shared" ref="AM125:AM147" si="26">+D125+G125+J125+M125+P125+S125+V125+Y125+AB125+AE125+AH125+AK125</f>
        <v>30931</v>
      </c>
      <c r="AN125" s="28"/>
      <c r="AO125" s="20">
        <v>402098</v>
      </c>
      <c r="AP125" s="46"/>
    </row>
    <row r="126" spans="1:42" x14ac:dyDescent="0.2">
      <c r="A126" s="14">
        <v>6020105</v>
      </c>
      <c r="B126" s="13" t="s">
        <v>388</v>
      </c>
      <c r="C126" s="28">
        <v>220.99</v>
      </c>
      <c r="D126" s="45">
        <v>0</v>
      </c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>
        <f t="shared" si="25"/>
        <v>220.99</v>
      </c>
      <c r="AM126" s="27">
        <v>0</v>
      </c>
      <c r="AN126" s="28"/>
      <c r="AO126" s="20">
        <v>0</v>
      </c>
      <c r="AP126" s="46"/>
    </row>
    <row r="127" spans="1:42" x14ac:dyDescent="0.2">
      <c r="A127" s="14" t="s">
        <v>197</v>
      </c>
      <c r="B127" s="13" t="s">
        <v>39</v>
      </c>
      <c r="C127" s="28">
        <v>2294.5</v>
      </c>
      <c r="D127" s="45">
        <v>2474</v>
      </c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>
        <f t="shared" si="25"/>
        <v>2294.5</v>
      </c>
      <c r="AM127" s="27">
        <f t="shared" si="26"/>
        <v>2474</v>
      </c>
      <c r="AN127" s="28"/>
      <c r="AO127" s="20">
        <v>32168</v>
      </c>
      <c r="AP127" s="46"/>
    </row>
    <row r="128" spans="1:42" x14ac:dyDescent="0.2">
      <c r="A128" s="14" t="s">
        <v>196</v>
      </c>
      <c r="B128" s="13" t="s">
        <v>37</v>
      </c>
      <c r="C128" s="28">
        <v>6964.74</v>
      </c>
      <c r="D128" s="45">
        <v>7461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>
        <f t="shared" si="25"/>
        <v>6964.74</v>
      </c>
      <c r="AM128" s="27">
        <f t="shared" si="26"/>
        <v>7461</v>
      </c>
      <c r="AN128" s="28"/>
      <c r="AO128" s="20">
        <v>89526</v>
      </c>
      <c r="AP128" s="46"/>
    </row>
    <row r="129" spans="1:42" x14ac:dyDescent="0.2">
      <c r="A129" s="14" t="s">
        <v>195</v>
      </c>
      <c r="B129" s="13" t="s">
        <v>59</v>
      </c>
      <c r="C129" s="28">
        <v>331.31</v>
      </c>
      <c r="D129" s="45">
        <v>334</v>
      </c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>
        <f t="shared" si="25"/>
        <v>331.31</v>
      </c>
      <c r="AM129" s="27">
        <f t="shared" si="26"/>
        <v>334</v>
      </c>
      <c r="AN129" s="28"/>
      <c r="AO129" s="20">
        <v>4342</v>
      </c>
      <c r="AP129" s="46"/>
    </row>
    <row r="130" spans="1:42" x14ac:dyDescent="0.2">
      <c r="A130" s="14">
        <v>6020150</v>
      </c>
      <c r="B130" s="13" t="s">
        <v>57</v>
      </c>
      <c r="C130" s="28">
        <v>0</v>
      </c>
      <c r="D130" s="45">
        <v>0</v>
      </c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>
        <f t="shared" ref="AL130" si="27">+C130+F130+I130+L130+O130+R130+U130+X130+AA130+AD130+AG130+AJ130</f>
        <v>0</v>
      </c>
      <c r="AM130" s="27">
        <f t="shared" ref="AM130" si="28">+D130+G130+J130+M130+P130+S130+V130+Y130+AB130+AE130+AH130+AK130</f>
        <v>0</v>
      </c>
      <c r="AN130" s="28"/>
      <c r="AO130" s="20">
        <v>0</v>
      </c>
      <c r="AP130" s="46"/>
    </row>
    <row r="131" spans="1:42" x14ac:dyDescent="0.2">
      <c r="A131" s="14" t="s">
        <v>194</v>
      </c>
      <c r="B131" s="13" t="s">
        <v>35</v>
      </c>
      <c r="C131" s="28">
        <v>40.71</v>
      </c>
      <c r="D131" s="45">
        <v>40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>
        <f t="shared" si="25"/>
        <v>40.71</v>
      </c>
      <c r="AM131" s="27">
        <f t="shared" si="26"/>
        <v>40</v>
      </c>
      <c r="AN131" s="28"/>
      <c r="AO131" s="20">
        <v>524</v>
      </c>
      <c r="AP131" s="47"/>
    </row>
    <row r="132" spans="1:42" x14ac:dyDescent="0.2">
      <c r="A132" s="14" t="s">
        <v>193</v>
      </c>
      <c r="B132" s="13" t="s">
        <v>34</v>
      </c>
      <c r="C132" s="28">
        <v>0</v>
      </c>
      <c r="D132" s="45">
        <v>0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>
        <f t="shared" si="25"/>
        <v>0</v>
      </c>
      <c r="AM132" s="27">
        <f t="shared" si="26"/>
        <v>0</v>
      </c>
      <c r="AN132" s="28"/>
      <c r="AO132" s="20">
        <v>5000</v>
      </c>
      <c r="AP132" s="46"/>
    </row>
    <row r="133" spans="1:42" x14ac:dyDescent="0.2">
      <c r="A133" s="14" t="s">
        <v>192</v>
      </c>
      <c r="B133" s="13" t="s">
        <v>33</v>
      </c>
      <c r="C133" s="28">
        <v>0</v>
      </c>
      <c r="D133" s="45">
        <v>0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>
        <f t="shared" si="25"/>
        <v>0</v>
      </c>
      <c r="AM133" s="27">
        <f t="shared" si="26"/>
        <v>0</v>
      </c>
      <c r="AN133" s="28"/>
      <c r="AO133" s="20">
        <v>450</v>
      </c>
      <c r="AP133" s="46"/>
    </row>
    <row r="134" spans="1:42" x14ac:dyDescent="0.2">
      <c r="A134" s="14" t="s">
        <v>191</v>
      </c>
      <c r="B134" s="13" t="s">
        <v>31</v>
      </c>
      <c r="C134" s="28">
        <v>1.22</v>
      </c>
      <c r="D134" s="45">
        <v>1</v>
      </c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>
        <f t="shared" si="25"/>
        <v>1.22</v>
      </c>
      <c r="AM134" s="27">
        <f t="shared" si="26"/>
        <v>1</v>
      </c>
      <c r="AN134" s="28"/>
      <c r="AO134" s="20">
        <v>15</v>
      </c>
      <c r="AP134" s="47"/>
    </row>
    <row r="135" spans="1:42" x14ac:dyDescent="0.2">
      <c r="A135" s="14" t="s">
        <v>190</v>
      </c>
      <c r="B135" s="13" t="s">
        <v>29</v>
      </c>
      <c r="C135" s="28">
        <v>2177.41</v>
      </c>
      <c r="D135" s="45">
        <v>2500</v>
      </c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>
        <f t="shared" si="25"/>
        <v>2177.41</v>
      </c>
      <c r="AM135" s="27">
        <f t="shared" si="26"/>
        <v>2500</v>
      </c>
      <c r="AN135" s="28"/>
      <c r="AO135" s="20">
        <v>30000</v>
      </c>
      <c r="AP135" s="46"/>
    </row>
    <row r="136" spans="1:42" x14ac:dyDescent="0.2">
      <c r="A136" s="14" t="s">
        <v>189</v>
      </c>
      <c r="B136" s="13" t="s">
        <v>27</v>
      </c>
      <c r="C136" s="28">
        <v>1125</v>
      </c>
      <c r="D136" s="45">
        <v>792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>
        <f t="shared" si="25"/>
        <v>1125</v>
      </c>
      <c r="AM136" s="27">
        <f t="shared" si="26"/>
        <v>792</v>
      </c>
      <c r="AN136" s="28"/>
      <c r="AO136" s="20">
        <v>9500</v>
      </c>
      <c r="AP136" s="46"/>
    </row>
    <row r="137" spans="1:42" x14ac:dyDescent="0.2">
      <c r="A137" s="14" t="s">
        <v>188</v>
      </c>
      <c r="B137" s="13" t="s">
        <v>101</v>
      </c>
      <c r="C137" s="28">
        <v>444</v>
      </c>
      <c r="D137" s="45">
        <v>500</v>
      </c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>
        <f t="shared" si="25"/>
        <v>444</v>
      </c>
      <c r="AM137" s="27">
        <f t="shared" si="26"/>
        <v>500</v>
      </c>
      <c r="AN137" s="28"/>
      <c r="AO137" s="20">
        <v>500</v>
      </c>
      <c r="AP137" s="46"/>
    </row>
    <row r="138" spans="1:42" x14ac:dyDescent="0.2">
      <c r="A138" s="14" t="s">
        <v>187</v>
      </c>
      <c r="B138" s="13" t="s">
        <v>25</v>
      </c>
      <c r="C138" s="28">
        <v>0</v>
      </c>
      <c r="D138" s="45">
        <v>333</v>
      </c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>
        <f t="shared" si="25"/>
        <v>0</v>
      </c>
      <c r="AM138" s="27">
        <f t="shared" si="26"/>
        <v>333</v>
      </c>
      <c r="AN138" s="28"/>
      <c r="AO138" s="20">
        <v>4000</v>
      </c>
      <c r="AP138" s="46"/>
    </row>
    <row r="139" spans="1:42" x14ac:dyDescent="0.2">
      <c r="A139" s="14" t="s">
        <v>186</v>
      </c>
      <c r="B139" s="13" t="s">
        <v>185</v>
      </c>
      <c r="C139" s="28">
        <v>415</v>
      </c>
      <c r="D139" s="45">
        <v>583</v>
      </c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7">
        <f t="shared" si="25"/>
        <v>415</v>
      </c>
      <c r="AM139" s="27">
        <f t="shared" si="26"/>
        <v>583</v>
      </c>
      <c r="AN139" s="28"/>
      <c r="AO139" s="20">
        <v>7000</v>
      </c>
      <c r="AP139" s="46"/>
    </row>
    <row r="140" spans="1:42" x14ac:dyDescent="0.2">
      <c r="A140" s="14" t="s">
        <v>184</v>
      </c>
      <c r="B140" s="13" t="s">
        <v>183</v>
      </c>
      <c r="C140" s="28">
        <v>91.29</v>
      </c>
      <c r="D140" s="45">
        <v>833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7">
        <f t="shared" si="25"/>
        <v>91.29</v>
      </c>
      <c r="AM140" s="27">
        <f t="shared" si="26"/>
        <v>833</v>
      </c>
      <c r="AN140" s="28"/>
      <c r="AO140" s="20">
        <v>10000</v>
      </c>
      <c r="AP140" s="46"/>
    </row>
    <row r="141" spans="1:42" x14ac:dyDescent="0.2">
      <c r="A141" s="14" t="s">
        <v>182</v>
      </c>
      <c r="B141" s="13" t="s">
        <v>97</v>
      </c>
      <c r="C141" s="28">
        <v>4398.7700000000004</v>
      </c>
      <c r="D141" s="45">
        <v>4583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7">
        <f t="shared" si="25"/>
        <v>4398.7700000000004</v>
      </c>
      <c r="AM141" s="27">
        <f t="shared" si="26"/>
        <v>4583</v>
      </c>
      <c r="AN141" s="28"/>
      <c r="AO141" s="20">
        <v>55000</v>
      </c>
      <c r="AP141" s="46"/>
    </row>
    <row r="142" spans="1:42" x14ac:dyDescent="0.2">
      <c r="A142" s="14" t="s">
        <v>181</v>
      </c>
      <c r="B142" s="13" t="s">
        <v>19</v>
      </c>
      <c r="C142" s="28">
        <v>5517.76</v>
      </c>
      <c r="D142" s="45">
        <v>5834</v>
      </c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7">
        <f t="shared" si="25"/>
        <v>5517.76</v>
      </c>
      <c r="AM142" s="27">
        <f t="shared" si="26"/>
        <v>5834</v>
      </c>
      <c r="AN142" s="28"/>
      <c r="AO142" s="20">
        <v>70000</v>
      </c>
      <c r="AP142" s="46"/>
    </row>
    <row r="143" spans="1:42" x14ac:dyDescent="0.2">
      <c r="A143" s="14" t="s">
        <v>180</v>
      </c>
      <c r="B143" s="13" t="s">
        <v>17</v>
      </c>
      <c r="C143" s="28">
        <v>0</v>
      </c>
      <c r="D143" s="45">
        <v>125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7">
        <f t="shared" si="25"/>
        <v>0</v>
      </c>
      <c r="AM143" s="27">
        <f t="shared" si="26"/>
        <v>125</v>
      </c>
      <c r="AN143" s="28"/>
      <c r="AO143" s="20">
        <v>1500</v>
      </c>
      <c r="AP143" s="46"/>
    </row>
    <row r="144" spans="1:42" x14ac:dyDescent="0.2">
      <c r="A144" s="14" t="s">
        <v>179</v>
      </c>
      <c r="B144" s="13" t="s">
        <v>15</v>
      </c>
      <c r="C144" s="28">
        <v>625</v>
      </c>
      <c r="D144" s="45">
        <v>625</v>
      </c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7">
        <f t="shared" si="25"/>
        <v>625</v>
      </c>
      <c r="AM144" s="27">
        <f t="shared" si="26"/>
        <v>625</v>
      </c>
      <c r="AN144" s="28"/>
      <c r="AO144" s="20">
        <v>7500</v>
      </c>
      <c r="AP144" s="46"/>
    </row>
    <row r="145" spans="1:42" x14ac:dyDescent="0.2">
      <c r="A145" s="14" t="s">
        <v>178</v>
      </c>
      <c r="B145" s="13" t="s">
        <v>13</v>
      </c>
      <c r="C145" s="28">
        <v>929.89</v>
      </c>
      <c r="D145" s="45">
        <v>833</v>
      </c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7">
        <f t="shared" si="25"/>
        <v>929.89</v>
      </c>
      <c r="AM145" s="27">
        <f t="shared" si="26"/>
        <v>833</v>
      </c>
      <c r="AN145" s="28"/>
      <c r="AO145" s="20">
        <v>10000</v>
      </c>
      <c r="AP145" s="46"/>
    </row>
    <row r="146" spans="1:42" x14ac:dyDescent="0.2">
      <c r="A146" s="14" t="s">
        <v>177</v>
      </c>
      <c r="B146" s="13" t="s">
        <v>9</v>
      </c>
      <c r="C146" s="28">
        <v>314.95</v>
      </c>
      <c r="D146" s="45">
        <v>416</v>
      </c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7">
        <f t="shared" si="25"/>
        <v>314.95</v>
      </c>
      <c r="AM146" s="27">
        <f t="shared" si="26"/>
        <v>416</v>
      </c>
      <c r="AN146" s="28"/>
      <c r="AO146" s="20">
        <v>5000</v>
      </c>
      <c r="AP146" s="46"/>
    </row>
    <row r="147" spans="1:42" x14ac:dyDescent="0.2">
      <c r="A147" s="14">
        <v>6022050</v>
      </c>
      <c r="B147" s="13" t="s">
        <v>377</v>
      </c>
      <c r="C147" s="28">
        <v>16955.169999999998</v>
      </c>
      <c r="D147" s="45">
        <v>0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7">
        <f t="shared" si="25"/>
        <v>16955.169999999998</v>
      </c>
      <c r="AM147" s="27">
        <f t="shared" si="26"/>
        <v>0</v>
      </c>
      <c r="AN147" s="28"/>
      <c r="AO147" s="20">
        <v>0</v>
      </c>
      <c r="AP147" s="46"/>
    </row>
    <row r="148" spans="1:42" x14ac:dyDescent="0.2">
      <c r="A148" s="14"/>
      <c r="B148" s="13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0"/>
      <c r="AP148" s="46"/>
    </row>
    <row r="149" spans="1:42" x14ac:dyDescent="0.2">
      <c r="A149" s="18"/>
      <c r="B149" s="17" t="s">
        <v>176</v>
      </c>
      <c r="C149" s="31">
        <f>SUM(C125:C147)</f>
        <v>73426.5</v>
      </c>
      <c r="D149" s="31">
        <f>SUM(D125:D147)</f>
        <v>59198</v>
      </c>
      <c r="E149" s="34"/>
      <c r="F149" s="31">
        <f>SUM(F125:F147)</f>
        <v>0</v>
      </c>
      <c r="G149" s="31">
        <f>SUM(G125:G147)</f>
        <v>0</v>
      </c>
      <c r="H149" s="34"/>
      <c r="I149" s="31">
        <f>SUM(I125:I147)</f>
        <v>0</v>
      </c>
      <c r="J149" s="31">
        <f>SUM(J125:J147)</f>
        <v>0</v>
      </c>
      <c r="K149" s="34"/>
      <c r="L149" s="31">
        <f>SUM(L125:L147)</f>
        <v>0</v>
      </c>
      <c r="M149" s="31">
        <f>SUM(M125:M147)</f>
        <v>0</v>
      </c>
      <c r="N149" s="34"/>
      <c r="O149" s="31">
        <f>SUM(O125:O147)</f>
        <v>0</v>
      </c>
      <c r="P149" s="31">
        <f>SUM(P125:P147)</f>
        <v>0</v>
      </c>
      <c r="Q149" s="34"/>
      <c r="R149" s="31">
        <f>SUM(R125:R147)</f>
        <v>0</v>
      </c>
      <c r="S149" s="31">
        <f>SUM(S125:S147)</f>
        <v>0</v>
      </c>
      <c r="T149" s="34"/>
      <c r="U149" s="31">
        <f>SUM(U125:U147)</f>
        <v>0</v>
      </c>
      <c r="V149" s="31">
        <f>SUM(V125:V147)</f>
        <v>0</v>
      </c>
      <c r="W149" s="34"/>
      <c r="X149" s="31">
        <f>SUM(X125:X147)</f>
        <v>0</v>
      </c>
      <c r="Y149" s="31">
        <f>SUM(Y125:Y147)</f>
        <v>0</v>
      </c>
      <c r="Z149" s="34"/>
      <c r="AA149" s="31">
        <f>SUM(AA125:AA147)</f>
        <v>0</v>
      </c>
      <c r="AB149" s="31">
        <f>SUM(AB125:AB147)</f>
        <v>0</v>
      </c>
      <c r="AC149" s="34"/>
      <c r="AD149" s="31">
        <f>SUM(AD125:AD147)</f>
        <v>0</v>
      </c>
      <c r="AE149" s="31">
        <f>SUM(AE125:AE147)</f>
        <v>0</v>
      </c>
      <c r="AF149" s="34"/>
      <c r="AG149" s="31">
        <f>SUM(AG125:AG147)</f>
        <v>0</v>
      </c>
      <c r="AH149" s="31">
        <f>SUM(AH125:AH147)</f>
        <v>0</v>
      </c>
      <c r="AI149" s="34"/>
      <c r="AJ149" s="31">
        <f>SUM(AJ125:AJ147)</f>
        <v>0</v>
      </c>
      <c r="AK149" s="31">
        <f>SUM(AK125:AK147)</f>
        <v>0</v>
      </c>
      <c r="AL149" s="31">
        <f>SUM(AL125:AL147)</f>
        <v>73426.5</v>
      </c>
      <c r="AM149" s="31">
        <f>SUM(AM125:AM147)</f>
        <v>59198</v>
      </c>
      <c r="AN149" s="34"/>
      <c r="AO149" s="31">
        <f>SUM(AO125:AO147)</f>
        <v>744123</v>
      </c>
      <c r="AP149" s="46"/>
    </row>
    <row r="150" spans="1:42" x14ac:dyDescent="0.2">
      <c r="A150" s="18"/>
      <c r="B150" s="17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2"/>
      <c r="AP150" s="46"/>
    </row>
    <row r="151" spans="1:42" x14ac:dyDescent="0.2">
      <c r="A151" s="14" t="s">
        <v>175</v>
      </c>
      <c r="B151" s="13" t="s">
        <v>41</v>
      </c>
      <c r="C151" s="28">
        <v>6319.59</v>
      </c>
      <c r="D151" s="28">
        <v>5913</v>
      </c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7">
        <f t="shared" ref="AL151:AL173" si="29">+C151+F151+I151+L151+O151+R151+U151+X151+AA151+AD151+AG151+AJ151</f>
        <v>6319.59</v>
      </c>
      <c r="AM151" s="27">
        <f t="shared" ref="AM151:AM173" si="30">+D151+G151+J151+M151+P151+S151+V151+Y151+AB151+AE151+AH151+AK151</f>
        <v>5913</v>
      </c>
      <c r="AN151" s="28"/>
      <c r="AO151" s="20">
        <v>76871</v>
      </c>
      <c r="AP151" s="46"/>
    </row>
    <row r="152" spans="1:42" x14ac:dyDescent="0.2">
      <c r="A152" s="14">
        <v>6050105</v>
      </c>
      <c r="B152" s="13" t="s">
        <v>388</v>
      </c>
      <c r="C152" s="28">
        <v>35.06</v>
      </c>
      <c r="D152" s="28">
        <v>0</v>
      </c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" si="31">+C152+F152+I152+L152+O152+R152+U152+X152+AA152+AD152+AG152+AJ152</f>
        <v>35.06</v>
      </c>
      <c r="AM152" s="27">
        <f t="shared" ref="AM152" si="32">+D152+G152+J152+M152+P152+S152+V152+Y152+AB152+AE152+AH152+AK152</f>
        <v>0</v>
      </c>
      <c r="AN152" s="28"/>
      <c r="AO152" s="20">
        <v>0</v>
      </c>
      <c r="AP152" s="46"/>
    </row>
    <row r="153" spans="1:42" x14ac:dyDescent="0.2">
      <c r="A153" s="14" t="s">
        <v>174</v>
      </c>
      <c r="B153" s="13" t="s">
        <v>39</v>
      </c>
      <c r="C153" s="28">
        <v>454.18</v>
      </c>
      <c r="D153" s="28">
        <v>473</v>
      </c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si="29"/>
        <v>454.18</v>
      </c>
      <c r="AM153" s="27">
        <f t="shared" si="30"/>
        <v>473</v>
      </c>
      <c r="AN153" s="28"/>
      <c r="AO153" s="20">
        <v>6150</v>
      </c>
      <c r="AP153" s="46"/>
    </row>
    <row r="154" spans="1:42" x14ac:dyDescent="0.2">
      <c r="A154" s="14" t="s">
        <v>173</v>
      </c>
      <c r="B154" s="13" t="s">
        <v>37</v>
      </c>
      <c r="C154" s="28">
        <v>3462.64</v>
      </c>
      <c r="D154" s="28">
        <v>3790</v>
      </c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29"/>
        <v>3462.64</v>
      </c>
      <c r="AM154" s="27">
        <f t="shared" si="30"/>
        <v>3790</v>
      </c>
      <c r="AN154" s="28"/>
      <c r="AO154" s="20">
        <v>45470</v>
      </c>
      <c r="AP154" s="46"/>
    </row>
    <row r="155" spans="1:42" x14ac:dyDescent="0.2">
      <c r="A155" s="14" t="s">
        <v>172</v>
      </c>
      <c r="B155" s="13" t="s">
        <v>57</v>
      </c>
      <c r="C155" s="28">
        <v>0</v>
      </c>
      <c r="D155" s="28">
        <v>500</v>
      </c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29"/>
        <v>0</v>
      </c>
      <c r="AM155" s="27">
        <f t="shared" si="30"/>
        <v>500</v>
      </c>
      <c r="AN155" s="28"/>
      <c r="AO155" s="20">
        <v>500</v>
      </c>
      <c r="AP155" s="46"/>
    </row>
    <row r="156" spans="1:42" x14ac:dyDescent="0.2">
      <c r="A156" s="14" t="s">
        <v>171</v>
      </c>
      <c r="B156" s="13" t="s">
        <v>35</v>
      </c>
      <c r="C156" s="28">
        <v>26.54</v>
      </c>
      <c r="D156" s="28">
        <v>26</v>
      </c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29"/>
        <v>26.54</v>
      </c>
      <c r="AM156" s="27">
        <f t="shared" si="30"/>
        <v>26</v>
      </c>
      <c r="AN156" s="28"/>
      <c r="AO156" s="20">
        <v>339</v>
      </c>
      <c r="AP156" s="47"/>
    </row>
    <row r="157" spans="1:42" x14ac:dyDescent="0.2">
      <c r="A157" s="14" t="s">
        <v>170</v>
      </c>
      <c r="B157" s="13" t="s">
        <v>34</v>
      </c>
      <c r="C157" s="28">
        <v>0</v>
      </c>
      <c r="D157" s="28">
        <v>0</v>
      </c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29"/>
        <v>0</v>
      </c>
      <c r="AM157" s="27">
        <f t="shared" si="30"/>
        <v>0</v>
      </c>
      <c r="AN157" s="28"/>
      <c r="AO157" s="20">
        <v>94825</v>
      </c>
      <c r="AP157" s="46"/>
    </row>
    <row r="158" spans="1:42" x14ac:dyDescent="0.2">
      <c r="A158" s="14">
        <v>6050305</v>
      </c>
      <c r="B158" s="13" t="s">
        <v>389</v>
      </c>
      <c r="C158" s="28">
        <v>0</v>
      </c>
      <c r="D158" s="28">
        <v>0</v>
      </c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ref="AL158" si="33">+C158+F158+I158+L158+O158+R158+U158+X158+AA158+AD158+AG158+AJ158</f>
        <v>0</v>
      </c>
      <c r="AM158" s="27">
        <f t="shared" ref="AM158" si="34">+D158+G158+J158+M158+P158+S158+V158+Y158+AB158+AE158+AH158+AK158</f>
        <v>0</v>
      </c>
      <c r="AN158" s="28"/>
      <c r="AO158" s="20">
        <v>0</v>
      </c>
      <c r="AP158" s="46"/>
    </row>
    <row r="159" spans="1:42" x14ac:dyDescent="0.2">
      <c r="A159" s="14" t="s">
        <v>169</v>
      </c>
      <c r="B159" s="13" t="s">
        <v>33</v>
      </c>
      <c r="C159" s="28">
        <v>0</v>
      </c>
      <c r="D159" s="28">
        <v>0</v>
      </c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si="29"/>
        <v>0</v>
      </c>
      <c r="AM159" s="27">
        <f t="shared" si="30"/>
        <v>0</v>
      </c>
      <c r="AN159" s="28"/>
      <c r="AO159" s="20">
        <v>9450</v>
      </c>
      <c r="AP159" s="46"/>
    </row>
    <row r="160" spans="1:42" x14ac:dyDescent="0.2">
      <c r="A160" s="14" t="s">
        <v>168</v>
      </c>
      <c r="B160" s="13" t="s">
        <v>32</v>
      </c>
      <c r="C160" s="28">
        <v>1889.07</v>
      </c>
      <c r="D160" s="28">
        <v>3000</v>
      </c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29"/>
        <v>1889.07</v>
      </c>
      <c r="AM160" s="27">
        <f t="shared" si="30"/>
        <v>3000</v>
      </c>
      <c r="AN160" s="28"/>
      <c r="AO160" s="20">
        <v>3000</v>
      </c>
      <c r="AP160" s="46"/>
    </row>
    <row r="161" spans="1:42" x14ac:dyDescent="0.2">
      <c r="A161" s="14" t="s">
        <v>167</v>
      </c>
      <c r="B161" s="13" t="s">
        <v>31</v>
      </c>
      <c r="C161" s="28">
        <v>29.83</v>
      </c>
      <c r="D161" s="28">
        <v>32</v>
      </c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29"/>
        <v>29.83</v>
      </c>
      <c r="AM161" s="27">
        <f t="shared" si="30"/>
        <v>32</v>
      </c>
      <c r="AN161" s="28"/>
      <c r="AO161" s="20">
        <v>420</v>
      </c>
      <c r="AP161" s="47"/>
    </row>
    <row r="162" spans="1:42" x14ac:dyDescent="0.2">
      <c r="A162" s="14" t="s">
        <v>166</v>
      </c>
      <c r="B162" s="13" t="s">
        <v>29</v>
      </c>
      <c r="C162" s="28">
        <v>325.3</v>
      </c>
      <c r="D162" s="28">
        <v>834</v>
      </c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29"/>
        <v>325.3</v>
      </c>
      <c r="AM162" s="27">
        <f t="shared" si="30"/>
        <v>834</v>
      </c>
      <c r="AN162" s="28"/>
      <c r="AO162" s="20">
        <v>10000</v>
      </c>
      <c r="AP162" s="46"/>
    </row>
    <row r="163" spans="1:42" x14ac:dyDescent="0.2">
      <c r="A163" s="14" t="s">
        <v>165</v>
      </c>
      <c r="B163" s="13" t="s">
        <v>27</v>
      </c>
      <c r="C163" s="28">
        <v>200</v>
      </c>
      <c r="D163" s="28">
        <v>283</v>
      </c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29"/>
        <v>200</v>
      </c>
      <c r="AM163" s="27">
        <f t="shared" si="30"/>
        <v>283</v>
      </c>
      <c r="AN163" s="28"/>
      <c r="AO163" s="20">
        <v>3400</v>
      </c>
      <c r="AP163" s="46"/>
    </row>
    <row r="164" spans="1:42" x14ac:dyDescent="0.2">
      <c r="A164" s="14" t="s">
        <v>164</v>
      </c>
      <c r="B164" s="13" t="s">
        <v>25</v>
      </c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29"/>
        <v>0</v>
      </c>
      <c r="AM164" s="27">
        <f t="shared" si="30"/>
        <v>0</v>
      </c>
      <c r="AN164" s="28"/>
      <c r="AO164" s="20">
        <v>0</v>
      </c>
      <c r="AP164" s="46"/>
    </row>
    <row r="165" spans="1:42" x14ac:dyDescent="0.2">
      <c r="A165" s="14" t="s">
        <v>163</v>
      </c>
      <c r="B165" s="13" t="s">
        <v>23</v>
      </c>
      <c r="C165" s="28">
        <v>0</v>
      </c>
      <c r="D165" s="28">
        <v>0</v>
      </c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29"/>
        <v>0</v>
      </c>
      <c r="AM165" s="27">
        <f t="shared" si="30"/>
        <v>0</v>
      </c>
      <c r="AN165" s="28"/>
      <c r="AO165" s="20">
        <v>100</v>
      </c>
      <c r="AP165" s="46"/>
    </row>
    <row r="166" spans="1:42" x14ac:dyDescent="0.2">
      <c r="A166" s="14" t="s">
        <v>162</v>
      </c>
      <c r="B166" s="13" t="s">
        <v>21</v>
      </c>
      <c r="C166" s="28">
        <v>0</v>
      </c>
      <c r="D166" s="28">
        <v>83</v>
      </c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29"/>
        <v>0</v>
      </c>
      <c r="AM166" s="27">
        <f t="shared" si="30"/>
        <v>83</v>
      </c>
      <c r="AN166" s="28"/>
      <c r="AO166" s="20">
        <v>1000</v>
      </c>
      <c r="AP166" s="46"/>
    </row>
    <row r="167" spans="1:42" x14ac:dyDescent="0.2">
      <c r="A167" s="14" t="s">
        <v>161</v>
      </c>
      <c r="B167" s="13" t="s">
        <v>97</v>
      </c>
      <c r="C167" s="28">
        <v>0</v>
      </c>
      <c r="D167" s="28">
        <v>41</v>
      </c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29"/>
        <v>0</v>
      </c>
      <c r="AM167" s="27">
        <f t="shared" si="30"/>
        <v>41</v>
      </c>
      <c r="AN167" s="28"/>
      <c r="AO167" s="20">
        <v>500</v>
      </c>
      <c r="AP167" s="46"/>
    </row>
    <row r="168" spans="1:42" x14ac:dyDescent="0.2">
      <c r="A168" s="14" t="s">
        <v>160</v>
      </c>
      <c r="B168" s="13" t="s">
        <v>15</v>
      </c>
      <c r="C168" s="28">
        <v>0</v>
      </c>
      <c r="D168" s="28">
        <v>84</v>
      </c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29"/>
        <v>0</v>
      </c>
      <c r="AM168" s="27">
        <f t="shared" si="30"/>
        <v>84</v>
      </c>
      <c r="AN168" s="28"/>
      <c r="AO168" s="20">
        <v>1000</v>
      </c>
      <c r="AP168" s="46"/>
    </row>
    <row r="169" spans="1:42" x14ac:dyDescent="0.2">
      <c r="A169" s="14" t="s">
        <v>159</v>
      </c>
      <c r="B169" s="13" t="s">
        <v>13</v>
      </c>
      <c r="C169" s="28">
        <v>10.58</v>
      </c>
      <c r="D169" s="28">
        <v>208</v>
      </c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29"/>
        <v>10.58</v>
      </c>
      <c r="AM169" s="27">
        <f t="shared" si="30"/>
        <v>208</v>
      </c>
      <c r="AN169" s="28"/>
      <c r="AO169" s="20">
        <v>2500</v>
      </c>
      <c r="AP169" s="46"/>
    </row>
    <row r="170" spans="1:42" x14ac:dyDescent="0.2">
      <c r="A170" s="14" t="s">
        <v>158</v>
      </c>
      <c r="B170" s="13" t="s">
        <v>9</v>
      </c>
      <c r="C170" s="28">
        <v>0</v>
      </c>
      <c r="D170" s="28">
        <v>84</v>
      </c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29"/>
        <v>0</v>
      </c>
      <c r="AM170" s="27">
        <f t="shared" si="30"/>
        <v>84</v>
      </c>
      <c r="AN170" s="28"/>
      <c r="AO170" s="20">
        <v>1000</v>
      </c>
      <c r="AP170" s="46"/>
    </row>
    <row r="171" spans="1:42" x14ac:dyDescent="0.2">
      <c r="A171" s="14" t="s">
        <v>157</v>
      </c>
      <c r="B171" s="13" t="s">
        <v>6</v>
      </c>
      <c r="C171" s="28">
        <v>0</v>
      </c>
      <c r="D171" s="28">
        <v>750</v>
      </c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29"/>
        <v>0</v>
      </c>
      <c r="AM171" s="27">
        <f t="shared" si="30"/>
        <v>750</v>
      </c>
      <c r="AN171" s="28"/>
      <c r="AO171" s="20">
        <v>1500</v>
      </c>
      <c r="AP171" s="46"/>
    </row>
    <row r="172" spans="1:42" x14ac:dyDescent="0.2">
      <c r="A172" s="14">
        <v>6052000</v>
      </c>
      <c r="B172" s="13" t="s">
        <v>5</v>
      </c>
      <c r="C172" s="28">
        <v>0</v>
      </c>
      <c r="D172" s="28">
        <v>0</v>
      </c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29"/>
        <v>0</v>
      </c>
      <c r="AM172" s="27">
        <f t="shared" si="30"/>
        <v>0</v>
      </c>
      <c r="AN172" s="28"/>
      <c r="AO172" s="20">
        <v>0</v>
      </c>
      <c r="AP172" s="46"/>
    </row>
    <row r="173" spans="1:42" x14ac:dyDescent="0.2">
      <c r="A173" s="14">
        <v>6052050</v>
      </c>
      <c r="B173" s="13" t="s">
        <v>377</v>
      </c>
      <c r="C173" s="28">
        <v>0</v>
      </c>
      <c r="D173" s="28">
        <v>0</v>
      </c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29"/>
        <v>0</v>
      </c>
      <c r="AM173" s="27">
        <f t="shared" si="30"/>
        <v>0</v>
      </c>
      <c r="AN173" s="28"/>
      <c r="AO173" s="20">
        <v>0</v>
      </c>
      <c r="AP173" s="46"/>
    </row>
    <row r="174" spans="1:42" x14ac:dyDescent="0.2">
      <c r="A174" s="14"/>
      <c r="B174" s="13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0"/>
      <c r="AP174" s="46"/>
    </row>
    <row r="175" spans="1:42" x14ac:dyDescent="0.2">
      <c r="A175" s="18"/>
      <c r="B175" s="17" t="s">
        <v>156</v>
      </c>
      <c r="C175" s="31">
        <f>SUM(C151:C173)</f>
        <v>12752.79</v>
      </c>
      <c r="D175" s="31">
        <f>SUM(D151:D173)</f>
        <v>16101</v>
      </c>
      <c r="E175" s="34"/>
      <c r="F175" s="31">
        <f>SUM(F151:F172)</f>
        <v>0</v>
      </c>
      <c r="G175" s="31">
        <f>SUM(G151:G172)</f>
        <v>0</v>
      </c>
      <c r="H175" s="34"/>
      <c r="I175" s="31">
        <f>SUM(I151:I172)</f>
        <v>0</v>
      </c>
      <c r="J175" s="31">
        <f>SUM(J151:J172)</f>
        <v>0</v>
      </c>
      <c r="K175" s="34"/>
      <c r="L175" s="31">
        <f>SUM(L151:L172)</f>
        <v>0</v>
      </c>
      <c r="M175" s="31">
        <f>SUM(M151:M172)</f>
        <v>0</v>
      </c>
      <c r="N175" s="34"/>
      <c r="O175" s="31">
        <f>SUM(O151:O172)</f>
        <v>0</v>
      </c>
      <c r="P175" s="31">
        <f>SUM(P151:P172)</f>
        <v>0</v>
      </c>
      <c r="Q175" s="34"/>
      <c r="R175" s="31">
        <f>SUM(R151:R173)</f>
        <v>0</v>
      </c>
      <c r="S175" s="31">
        <f>SUM(S151:S173)</f>
        <v>0</v>
      </c>
      <c r="T175" s="34"/>
      <c r="U175" s="31">
        <f>SUM(U151:U173)</f>
        <v>0</v>
      </c>
      <c r="V175" s="31">
        <f>SUM(V151:V173)</f>
        <v>0</v>
      </c>
      <c r="W175" s="34"/>
      <c r="X175" s="31">
        <f>SUM(X151:X173)</f>
        <v>0</v>
      </c>
      <c r="Y175" s="31">
        <f>SUM(Y151:Y173)</f>
        <v>0</v>
      </c>
      <c r="Z175" s="34"/>
      <c r="AA175" s="31">
        <f>SUM(AA151:AA173)</f>
        <v>0</v>
      </c>
      <c r="AB175" s="31">
        <f>SUM(AB151:AB173)</f>
        <v>0</v>
      </c>
      <c r="AC175" s="34"/>
      <c r="AD175" s="31">
        <f>SUM(AD151:AD173)</f>
        <v>0</v>
      </c>
      <c r="AE175" s="31">
        <f>SUM(AE151:AE173)</f>
        <v>0</v>
      </c>
      <c r="AF175" s="34"/>
      <c r="AG175" s="31">
        <f>SUM(AG151:AG173)</f>
        <v>0</v>
      </c>
      <c r="AH175" s="31">
        <f>SUM(AH151:AH173)</f>
        <v>0</v>
      </c>
      <c r="AI175" s="34"/>
      <c r="AJ175" s="31">
        <f>SUM(AJ151:AJ173)</f>
        <v>0</v>
      </c>
      <c r="AK175" s="31">
        <f>SUM(AK151:AK173)</f>
        <v>0</v>
      </c>
      <c r="AL175" s="31">
        <f>SUM(AL151:AL173)</f>
        <v>12752.79</v>
      </c>
      <c r="AM175" s="31">
        <f>SUM(AM151:AM173)</f>
        <v>16101</v>
      </c>
      <c r="AN175" s="34"/>
      <c r="AO175" s="31">
        <f>SUM(AO151:AO173)</f>
        <v>258025</v>
      </c>
      <c r="AP175" s="46"/>
    </row>
    <row r="176" spans="1:42" x14ac:dyDescent="0.2">
      <c r="A176" s="18"/>
      <c r="B176" s="17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2"/>
      <c r="AP176" s="46"/>
    </row>
    <row r="177" spans="1:42" x14ac:dyDescent="0.2">
      <c r="A177" s="14" t="s">
        <v>155</v>
      </c>
      <c r="B177" s="13" t="s">
        <v>41</v>
      </c>
      <c r="C177" s="28">
        <v>9073.39</v>
      </c>
      <c r="D177" s="28">
        <v>8847</v>
      </c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7">
        <f t="shared" ref="AL177:AL189" si="35">+C177+F177+I177+L177+O177+R177+U177+X177+AA177+AD177+AG177+AJ177</f>
        <v>9073.39</v>
      </c>
      <c r="AM177" s="27">
        <f t="shared" ref="AM177:AM189" si="36">+D177+G177+J177+M177+P177+S177+V177+Y177+AB177+AE177+AH177+AK177</f>
        <v>8847</v>
      </c>
      <c r="AN177" s="28"/>
      <c r="AO177" s="20">
        <v>115017</v>
      </c>
      <c r="AP177" s="46"/>
    </row>
    <row r="178" spans="1:42" x14ac:dyDescent="0.2">
      <c r="A178" s="14" t="s">
        <v>154</v>
      </c>
      <c r="B178" s="13" t="s">
        <v>39</v>
      </c>
      <c r="C178" s="28">
        <v>649.78</v>
      </c>
      <c r="D178" s="28">
        <v>708</v>
      </c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si="35"/>
        <v>649.78</v>
      </c>
      <c r="AM178" s="27">
        <f t="shared" si="36"/>
        <v>708</v>
      </c>
      <c r="AN178" s="28"/>
      <c r="AO178" s="20">
        <v>9201</v>
      </c>
      <c r="AP178" s="46"/>
    </row>
    <row r="179" spans="1:42" x14ac:dyDescent="0.2">
      <c r="A179" s="14" t="s">
        <v>153</v>
      </c>
      <c r="B179" s="13" t="s">
        <v>37</v>
      </c>
      <c r="C179" s="28">
        <v>1479.95</v>
      </c>
      <c r="D179" s="28">
        <v>1606</v>
      </c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35"/>
        <v>1479.95</v>
      </c>
      <c r="AM179" s="27">
        <f t="shared" si="36"/>
        <v>1606</v>
      </c>
      <c r="AN179" s="28"/>
      <c r="AO179" s="20">
        <v>19272</v>
      </c>
      <c r="AP179" s="46"/>
    </row>
    <row r="180" spans="1:42" x14ac:dyDescent="0.2">
      <c r="A180" s="14" t="s">
        <v>152</v>
      </c>
      <c r="B180" s="13" t="s">
        <v>59</v>
      </c>
      <c r="C180" s="28">
        <v>154.5</v>
      </c>
      <c r="D180" s="28">
        <v>156</v>
      </c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35"/>
        <v>154.5</v>
      </c>
      <c r="AM180" s="27">
        <f t="shared" si="36"/>
        <v>156</v>
      </c>
      <c r="AN180" s="28"/>
      <c r="AO180" s="20">
        <v>2028</v>
      </c>
      <c r="AP180" s="46"/>
    </row>
    <row r="181" spans="1:42" x14ac:dyDescent="0.2">
      <c r="A181" s="14" t="s">
        <v>151</v>
      </c>
      <c r="B181" s="13" t="s">
        <v>57</v>
      </c>
      <c r="C181" s="28">
        <v>0</v>
      </c>
      <c r="D181" s="28">
        <v>200</v>
      </c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35"/>
        <v>0</v>
      </c>
      <c r="AM181" s="27">
        <f t="shared" si="36"/>
        <v>200</v>
      </c>
      <c r="AN181" s="28"/>
      <c r="AO181" s="20">
        <v>200</v>
      </c>
      <c r="AP181" s="46"/>
    </row>
    <row r="182" spans="1:42" x14ac:dyDescent="0.2">
      <c r="A182" s="14" t="s">
        <v>150</v>
      </c>
      <c r="B182" s="13" t="s">
        <v>35</v>
      </c>
      <c r="C182" s="28">
        <v>48.53</v>
      </c>
      <c r="D182" s="28">
        <v>39</v>
      </c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35"/>
        <v>48.53</v>
      </c>
      <c r="AM182" s="27">
        <f t="shared" si="36"/>
        <v>39</v>
      </c>
      <c r="AN182" s="28"/>
      <c r="AO182" s="20">
        <v>506</v>
      </c>
      <c r="AP182" s="47"/>
    </row>
    <row r="183" spans="1:42" x14ac:dyDescent="0.2">
      <c r="A183" s="14" t="s">
        <v>149</v>
      </c>
      <c r="B183" s="13" t="s">
        <v>148</v>
      </c>
      <c r="C183" s="28">
        <v>0</v>
      </c>
      <c r="D183" s="28">
        <v>125</v>
      </c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35"/>
        <v>0</v>
      </c>
      <c r="AM183" s="27">
        <f t="shared" si="36"/>
        <v>125</v>
      </c>
      <c r="AN183" s="28"/>
      <c r="AO183" s="20">
        <v>1500</v>
      </c>
      <c r="AP183" s="46"/>
    </row>
    <row r="184" spans="1:42" x14ac:dyDescent="0.2">
      <c r="A184" s="14" t="s">
        <v>147</v>
      </c>
      <c r="B184" s="13" t="s">
        <v>23</v>
      </c>
      <c r="C184" s="28">
        <v>149.22</v>
      </c>
      <c r="D184" s="28">
        <v>209</v>
      </c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35"/>
        <v>149.22</v>
      </c>
      <c r="AM184" s="27">
        <f t="shared" si="36"/>
        <v>209</v>
      </c>
      <c r="AN184" s="28"/>
      <c r="AO184" s="20">
        <v>2500</v>
      </c>
      <c r="AP184" s="46"/>
    </row>
    <row r="185" spans="1:42" x14ac:dyDescent="0.2">
      <c r="A185" s="14">
        <v>6060610</v>
      </c>
      <c r="B185" s="13" t="s">
        <v>21</v>
      </c>
      <c r="C185" s="28">
        <v>0</v>
      </c>
      <c r="D185" s="28">
        <v>0</v>
      </c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35"/>
        <v>0</v>
      </c>
      <c r="AM185" s="27">
        <f t="shared" si="36"/>
        <v>0</v>
      </c>
      <c r="AN185" s="28"/>
      <c r="AO185" s="20">
        <v>0</v>
      </c>
      <c r="AP185" s="46"/>
    </row>
    <row r="186" spans="1:42" x14ac:dyDescent="0.2">
      <c r="A186" s="14" t="s">
        <v>146</v>
      </c>
      <c r="B186" s="13" t="s">
        <v>17</v>
      </c>
      <c r="C186" s="28">
        <v>0</v>
      </c>
      <c r="D186" s="28">
        <v>42</v>
      </c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35"/>
        <v>0</v>
      </c>
      <c r="AM186" s="27">
        <f t="shared" si="36"/>
        <v>42</v>
      </c>
      <c r="AN186" s="28"/>
      <c r="AO186" s="20">
        <v>500</v>
      </c>
      <c r="AP186" s="46"/>
    </row>
    <row r="187" spans="1:42" x14ac:dyDescent="0.2">
      <c r="A187" s="14" t="s">
        <v>145</v>
      </c>
      <c r="B187" s="13" t="s">
        <v>15</v>
      </c>
      <c r="C187" s="28">
        <v>0</v>
      </c>
      <c r="D187" s="28">
        <v>42</v>
      </c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35"/>
        <v>0</v>
      </c>
      <c r="AM187" s="27">
        <f t="shared" si="36"/>
        <v>42</v>
      </c>
      <c r="AN187" s="28"/>
      <c r="AO187" s="20">
        <v>500</v>
      </c>
      <c r="AP187" s="46"/>
    </row>
    <row r="188" spans="1:42" x14ac:dyDescent="0.2">
      <c r="A188" s="14" t="s">
        <v>144</v>
      </c>
      <c r="B188" s="13" t="s">
        <v>13</v>
      </c>
      <c r="C188" s="28">
        <v>60.45</v>
      </c>
      <c r="D188" s="28">
        <v>167</v>
      </c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35"/>
        <v>60.45</v>
      </c>
      <c r="AM188" s="27">
        <f t="shared" si="36"/>
        <v>167</v>
      </c>
      <c r="AN188" s="28"/>
      <c r="AO188" s="20">
        <v>2000</v>
      </c>
      <c r="AP188" s="46"/>
    </row>
    <row r="189" spans="1:42" x14ac:dyDescent="0.2">
      <c r="A189" s="14" t="s">
        <v>143</v>
      </c>
      <c r="B189" s="13" t="s">
        <v>9</v>
      </c>
      <c r="C189" s="28">
        <v>0</v>
      </c>
      <c r="D189" s="28">
        <v>21</v>
      </c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35"/>
        <v>0</v>
      </c>
      <c r="AM189" s="27">
        <f t="shared" si="36"/>
        <v>21</v>
      </c>
      <c r="AN189" s="28"/>
      <c r="AO189" s="20">
        <v>250</v>
      </c>
      <c r="AP189" s="46"/>
    </row>
    <row r="190" spans="1:42" x14ac:dyDescent="0.2">
      <c r="A190" s="14"/>
      <c r="B190" s="13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0"/>
      <c r="AP190" s="46"/>
    </row>
    <row r="191" spans="1:42" x14ac:dyDescent="0.2">
      <c r="A191" s="18"/>
      <c r="B191" s="17" t="s">
        <v>142</v>
      </c>
      <c r="C191" s="31">
        <f>SUM(C177:C189)</f>
        <v>11615.820000000002</v>
      </c>
      <c r="D191" s="31">
        <f>SUM(D177:D189)</f>
        <v>12162</v>
      </c>
      <c r="E191" s="34"/>
      <c r="F191" s="31">
        <f>SUM(F177:F189)</f>
        <v>0</v>
      </c>
      <c r="G191" s="31">
        <f>SUM(G177:G189)</f>
        <v>0</v>
      </c>
      <c r="H191" s="34"/>
      <c r="I191" s="31">
        <f>SUM(I177:I189)</f>
        <v>0</v>
      </c>
      <c r="J191" s="31">
        <f>SUM(J177:J189)</f>
        <v>0</v>
      </c>
      <c r="K191" s="34"/>
      <c r="L191" s="31">
        <f>SUM(L177:L189)</f>
        <v>0</v>
      </c>
      <c r="M191" s="31">
        <f>SUM(M177:M189)</f>
        <v>0</v>
      </c>
      <c r="N191" s="34"/>
      <c r="O191" s="31">
        <f>SUM(O177:O189)</f>
        <v>0</v>
      </c>
      <c r="P191" s="31">
        <f>SUM(P177:P189)</f>
        <v>0</v>
      </c>
      <c r="Q191" s="34"/>
      <c r="R191" s="31">
        <f>SUM(R177:R189)</f>
        <v>0</v>
      </c>
      <c r="S191" s="31">
        <f>SUM(S177:S189)</f>
        <v>0</v>
      </c>
      <c r="T191" s="34"/>
      <c r="U191" s="31">
        <f>SUM(U177:U189)</f>
        <v>0</v>
      </c>
      <c r="V191" s="31">
        <f>SUM(V177:V189)</f>
        <v>0</v>
      </c>
      <c r="W191" s="34"/>
      <c r="X191" s="31">
        <f>SUM(X177:X189)</f>
        <v>0</v>
      </c>
      <c r="Y191" s="31">
        <f>SUM(Y177:Y189)</f>
        <v>0</v>
      </c>
      <c r="Z191" s="34"/>
      <c r="AA191" s="31">
        <f>SUM(AA177:AA189)</f>
        <v>0</v>
      </c>
      <c r="AB191" s="31">
        <f>SUM(AB177:AB189)</f>
        <v>0</v>
      </c>
      <c r="AC191" s="34"/>
      <c r="AD191" s="31">
        <f>SUM(AD177:AD189)</f>
        <v>0</v>
      </c>
      <c r="AE191" s="31">
        <f>SUM(AE177:AE189)</f>
        <v>0</v>
      </c>
      <c r="AF191" s="34"/>
      <c r="AG191" s="31">
        <f>SUM(AG177:AG189)</f>
        <v>0</v>
      </c>
      <c r="AH191" s="31">
        <f>SUM(AH177:AH189)</f>
        <v>0</v>
      </c>
      <c r="AI191" s="34"/>
      <c r="AJ191" s="31">
        <f>SUM(AJ177:AJ189)</f>
        <v>0</v>
      </c>
      <c r="AK191" s="31">
        <f>SUM(AK177:AK189)</f>
        <v>0</v>
      </c>
      <c r="AL191" s="31">
        <f>SUM(AL177:AL189)</f>
        <v>11615.820000000002</v>
      </c>
      <c r="AM191" s="31">
        <f>SUM(AM177:AM189)</f>
        <v>12162</v>
      </c>
      <c r="AN191" s="34"/>
      <c r="AO191" s="31">
        <f>SUM(AO177:AO189)</f>
        <v>153474</v>
      </c>
      <c r="AP191" s="46"/>
    </row>
    <row r="192" spans="1:42" x14ac:dyDescent="0.2">
      <c r="A192" s="18"/>
      <c r="B192" s="17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2"/>
      <c r="AP192" s="46"/>
    </row>
    <row r="193" spans="1:42" x14ac:dyDescent="0.2">
      <c r="A193" s="14" t="s">
        <v>141</v>
      </c>
      <c r="B193" s="13" t="s">
        <v>41</v>
      </c>
      <c r="C193" s="28">
        <v>2765.1</v>
      </c>
      <c r="D193" s="28">
        <v>2246</v>
      </c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7">
        <f t="shared" ref="AL193:AL198" si="37">+C193+F193+I193+L193+O193+R193+U193+X193+AA193+AD193+AG193+AJ193</f>
        <v>2765.1</v>
      </c>
      <c r="AM193" s="27">
        <f t="shared" ref="AM193:AM198" si="38">+D193+G193+J193+M193+P193+S193+V193+Y193+AB193+AE193+AH193+AK193</f>
        <v>2246</v>
      </c>
      <c r="AN193" s="28"/>
      <c r="AO193" s="20">
        <v>29203</v>
      </c>
      <c r="AP193" s="46"/>
    </row>
    <row r="194" spans="1:42" x14ac:dyDescent="0.2">
      <c r="A194" s="14" t="s">
        <v>140</v>
      </c>
      <c r="B194" s="13" t="s">
        <v>39</v>
      </c>
      <c r="C194" s="28">
        <v>211.81</v>
      </c>
      <c r="D194" s="28">
        <v>180</v>
      </c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si="37"/>
        <v>211.81</v>
      </c>
      <c r="AM194" s="27">
        <f t="shared" si="38"/>
        <v>180</v>
      </c>
      <c r="AN194" s="28"/>
      <c r="AO194" s="20">
        <v>2336</v>
      </c>
      <c r="AP194" s="46"/>
    </row>
    <row r="195" spans="1:42" x14ac:dyDescent="0.2">
      <c r="A195" s="14" t="s">
        <v>139</v>
      </c>
      <c r="B195" s="13" t="s">
        <v>35</v>
      </c>
      <c r="C195" s="28">
        <v>3.5</v>
      </c>
      <c r="D195" s="28">
        <v>3</v>
      </c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37"/>
        <v>3.5</v>
      </c>
      <c r="AM195" s="27">
        <f t="shared" si="38"/>
        <v>3</v>
      </c>
      <c r="AN195" s="28"/>
      <c r="AO195" s="20">
        <v>38</v>
      </c>
      <c r="AP195" s="47"/>
    </row>
    <row r="196" spans="1:42" x14ac:dyDescent="0.2">
      <c r="A196" s="14">
        <v>6071300</v>
      </c>
      <c r="B196" s="13" t="s">
        <v>390</v>
      </c>
      <c r="C196" s="28">
        <v>0</v>
      </c>
      <c r="D196" s="28">
        <v>20</v>
      </c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ref="AL196" si="39">+C196+F196+I196+L196+O196+R196+U196+X196+AA196+AD196+AG196+AJ196</f>
        <v>0</v>
      </c>
      <c r="AM196" s="27">
        <f t="shared" ref="AM196" si="40">+D196+G196+J196+M196+P196+S196+V196+Y196+AB196+AE196+AH196+AK196</f>
        <v>20</v>
      </c>
      <c r="AN196" s="28"/>
      <c r="AO196" s="20">
        <v>250</v>
      </c>
      <c r="AP196" s="46"/>
    </row>
    <row r="197" spans="1:42" x14ac:dyDescent="0.2">
      <c r="A197" s="14" t="s">
        <v>138</v>
      </c>
      <c r="B197" s="13" t="s">
        <v>13</v>
      </c>
      <c r="C197" s="28">
        <v>0</v>
      </c>
      <c r="D197" s="28">
        <v>100</v>
      </c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si="37"/>
        <v>0</v>
      </c>
      <c r="AM197" s="27">
        <f t="shared" si="38"/>
        <v>100</v>
      </c>
      <c r="AN197" s="28"/>
      <c r="AO197" s="20">
        <v>1200</v>
      </c>
      <c r="AP197" s="46"/>
    </row>
    <row r="198" spans="1:42" x14ac:dyDescent="0.2">
      <c r="A198" s="14" t="s">
        <v>137</v>
      </c>
      <c r="B198" s="13" t="s">
        <v>9</v>
      </c>
      <c r="C198" s="28">
        <v>0</v>
      </c>
      <c r="D198" s="28">
        <v>21</v>
      </c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37"/>
        <v>0</v>
      </c>
      <c r="AM198" s="27">
        <f t="shared" si="38"/>
        <v>21</v>
      </c>
      <c r="AN198" s="28"/>
      <c r="AO198" s="20">
        <v>250</v>
      </c>
      <c r="AP198" s="46"/>
    </row>
    <row r="199" spans="1:42" x14ac:dyDescent="0.2">
      <c r="A199" s="14"/>
      <c r="B199" s="13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0"/>
      <c r="AP199" s="46"/>
    </row>
    <row r="200" spans="1:42" s="19" customFormat="1" x14ac:dyDescent="0.2">
      <c r="A200" s="18"/>
      <c r="B200" s="17" t="s">
        <v>136</v>
      </c>
      <c r="C200" s="31">
        <f>SUM(C193:C198)</f>
        <v>2980.41</v>
      </c>
      <c r="D200" s="31">
        <f>SUM(D193:D198)</f>
        <v>2570</v>
      </c>
      <c r="E200" s="34"/>
      <c r="F200" s="31">
        <f>SUM(F193:F198)</f>
        <v>0</v>
      </c>
      <c r="G200" s="31">
        <f>SUM(G193:G198)</f>
        <v>0</v>
      </c>
      <c r="H200" s="34"/>
      <c r="I200" s="31">
        <f>SUM(I193:I198)</f>
        <v>0</v>
      </c>
      <c r="J200" s="31">
        <f>SUM(J193:J198)</f>
        <v>0</v>
      </c>
      <c r="K200" s="34"/>
      <c r="L200" s="31">
        <f>SUM(L193:L198)</f>
        <v>0</v>
      </c>
      <c r="M200" s="31">
        <f>SUM(M193:M198)</f>
        <v>0</v>
      </c>
      <c r="N200" s="34"/>
      <c r="O200" s="31">
        <f>SUM(O193:O198)</f>
        <v>0</v>
      </c>
      <c r="P200" s="31">
        <f>SUM(P193:P198)</f>
        <v>0</v>
      </c>
      <c r="Q200" s="34"/>
      <c r="R200" s="31">
        <f>SUM(R193:R198)</f>
        <v>0</v>
      </c>
      <c r="S200" s="31">
        <f>SUM(S193:S198)</f>
        <v>0</v>
      </c>
      <c r="T200" s="34"/>
      <c r="U200" s="31">
        <f>SUM(U193:U199)</f>
        <v>0</v>
      </c>
      <c r="V200" s="31">
        <f>SUM(V193:V198)</f>
        <v>0</v>
      </c>
      <c r="W200" s="34"/>
      <c r="X200" s="31">
        <f>SUM(X193:X199)</f>
        <v>0</v>
      </c>
      <c r="Y200" s="31">
        <f>SUM(Y193:Y198)</f>
        <v>0</v>
      </c>
      <c r="Z200" s="34"/>
      <c r="AA200" s="31">
        <f>SUM(AA193:AA199)</f>
        <v>0</v>
      </c>
      <c r="AB200" s="31">
        <f>SUM(AB193:AB198)</f>
        <v>0</v>
      </c>
      <c r="AC200" s="34"/>
      <c r="AD200" s="31">
        <f>SUM(AD193:AD199)</f>
        <v>0</v>
      </c>
      <c r="AE200" s="31">
        <f>SUM(AE193:AE198)</f>
        <v>0</v>
      </c>
      <c r="AF200" s="34"/>
      <c r="AG200" s="31">
        <f>SUM(AG193:AG199)</f>
        <v>0</v>
      </c>
      <c r="AH200" s="31">
        <f>SUM(AH193:AH198)</f>
        <v>0</v>
      </c>
      <c r="AI200" s="34"/>
      <c r="AJ200" s="31">
        <f>SUM(AJ193:AJ199)</f>
        <v>0</v>
      </c>
      <c r="AK200" s="31">
        <f>SUM(AK193:AK198)</f>
        <v>0</v>
      </c>
      <c r="AL200" s="31">
        <f>SUM(AL193:AL198)</f>
        <v>2980.41</v>
      </c>
      <c r="AM200" s="31">
        <f>SUM(AM193:AM198)</f>
        <v>2570</v>
      </c>
      <c r="AN200" s="34"/>
      <c r="AO200" s="31">
        <f>SUM(AO193:AO198)</f>
        <v>33277</v>
      </c>
      <c r="AP200" s="53"/>
    </row>
    <row r="201" spans="1:42" s="19" customFormat="1" x14ac:dyDescent="0.2">
      <c r="A201" s="18"/>
      <c r="B201" s="17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2"/>
      <c r="AP201" s="53"/>
    </row>
    <row r="202" spans="1:42" x14ac:dyDescent="0.2">
      <c r="A202" s="9" t="s">
        <v>4</v>
      </c>
      <c r="B202" s="8" t="s">
        <v>133</v>
      </c>
      <c r="C202" s="29">
        <f>C200+C191+C175+C149+C123</f>
        <v>133949.18</v>
      </c>
      <c r="D202" s="29">
        <f>D200+D191+D175+D149+D123</f>
        <v>112060</v>
      </c>
      <c r="E202" s="34"/>
      <c r="F202" s="29">
        <f>F200+F191+F175+F149+F123</f>
        <v>0</v>
      </c>
      <c r="G202" s="29">
        <f>G200+G191+G175+G149+G123</f>
        <v>0</v>
      </c>
      <c r="H202" s="34"/>
      <c r="I202" s="29">
        <f>I200+I191+I175+I149+I123</f>
        <v>0</v>
      </c>
      <c r="J202" s="29">
        <f>J200+J191+J175+J149+J123</f>
        <v>0</v>
      </c>
      <c r="K202" s="34"/>
      <c r="L202" s="29">
        <f>L200+L191+L175+L149+L123</f>
        <v>0</v>
      </c>
      <c r="M202" s="29">
        <f>M200+M191+M175+M149+M123</f>
        <v>0</v>
      </c>
      <c r="N202" s="34"/>
      <c r="O202" s="29">
        <f>O200+O191+O175+O149+O123</f>
        <v>0</v>
      </c>
      <c r="P202" s="29">
        <f>P200+P191+P175+P149+P123</f>
        <v>0</v>
      </c>
      <c r="Q202" s="34"/>
      <c r="R202" s="29">
        <f>R200+R191+R175+R149+R123</f>
        <v>0</v>
      </c>
      <c r="S202" s="29">
        <f>S200+S191+S175+S149+S123</f>
        <v>0</v>
      </c>
      <c r="T202" s="34"/>
      <c r="U202" s="29">
        <f>U200+U191+U175+U149+U123</f>
        <v>0</v>
      </c>
      <c r="V202" s="29">
        <f>V200+V191+V175+V149+V123</f>
        <v>0</v>
      </c>
      <c r="W202" s="34"/>
      <c r="X202" s="29">
        <f>X200+X191+X175+X149+X123</f>
        <v>0</v>
      </c>
      <c r="Y202" s="29">
        <f>Y200+Y191+Y175+Y149+Y123</f>
        <v>0</v>
      </c>
      <c r="Z202" s="34"/>
      <c r="AA202" s="29">
        <f>AA200+AA191+AA175+AA149+AA123</f>
        <v>0</v>
      </c>
      <c r="AB202" s="29">
        <f>AB200+AB191+AB175+AB149+AB123</f>
        <v>0</v>
      </c>
      <c r="AC202" s="34"/>
      <c r="AD202" s="29">
        <f>AD200+AD191+AD175+AD149+AD123</f>
        <v>0</v>
      </c>
      <c r="AE202" s="29">
        <f>AE200+AE191+AE175+AE149+AE123</f>
        <v>0</v>
      </c>
      <c r="AF202" s="34"/>
      <c r="AG202" s="29">
        <f>AG200+AG191+AG175+AG149+AG123</f>
        <v>0</v>
      </c>
      <c r="AH202" s="29">
        <f>AH200+AH191+AH175+AH149+AH123</f>
        <v>0</v>
      </c>
      <c r="AI202" s="34"/>
      <c r="AJ202" s="29">
        <f>AJ200+AJ191+AJ175+AJ149+AJ123</f>
        <v>0</v>
      </c>
      <c r="AK202" s="29">
        <f>AK200+AK191+AK175+AK149+AK123</f>
        <v>0</v>
      </c>
      <c r="AL202" s="29">
        <f>AL200+AL191+AL175+AL149+AL123</f>
        <v>133949.18</v>
      </c>
      <c r="AM202" s="29">
        <f>AM200+AM191+AM175+AM149+AM123</f>
        <v>112060</v>
      </c>
      <c r="AN202" s="34"/>
      <c r="AO202" s="29">
        <f>AO200+AO191+AO175+AO149+AO123</f>
        <v>1571899</v>
      </c>
      <c r="AP202" s="46"/>
    </row>
    <row r="203" spans="1:42" x14ac:dyDescent="0.2"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50"/>
      <c r="AH203" s="50"/>
      <c r="AI203" s="50"/>
      <c r="AJ203" s="50"/>
      <c r="AK203" s="50"/>
      <c r="AL203" s="50"/>
      <c r="AM203" s="50"/>
      <c r="AN203" s="50"/>
      <c r="AO203" s="50"/>
      <c r="AP203" s="46"/>
    </row>
    <row r="204" spans="1:42" x14ac:dyDescent="0.2">
      <c r="A204" s="16" t="s">
        <v>132</v>
      </c>
      <c r="B204" s="15" t="s">
        <v>82</v>
      </c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51"/>
      <c r="AH204" s="51"/>
      <c r="AI204" s="51"/>
      <c r="AJ204" s="51"/>
      <c r="AK204" s="51"/>
      <c r="AL204" s="51"/>
      <c r="AM204" s="51"/>
      <c r="AN204" s="51"/>
      <c r="AO204" s="50"/>
      <c r="AP204" s="46"/>
    </row>
    <row r="205" spans="1:42" x14ac:dyDescent="0.2">
      <c r="A205" s="14" t="s">
        <v>131</v>
      </c>
      <c r="B205" s="13" t="s">
        <v>130</v>
      </c>
      <c r="C205" s="28">
        <v>84271.86</v>
      </c>
      <c r="D205" s="28">
        <v>103632</v>
      </c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7">
        <f t="shared" ref="AL205:AL209" si="41">+C205+F205+I205+L205+O205+R205+U205+X205+AA205+AD205+AG205+AJ205</f>
        <v>84271.86</v>
      </c>
      <c r="AM205" s="27">
        <f t="shared" ref="AM205:AM209" si="42">+D205+G205+J205+M205+P205+S205+V205+Y205+AB205+AE205+AH205+AK205</f>
        <v>103632</v>
      </c>
      <c r="AN205" s="28"/>
      <c r="AO205" s="20">
        <v>1347218</v>
      </c>
      <c r="AP205" s="47"/>
    </row>
    <row r="206" spans="1:42" x14ac:dyDescent="0.2">
      <c r="A206" s="14">
        <v>6030101</v>
      </c>
      <c r="B206" s="13" t="s">
        <v>391</v>
      </c>
      <c r="C206" s="28">
        <v>17792.84</v>
      </c>
      <c r="D206" s="28">
        <v>0</v>
      </c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si="41"/>
        <v>17792.84</v>
      </c>
      <c r="AM206" s="27">
        <f t="shared" si="42"/>
        <v>0</v>
      </c>
      <c r="AN206" s="28"/>
      <c r="AO206" s="20">
        <v>0</v>
      </c>
      <c r="AP206" s="47"/>
    </row>
    <row r="207" spans="1:42" x14ac:dyDescent="0.2">
      <c r="A207" s="14">
        <v>6030102</v>
      </c>
      <c r="B207" s="13" t="s">
        <v>392</v>
      </c>
      <c r="C207" s="28">
        <v>2625</v>
      </c>
      <c r="D207" s="28">
        <v>0</v>
      </c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1"/>
        <v>2625</v>
      </c>
      <c r="AM207" s="27">
        <f t="shared" si="42"/>
        <v>0</v>
      </c>
      <c r="AN207" s="28"/>
      <c r="AO207" s="20">
        <v>0</v>
      </c>
      <c r="AP207" s="47"/>
    </row>
    <row r="208" spans="1:42" x14ac:dyDescent="0.2">
      <c r="A208" s="14">
        <v>6030103</v>
      </c>
      <c r="B208" s="13" t="s">
        <v>393</v>
      </c>
      <c r="C208" s="28">
        <v>0</v>
      </c>
      <c r="D208" s="28">
        <v>0</v>
      </c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1"/>
        <v>0</v>
      </c>
      <c r="AM208" s="27">
        <f t="shared" si="42"/>
        <v>0</v>
      </c>
      <c r="AN208" s="28"/>
      <c r="AO208" s="20">
        <v>0</v>
      </c>
      <c r="AP208" s="47"/>
    </row>
    <row r="209" spans="1:42" x14ac:dyDescent="0.2">
      <c r="A209" s="14">
        <v>6030104</v>
      </c>
      <c r="B209" s="13" t="s">
        <v>394</v>
      </c>
      <c r="C209" s="28">
        <v>221.6</v>
      </c>
      <c r="D209" s="28">
        <v>0</v>
      </c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1"/>
        <v>221.6</v>
      </c>
      <c r="AM209" s="27">
        <f t="shared" si="42"/>
        <v>0</v>
      </c>
      <c r="AN209" s="28"/>
      <c r="AO209" s="20">
        <v>0</v>
      </c>
      <c r="AP209" s="47"/>
    </row>
    <row r="210" spans="1:42" x14ac:dyDescent="0.2">
      <c r="A210" s="14" t="s">
        <v>129</v>
      </c>
      <c r="B210" s="13" t="s">
        <v>128</v>
      </c>
      <c r="C210" s="28">
        <v>1300</v>
      </c>
      <c r="D210" s="28">
        <v>0</v>
      </c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ref="AL210:AL247" si="43">+C210+F210+I210+L210+O210+R210+U210+X210+AA210+AD210+AG210+AJ210</f>
        <v>1300</v>
      </c>
      <c r="AM210" s="27">
        <f t="shared" ref="AM210:AM247" si="44">+D210+G210+J210+M210+P210+S210+V210+Y210+AB210+AE210+AH210+AK210</f>
        <v>0</v>
      </c>
      <c r="AN210" s="28"/>
      <c r="AO210" s="20">
        <v>50000</v>
      </c>
      <c r="AP210" s="47"/>
    </row>
    <row r="211" spans="1:42" x14ac:dyDescent="0.2">
      <c r="A211" s="14" t="s">
        <v>127</v>
      </c>
      <c r="B211" s="13" t="s">
        <v>126</v>
      </c>
      <c r="C211" s="28">
        <v>7463.37</v>
      </c>
      <c r="D211" s="28">
        <v>8291</v>
      </c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si="43"/>
        <v>7463.37</v>
      </c>
      <c r="AM211" s="27">
        <f t="shared" si="44"/>
        <v>8291</v>
      </c>
      <c r="AN211" s="28"/>
      <c r="AO211" s="20">
        <v>107777</v>
      </c>
      <c r="AP211" s="47"/>
    </row>
    <row r="212" spans="1:42" x14ac:dyDescent="0.2">
      <c r="A212" s="14" t="s">
        <v>125</v>
      </c>
      <c r="B212" s="13" t="s">
        <v>124</v>
      </c>
      <c r="C212" s="28">
        <v>27316.959999999999</v>
      </c>
      <c r="D212" s="28">
        <v>29443</v>
      </c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3"/>
        <v>27316.959999999999</v>
      </c>
      <c r="AM212" s="27">
        <f t="shared" si="44"/>
        <v>29443</v>
      </c>
      <c r="AN212" s="28"/>
      <c r="AO212" s="20">
        <v>353311</v>
      </c>
      <c r="AP212" s="47"/>
    </row>
    <row r="213" spans="1:42" x14ac:dyDescent="0.2">
      <c r="A213" s="14" t="s">
        <v>123</v>
      </c>
      <c r="B213" s="13" t="s">
        <v>122</v>
      </c>
      <c r="C213" s="28">
        <v>11914.8</v>
      </c>
      <c r="D213" s="28">
        <v>13614</v>
      </c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3"/>
        <v>11914.8</v>
      </c>
      <c r="AM213" s="27">
        <f t="shared" si="44"/>
        <v>13614</v>
      </c>
      <c r="AN213" s="28"/>
      <c r="AO213" s="20">
        <v>176982</v>
      </c>
      <c r="AP213" s="47"/>
    </row>
    <row r="214" spans="1:42" x14ac:dyDescent="0.2">
      <c r="A214" s="14" t="s">
        <v>121</v>
      </c>
      <c r="B214" s="13" t="s">
        <v>120</v>
      </c>
      <c r="C214" s="28">
        <v>2618.34</v>
      </c>
      <c r="D214" s="28">
        <v>1000</v>
      </c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3"/>
        <v>2618.34</v>
      </c>
      <c r="AM214" s="27">
        <f t="shared" si="44"/>
        <v>1000</v>
      </c>
      <c r="AN214" s="28"/>
      <c r="AO214" s="20">
        <v>12000</v>
      </c>
      <c r="AP214" s="47"/>
    </row>
    <row r="215" spans="1:42" x14ac:dyDescent="0.2">
      <c r="A215" s="14" t="s">
        <v>119</v>
      </c>
      <c r="B215" s="13" t="s">
        <v>118</v>
      </c>
      <c r="C215" s="28">
        <v>3086.03</v>
      </c>
      <c r="D215" s="28">
        <v>3534</v>
      </c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3"/>
        <v>3086.03</v>
      </c>
      <c r="AM215" s="27">
        <f t="shared" si="44"/>
        <v>3534</v>
      </c>
      <c r="AN215" s="28"/>
      <c r="AO215" s="20">
        <v>45940</v>
      </c>
      <c r="AP215" s="47"/>
    </row>
    <row r="216" spans="1:42" x14ac:dyDescent="0.2">
      <c r="A216" s="14" t="s">
        <v>117</v>
      </c>
      <c r="B216" s="13" t="s">
        <v>116</v>
      </c>
      <c r="C216" s="28">
        <v>28329.93</v>
      </c>
      <c r="D216" s="28">
        <v>27246</v>
      </c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3"/>
        <v>28329.93</v>
      </c>
      <c r="AM216" s="27">
        <f t="shared" si="44"/>
        <v>27246</v>
      </c>
      <c r="AN216" s="28"/>
      <c r="AO216" s="20">
        <v>354203</v>
      </c>
      <c r="AP216" s="47"/>
    </row>
    <row r="217" spans="1:42" x14ac:dyDescent="0.2">
      <c r="A217" s="14">
        <v>6030201</v>
      </c>
      <c r="B217" s="13" t="s">
        <v>395</v>
      </c>
      <c r="C217" s="28">
        <v>2304.35</v>
      </c>
      <c r="D217" s="28">
        <v>0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3"/>
        <v>2304.35</v>
      </c>
      <c r="AM217" s="27">
        <f t="shared" si="44"/>
        <v>0</v>
      </c>
      <c r="AN217" s="28"/>
      <c r="AO217" s="20">
        <v>0</v>
      </c>
      <c r="AP217" s="47"/>
    </row>
    <row r="218" spans="1:42" x14ac:dyDescent="0.2">
      <c r="A218" s="14" t="s">
        <v>115</v>
      </c>
      <c r="B218" s="13" t="s">
        <v>114</v>
      </c>
      <c r="C218" s="28">
        <v>2333.23</v>
      </c>
      <c r="D218" s="28">
        <v>2180</v>
      </c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3"/>
        <v>2333.23</v>
      </c>
      <c r="AM218" s="27">
        <f t="shared" si="44"/>
        <v>2180</v>
      </c>
      <c r="AN218" s="28"/>
      <c r="AO218" s="20">
        <v>28336</v>
      </c>
      <c r="AP218" s="47"/>
    </row>
    <row r="219" spans="1:42" x14ac:dyDescent="0.2">
      <c r="A219" s="14" t="s">
        <v>113</v>
      </c>
      <c r="B219" s="13" t="s">
        <v>112</v>
      </c>
      <c r="C219" s="28">
        <v>10190.56</v>
      </c>
      <c r="D219" s="28">
        <v>12644</v>
      </c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3"/>
        <v>10190.56</v>
      </c>
      <c r="AM219" s="27">
        <f t="shared" si="44"/>
        <v>12644</v>
      </c>
      <c r="AN219" s="28"/>
      <c r="AO219" s="20">
        <v>151734</v>
      </c>
      <c r="AP219" s="47"/>
    </row>
    <row r="220" spans="1:42" x14ac:dyDescent="0.2">
      <c r="A220" s="14" t="s">
        <v>111</v>
      </c>
      <c r="B220" s="13" t="s">
        <v>110</v>
      </c>
      <c r="C220" s="28">
        <v>237.12</v>
      </c>
      <c r="D220" s="28">
        <v>248</v>
      </c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3"/>
        <v>237.12</v>
      </c>
      <c r="AM220" s="27">
        <f t="shared" si="44"/>
        <v>248</v>
      </c>
      <c r="AN220" s="28"/>
      <c r="AO220" s="20">
        <v>3224</v>
      </c>
      <c r="AP220" s="46"/>
    </row>
    <row r="221" spans="1:42" x14ac:dyDescent="0.2">
      <c r="A221" s="14">
        <v>6030250</v>
      </c>
      <c r="B221" s="13" t="s">
        <v>109</v>
      </c>
      <c r="C221" s="28">
        <v>0</v>
      </c>
      <c r="D221" s="28">
        <v>125</v>
      </c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3"/>
        <v>0</v>
      </c>
      <c r="AM221" s="27">
        <f t="shared" si="44"/>
        <v>125</v>
      </c>
      <c r="AN221" s="28"/>
      <c r="AO221" s="20">
        <v>1500</v>
      </c>
      <c r="AP221" s="46"/>
    </row>
    <row r="222" spans="1:42" x14ac:dyDescent="0.2">
      <c r="A222" s="14" t="s">
        <v>108</v>
      </c>
      <c r="B222" s="13" t="s">
        <v>107</v>
      </c>
      <c r="C222" s="28">
        <v>34.04</v>
      </c>
      <c r="D222" s="28">
        <v>35</v>
      </c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3"/>
        <v>34.04</v>
      </c>
      <c r="AM222" s="27">
        <f t="shared" si="44"/>
        <v>35</v>
      </c>
      <c r="AN222" s="28"/>
      <c r="AO222" s="20">
        <v>460</v>
      </c>
      <c r="AP222" s="47"/>
    </row>
    <row r="223" spans="1:42" x14ac:dyDescent="0.2">
      <c r="A223" s="14" t="s">
        <v>106</v>
      </c>
      <c r="B223" s="13" t="s">
        <v>34</v>
      </c>
      <c r="C223" s="28">
        <v>6707.5</v>
      </c>
      <c r="D223" s="28">
        <v>0</v>
      </c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3"/>
        <v>6707.5</v>
      </c>
      <c r="AM223" s="27">
        <f t="shared" si="44"/>
        <v>0</v>
      </c>
      <c r="AN223" s="28"/>
      <c r="AO223" s="20">
        <v>196737</v>
      </c>
      <c r="AP223" s="46"/>
    </row>
    <row r="224" spans="1:42" x14ac:dyDescent="0.2">
      <c r="A224" s="14">
        <v>6030301</v>
      </c>
      <c r="B224" s="13" t="s">
        <v>389</v>
      </c>
      <c r="C224" s="28">
        <v>0</v>
      </c>
      <c r="D224" s="28">
        <v>0</v>
      </c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ref="AL224" si="45">+C224+F224+I224+L224+O224+R224+U224+X224+AA224+AD224+AG224+AJ224</f>
        <v>0</v>
      </c>
      <c r="AM224" s="27">
        <f t="shared" ref="AM224" si="46">+D224+G224+J224+M224+P224+S224+V224+Y224+AB224+AE224+AH224+AK224</f>
        <v>0</v>
      </c>
      <c r="AN224" s="28"/>
      <c r="AO224" s="20">
        <v>0</v>
      </c>
      <c r="AP224" s="46"/>
    </row>
    <row r="225" spans="1:42" x14ac:dyDescent="0.2">
      <c r="A225" s="14" t="s">
        <v>105</v>
      </c>
      <c r="B225" s="13" t="s">
        <v>33</v>
      </c>
      <c r="C225" s="28">
        <v>513.92999999999995</v>
      </c>
      <c r="D225" s="28">
        <v>0</v>
      </c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si="43"/>
        <v>513.92999999999995</v>
      </c>
      <c r="AM225" s="27">
        <f t="shared" si="44"/>
        <v>0</v>
      </c>
      <c r="AN225" s="28"/>
      <c r="AO225" s="20">
        <v>19680</v>
      </c>
      <c r="AP225" s="46"/>
    </row>
    <row r="226" spans="1:42" x14ac:dyDescent="0.2">
      <c r="A226" s="14" t="s">
        <v>104</v>
      </c>
      <c r="B226" s="13" t="s">
        <v>32</v>
      </c>
      <c r="C226" s="28">
        <v>0</v>
      </c>
      <c r="D226" s="28">
        <v>5000</v>
      </c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3"/>
        <v>0</v>
      </c>
      <c r="AM226" s="27">
        <f t="shared" si="44"/>
        <v>5000</v>
      </c>
      <c r="AN226" s="28"/>
      <c r="AO226" s="20">
        <v>10000</v>
      </c>
      <c r="AP226" s="46"/>
    </row>
    <row r="227" spans="1:42" x14ac:dyDescent="0.2">
      <c r="A227" s="14" t="s">
        <v>103</v>
      </c>
      <c r="B227" s="13" t="s">
        <v>31</v>
      </c>
      <c r="C227" s="28">
        <v>528.44000000000005</v>
      </c>
      <c r="D227" s="28">
        <v>516</v>
      </c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3"/>
        <v>528.44000000000005</v>
      </c>
      <c r="AM227" s="27">
        <f t="shared" si="44"/>
        <v>516</v>
      </c>
      <c r="AN227" s="28"/>
      <c r="AO227" s="20">
        <v>6710</v>
      </c>
      <c r="AP227" s="47"/>
    </row>
    <row r="228" spans="1:42" x14ac:dyDescent="0.2">
      <c r="A228" s="14" t="s">
        <v>102</v>
      </c>
      <c r="B228" s="13" t="s">
        <v>29</v>
      </c>
      <c r="C228" s="28">
        <v>-4555.95</v>
      </c>
      <c r="D228" s="28">
        <v>2167</v>
      </c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3"/>
        <v>-4555.95</v>
      </c>
      <c r="AM228" s="27">
        <f t="shared" si="44"/>
        <v>2167</v>
      </c>
      <c r="AN228" s="28"/>
      <c r="AO228" s="20">
        <v>26000</v>
      </c>
      <c r="AP228" s="46"/>
    </row>
    <row r="229" spans="1:42" x14ac:dyDescent="0.2">
      <c r="A229" s="14" t="s">
        <v>100</v>
      </c>
      <c r="B229" s="13" t="s">
        <v>23</v>
      </c>
      <c r="C229" s="28">
        <v>3490.2</v>
      </c>
      <c r="D229" s="28">
        <v>4583</v>
      </c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3"/>
        <v>3490.2</v>
      </c>
      <c r="AM229" s="27">
        <f t="shared" si="44"/>
        <v>4583</v>
      </c>
      <c r="AN229" s="28"/>
      <c r="AO229" s="20">
        <v>55000</v>
      </c>
      <c r="AP229" s="46"/>
    </row>
    <row r="230" spans="1:42" x14ac:dyDescent="0.2">
      <c r="A230" s="14">
        <v>6030603</v>
      </c>
      <c r="B230" s="13" t="s">
        <v>381</v>
      </c>
      <c r="C230" s="28">
        <v>398.27</v>
      </c>
      <c r="D230" s="28">
        <v>417</v>
      </c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3"/>
        <v>398.27</v>
      </c>
      <c r="AM230" s="27">
        <f t="shared" si="44"/>
        <v>417</v>
      </c>
      <c r="AN230" s="28"/>
      <c r="AO230" s="20">
        <v>5000</v>
      </c>
      <c r="AP230" s="46"/>
    </row>
    <row r="231" spans="1:42" x14ac:dyDescent="0.2">
      <c r="A231" s="14">
        <v>6030605</v>
      </c>
      <c r="B231" s="13" t="s">
        <v>185</v>
      </c>
      <c r="C231" s="28">
        <v>0</v>
      </c>
      <c r="D231" s="28">
        <v>42</v>
      </c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3"/>
        <v>0</v>
      </c>
      <c r="AM231" s="27">
        <f t="shared" si="44"/>
        <v>42</v>
      </c>
      <c r="AN231" s="28"/>
      <c r="AO231" s="20">
        <v>500</v>
      </c>
      <c r="AP231" s="46"/>
    </row>
    <row r="232" spans="1:42" x14ac:dyDescent="0.2">
      <c r="A232" s="14" t="s">
        <v>99</v>
      </c>
      <c r="B232" s="13" t="s">
        <v>51</v>
      </c>
      <c r="C232" s="28">
        <v>4591.1499999999996</v>
      </c>
      <c r="D232" s="28">
        <v>2500</v>
      </c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3"/>
        <v>4591.1499999999996</v>
      </c>
      <c r="AM232" s="27">
        <f t="shared" si="44"/>
        <v>2500</v>
      </c>
      <c r="AN232" s="28"/>
      <c r="AO232" s="20">
        <v>30000</v>
      </c>
      <c r="AP232" s="46"/>
    </row>
    <row r="233" spans="1:42" x14ac:dyDescent="0.2">
      <c r="A233" s="14" t="s">
        <v>98</v>
      </c>
      <c r="B233" s="13" t="s">
        <v>97</v>
      </c>
      <c r="C233" s="28">
        <v>0</v>
      </c>
      <c r="D233" s="28">
        <v>417</v>
      </c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3"/>
        <v>0</v>
      </c>
      <c r="AM233" s="27">
        <f t="shared" si="44"/>
        <v>417</v>
      </c>
      <c r="AN233" s="28"/>
      <c r="AO233" s="20">
        <v>5000</v>
      </c>
      <c r="AP233" s="46"/>
    </row>
    <row r="234" spans="1:42" x14ac:dyDescent="0.2">
      <c r="A234" s="14">
        <v>6031125</v>
      </c>
      <c r="B234" s="13" t="s">
        <v>383</v>
      </c>
      <c r="C234" s="28">
        <v>1200</v>
      </c>
      <c r="D234" s="28">
        <v>417</v>
      </c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3"/>
        <v>1200</v>
      </c>
      <c r="AM234" s="27">
        <f t="shared" si="44"/>
        <v>417</v>
      </c>
      <c r="AN234" s="28"/>
      <c r="AO234" s="20">
        <v>5000</v>
      </c>
      <c r="AP234" s="46"/>
    </row>
    <row r="235" spans="1:42" x14ac:dyDescent="0.2">
      <c r="A235" s="14" t="s">
        <v>96</v>
      </c>
      <c r="B235" s="13" t="s">
        <v>19</v>
      </c>
      <c r="C235" s="28">
        <v>11320.65</v>
      </c>
      <c r="D235" s="28">
        <v>12500</v>
      </c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3"/>
        <v>11320.65</v>
      </c>
      <c r="AM235" s="27">
        <f t="shared" si="44"/>
        <v>12500</v>
      </c>
      <c r="AN235" s="28"/>
      <c r="AO235" s="20">
        <v>150000</v>
      </c>
      <c r="AP235" s="46"/>
    </row>
    <row r="236" spans="1:42" x14ac:dyDescent="0.2">
      <c r="A236" s="14" t="s">
        <v>95</v>
      </c>
      <c r="B236" s="13" t="s">
        <v>17</v>
      </c>
      <c r="C236" s="28">
        <v>3750.99</v>
      </c>
      <c r="D236" s="28">
        <v>6667</v>
      </c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3"/>
        <v>3750.99</v>
      </c>
      <c r="AM236" s="27">
        <f t="shared" si="44"/>
        <v>6667</v>
      </c>
      <c r="AN236" s="28"/>
      <c r="AO236" s="20">
        <v>80000</v>
      </c>
      <c r="AP236" s="46"/>
    </row>
    <row r="237" spans="1:42" x14ac:dyDescent="0.2">
      <c r="A237" s="14" t="s">
        <v>94</v>
      </c>
      <c r="B237" s="13" t="s">
        <v>93</v>
      </c>
      <c r="C237" s="28">
        <v>304.18</v>
      </c>
      <c r="D237" s="28">
        <v>1000</v>
      </c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3"/>
        <v>304.18</v>
      </c>
      <c r="AM237" s="27">
        <f t="shared" si="44"/>
        <v>1000</v>
      </c>
      <c r="AN237" s="28"/>
      <c r="AO237" s="20">
        <v>12000</v>
      </c>
      <c r="AP237" s="46"/>
    </row>
    <row r="238" spans="1:42" x14ac:dyDescent="0.2">
      <c r="A238" s="14">
        <v>6031425</v>
      </c>
      <c r="B238" s="13" t="s">
        <v>92</v>
      </c>
      <c r="C238" s="28">
        <v>0</v>
      </c>
      <c r="D238" s="28">
        <v>167</v>
      </c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3"/>
        <v>0</v>
      </c>
      <c r="AM238" s="27">
        <f t="shared" si="44"/>
        <v>167</v>
      </c>
      <c r="AN238" s="28"/>
      <c r="AO238" s="20">
        <v>2000</v>
      </c>
      <c r="AP238" s="46"/>
    </row>
    <row r="239" spans="1:42" x14ac:dyDescent="0.2">
      <c r="A239" s="14">
        <v>6031450</v>
      </c>
      <c r="B239" s="13" t="s">
        <v>91</v>
      </c>
      <c r="C239" s="28">
        <v>0</v>
      </c>
      <c r="D239" s="28">
        <v>167</v>
      </c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3"/>
        <v>0</v>
      </c>
      <c r="AM239" s="27">
        <f t="shared" si="44"/>
        <v>167</v>
      </c>
      <c r="AN239" s="28"/>
      <c r="AO239" s="20">
        <v>2000</v>
      </c>
      <c r="AP239" s="46"/>
    </row>
    <row r="240" spans="1:42" x14ac:dyDescent="0.2">
      <c r="A240" s="14">
        <v>6031475</v>
      </c>
      <c r="B240" s="13" t="s">
        <v>90</v>
      </c>
      <c r="C240" s="28">
        <v>0</v>
      </c>
      <c r="D240" s="28">
        <v>2083</v>
      </c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3"/>
        <v>0</v>
      </c>
      <c r="AM240" s="27">
        <f t="shared" si="44"/>
        <v>2083</v>
      </c>
      <c r="AN240" s="28"/>
      <c r="AO240" s="20">
        <v>25000</v>
      </c>
      <c r="AP240" s="46"/>
    </row>
    <row r="241" spans="1:42" x14ac:dyDescent="0.2">
      <c r="A241" s="14" t="s">
        <v>89</v>
      </c>
      <c r="B241" s="13" t="s">
        <v>13</v>
      </c>
      <c r="C241" s="28">
        <v>1978.04</v>
      </c>
      <c r="D241" s="28">
        <v>833</v>
      </c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3"/>
        <v>1978.04</v>
      </c>
      <c r="AM241" s="27">
        <f t="shared" si="44"/>
        <v>833</v>
      </c>
      <c r="AN241" s="28"/>
      <c r="AO241" s="20">
        <v>10000</v>
      </c>
      <c r="AP241" s="46"/>
    </row>
    <row r="242" spans="1:42" x14ac:dyDescent="0.2">
      <c r="A242" s="14">
        <v>6031550</v>
      </c>
      <c r="B242" s="13" t="s">
        <v>88</v>
      </c>
      <c r="C242" s="28">
        <v>0</v>
      </c>
      <c r="D242" s="28">
        <v>1000</v>
      </c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3"/>
        <v>0</v>
      </c>
      <c r="AM242" s="27">
        <f t="shared" si="44"/>
        <v>1000</v>
      </c>
      <c r="AN242" s="28"/>
      <c r="AO242" s="20">
        <v>12000</v>
      </c>
      <c r="AP242" s="46"/>
    </row>
    <row r="243" spans="1:42" x14ac:dyDescent="0.2">
      <c r="A243" s="14" t="s">
        <v>87</v>
      </c>
      <c r="B243" s="13" t="s">
        <v>9</v>
      </c>
      <c r="C243" s="28">
        <v>218.66</v>
      </c>
      <c r="D243" s="28">
        <v>833</v>
      </c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3"/>
        <v>218.66</v>
      </c>
      <c r="AM243" s="27">
        <f t="shared" si="44"/>
        <v>833</v>
      </c>
      <c r="AN243" s="28"/>
      <c r="AO243" s="20">
        <v>10000</v>
      </c>
      <c r="AP243" s="46"/>
    </row>
    <row r="244" spans="1:42" x14ac:dyDescent="0.2">
      <c r="A244" s="14" t="s">
        <v>86</v>
      </c>
      <c r="B244" s="13" t="s">
        <v>6</v>
      </c>
      <c r="C244" s="28">
        <v>0</v>
      </c>
      <c r="D244" s="28">
        <v>83</v>
      </c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3"/>
        <v>0</v>
      </c>
      <c r="AM244" s="27">
        <f t="shared" si="44"/>
        <v>83</v>
      </c>
      <c r="AN244" s="28"/>
      <c r="AO244" s="20">
        <v>1000</v>
      </c>
      <c r="AP244" s="46"/>
    </row>
    <row r="245" spans="1:42" x14ac:dyDescent="0.2">
      <c r="A245" s="14" t="s">
        <v>85</v>
      </c>
      <c r="B245" s="13" t="s">
        <v>83</v>
      </c>
      <c r="C245" s="28">
        <v>543.54</v>
      </c>
      <c r="D245" s="28">
        <v>125</v>
      </c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3"/>
        <v>543.54</v>
      </c>
      <c r="AM245" s="27">
        <f t="shared" si="44"/>
        <v>125</v>
      </c>
      <c r="AN245" s="28"/>
      <c r="AO245" s="20">
        <v>1500</v>
      </c>
      <c r="AP245" s="46"/>
    </row>
    <row r="246" spans="1:42" x14ac:dyDescent="0.2">
      <c r="A246" s="14" t="s">
        <v>84</v>
      </c>
      <c r="B246" s="13" t="s">
        <v>5</v>
      </c>
      <c r="C246" s="28">
        <v>521.15</v>
      </c>
      <c r="D246" s="28">
        <v>1000</v>
      </c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3"/>
        <v>521.15</v>
      </c>
      <c r="AM246" s="27">
        <f t="shared" si="44"/>
        <v>1000</v>
      </c>
      <c r="AN246" s="28"/>
      <c r="AO246" s="20">
        <v>12000</v>
      </c>
      <c r="AP246" s="46"/>
    </row>
    <row r="247" spans="1:42" x14ac:dyDescent="0.2">
      <c r="A247" s="14">
        <v>6032050</v>
      </c>
      <c r="B247" s="13" t="s">
        <v>377</v>
      </c>
      <c r="C247" s="28">
        <v>153167.4</v>
      </c>
      <c r="D247" s="28">
        <v>0</v>
      </c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44"/>
      <c r="AB247" s="28"/>
      <c r="AC247" s="28"/>
      <c r="AD247" s="45"/>
      <c r="AE247" s="28"/>
      <c r="AF247" s="28"/>
      <c r="AG247" s="45"/>
      <c r="AH247" s="28"/>
      <c r="AI247" s="28"/>
      <c r="AJ247" s="45"/>
      <c r="AK247" s="28"/>
      <c r="AL247" s="27">
        <f t="shared" si="43"/>
        <v>153167.4</v>
      </c>
      <c r="AM247" s="27">
        <f t="shared" si="44"/>
        <v>0</v>
      </c>
      <c r="AN247" s="28"/>
      <c r="AO247" s="20">
        <v>0</v>
      </c>
      <c r="AP247" s="46"/>
    </row>
    <row r="248" spans="1:42" x14ac:dyDescent="0.2">
      <c r="A248" s="12"/>
      <c r="B248" s="11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46"/>
    </row>
    <row r="249" spans="1:42" x14ac:dyDescent="0.2">
      <c r="A249" s="9" t="s">
        <v>4</v>
      </c>
      <c r="B249" s="8" t="s">
        <v>81</v>
      </c>
      <c r="C249" s="29">
        <f>SUM(C205:C248)</f>
        <v>386718.17999999993</v>
      </c>
      <c r="D249" s="29">
        <f>SUM(D205:D248)</f>
        <v>244509</v>
      </c>
      <c r="E249" s="34"/>
      <c r="F249" s="29">
        <f>SUM(F205:F248)</f>
        <v>0</v>
      </c>
      <c r="G249" s="29">
        <f>SUM(G205:G248)</f>
        <v>0</v>
      </c>
      <c r="H249" s="34"/>
      <c r="I249" s="29">
        <f>SUM(I205:I248)</f>
        <v>0</v>
      </c>
      <c r="J249" s="29">
        <f>SUM(J205:J248)</f>
        <v>0</v>
      </c>
      <c r="K249" s="34"/>
      <c r="L249" s="29">
        <f>SUM(L205:L248)</f>
        <v>0</v>
      </c>
      <c r="M249" s="29">
        <f>SUM(M205:M248)</f>
        <v>0</v>
      </c>
      <c r="N249" s="34"/>
      <c r="O249" s="29">
        <f>SUM(O205:O248)</f>
        <v>0</v>
      </c>
      <c r="P249" s="29">
        <f>SUM(P205:P248)</f>
        <v>0</v>
      </c>
      <c r="Q249" s="34"/>
      <c r="R249" s="29">
        <f>SUM(R205:R248)</f>
        <v>0</v>
      </c>
      <c r="S249" s="29">
        <f>SUM(S205:S248)</f>
        <v>0</v>
      </c>
      <c r="T249" s="34"/>
      <c r="U249" s="29">
        <f>SUM(U205:U248)</f>
        <v>0</v>
      </c>
      <c r="V249" s="29">
        <f>SUM(V205:V248)</f>
        <v>0</v>
      </c>
      <c r="W249" s="34"/>
      <c r="X249" s="29">
        <f>SUM(X205:X248)</f>
        <v>0</v>
      </c>
      <c r="Y249" s="29">
        <f>SUM(Y205:Y248)</f>
        <v>0</v>
      </c>
      <c r="Z249" s="34"/>
      <c r="AA249" s="29">
        <f>SUM(AA205:AA248)</f>
        <v>0</v>
      </c>
      <c r="AB249" s="29">
        <f>SUM(AB205:AB248)</f>
        <v>0</v>
      </c>
      <c r="AC249" s="34"/>
      <c r="AD249" s="29">
        <f>SUM(AD205:AD248)</f>
        <v>0</v>
      </c>
      <c r="AE249" s="29">
        <f>SUM(AE205:AE248)</f>
        <v>0</v>
      </c>
      <c r="AF249" s="34"/>
      <c r="AG249" s="29">
        <f>SUM(AG205:AG248)</f>
        <v>0</v>
      </c>
      <c r="AH249" s="29">
        <f>SUM(AH205:AH248)</f>
        <v>0</v>
      </c>
      <c r="AI249" s="34"/>
      <c r="AJ249" s="29">
        <f>SUM(AJ205:AJ248)</f>
        <v>0</v>
      </c>
      <c r="AK249" s="29">
        <f>SUM(AK205:AK248)</f>
        <v>0</v>
      </c>
      <c r="AL249" s="41">
        <f>SUM(AL205:AL248)</f>
        <v>386718.17999999993</v>
      </c>
      <c r="AM249" s="29">
        <f>SUM(AM205:AM248)</f>
        <v>244509</v>
      </c>
      <c r="AN249" s="34"/>
      <c r="AO249" s="29">
        <f>SUM(AO205:AO248)</f>
        <v>3309812</v>
      </c>
      <c r="AP249" s="46"/>
    </row>
    <row r="250" spans="1:42" x14ac:dyDescent="0.2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50"/>
      <c r="AH250" s="50"/>
      <c r="AI250" s="50"/>
      <c r="AJ250" s="50"/>
      <c r="AK250" s="50"/>
      <c r="AL250" s="50"/>
      <c r="AM250" s="50"/>
      <c r="AN250" s="50"/>
      <c r="AO250" s="50"/>
      <c r="AP250" s="46"/>
    </row>
    <row r="251" spans="1:42" x14ac:dyDescent="0.2">
      <c r="A251" s="16" t="s">
        <v>80</v>
      </c>
      <c r="B251" s="15" t="s">
        <v>79</v>
      </c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51"/>
      <c r="AH251" s="51"/>
      <c r="AI251" s="51"/>
      <c r="AJ251" s="51"/>
      <c r="AK251" s="51"/>
      <c r="AL251" s="51"/>
      <c r="AM251" s="51"/>
      <c r="AN251" s="51"/>
      <c r="AO251" s="50"/>
      <c r="AP251" s="46"/>
    </row>
    <row r="252" spans="1:42" x14ac:dyDescent="0.2">
      <c r="A252" s="14" t="s">
        <v>78</v>
      </c>
      <c r="B252" s="13" t="s">
        <v>77</v>
      </c>
      <c r="C252" s="45">
        <v>144.78</v>
      </c>
      <c r="D252" s="45">
        <v>625</v>
      </c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27">
        <f t="shared" ref="AL252:AL259" si="47">+C252+F252+I252+L252+O252+R252+U252+X252+AA252+AD252+AG252+AJ252</f>
        <v>144.78</v>
      </c>
      <c r="AM252" s="27">
        <f t="shared" ref="AM252:AM259" si="48">+D252+G252+J252+M252+P252+S252+V252+Y252+AB252+AE252+AH252+AK252</f>
        <v>625</v>
      </c>
      <c r="AN252" s="28"/>
      <c r="AO252" s="20">
        <v>7500</v>
      </c>
      <c r="AP252" s="46"/>
    </row>
    <row r="253" spans="1:42" x14ac:dyDescent="0.2">
      <c r="A253" s="14" t="s">
        <v>76</v>
      </c>
      <c r="B253" s="13" t="s">
        <v>75</v>
      </c>
      <c r="C253" s="45">
        <v>115.09</v>
      </c>
      <c r="D253" s="45">
        <v>5000</v>
      </c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27">
        <f t="shared" si="47"/>
        <v>115.09</v>
      </c>
      <c r="AM253" s="27">
        <f t="shared" si="48"/>
        <v>5000</v>
      </c>
      <c r="AN253" s="28"/>
      <c r="AO253" s="20">
        <v>60000</v>
      </c>
      <c r="AP253" s="46"/>
    </row>
    <row r="254" spans="1:42" x14ac:dyDescent="0.2">
      <c r="A254" s="14" t="s">
        <v>74</v>
      </c>
      <c r="B254" s="13" t="s">
        <v>73</v>
      </c>
      <c r="C254" s="45">
        <v>936.86</v>
      </c>
      <c r="D254" s="45">
        <v>1667</v>
      </c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27">
        <f t="shared" si="47"/>
        <v>936.86</v>
      </c>
      <c r="AM254" s="27">
        <f t="shared" si="48"/>
        <v>1667</v>
      </c>
      <c r="AN254" s="28"/>
      <c r="AO254" s="20">
        <v>20000</v>
      </c>
      <c r="AP254" s="46"/>
    </row>
    <row r="255" spans="1:42" x14ac:dyDescent="0.2">
      <c r="A255" s="14" t="s">
        <v>72</v>
      </c>
      <c r="B255" s="13" t="s">
        <v>71</v>
      </c>
      <c r="C255" s="45">
        <v>153</v>
      </c>
      <c r="D255" s="45">
        <v>833</v>
      </c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27">
        <f t="shared" si="47"/>
        <v>153</v>
      </c>
      <c r="AM255" s="27">
        <f t="shared" si="48"/>
        <v>833</v>
      </c>
      <c r="AN255" s="28"/>
      <c r="AO255" s="20">
        <v>10000</v>
      </c>
      <c r="AP255" s="46"/>
    </row>
    <row r="256" spans="1:42" x14ac:dyDescent="0.2">
      <c r="A256" s="14" t="s">
        <v>70</v>
      </c>
      <c r="B256" s="13" t="s">
        <v>69</v>
      </c>
      <c r="C256" s="45">
        <v>0</v>
      </c>
      <c r="D256" s="45">
        <v>0</v>
      </c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27">
        <f t="shared" si="47"/>
        <v>0</v>
      </c>
      <c r="AM256" s="27">
        <f t="shared" si="48"/>
        <v>0</v>
      </c>
      <c r="AN256" s="28"/>
      <c r="AO256" s="20"/>
      <c r="AP256" s="46"/>
    </row>
    <row r="257" spans="1:42" x14ac:dyDescent="0.2">
      <c r="A257" s="14" t="s">
        <v>68</v>
      </c>
      <c r="B257" s="13" t="s">
        <v>67</v>
      </c>
      <c r="C257" s="45">
        <v>0</v>
      </c>
      <c r="D257" s="45">
        <v>42</v>
      </c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27">
        <f t="shared" si="47"/>
        <v>0</v>
      </c>
      <c r="AM257" s="27">
        <f t="shared" si="48"/>
        <v>42</v>
      </c>
      <c r="AN257" s="28"/>
      <c r="AO257" s="20">
        <v>500</v>
      </c>
      <c r="AP257" s="46"/>
    </row>
    <row r="258" spans="1:42" x14ac:dyDescent="0.2">
      <c r="A258" s="14">
        <v>6012750</v>
      </c>
      <c r="B258" s="13" t="s">
        <v>375</v>
      </c>
      <c r="C258" s="45">
        <v>1796.28</v>
      </c>
      <c r="D258" s="45">
        <v>0</v>
      </c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27">
        <f t="shared" si="47"/>
        <v>1796.28</v>
      </c>
      <c r="AM258" s="27">
        <f t="shared" si="48"/>
        <v>0</v>
      </c>
      <c r="AN258" s="28"/>
      <c r="AO258" s="20">
        <v>0</v>
      </c>
      <c r="AP258" s="46"/>
    </row>
    <row r="259" spans="1:42" x14ac:dyDescent="0.2">
      <c r="A259" s="14" t="s">
        <v>66</v>
      </c>
      <c r="B259" s="13" t="s">
        <v>65</v>
      </c>
      <c r="C259" s="45">
        <v>0</v>
      </c>
      <c r="D259" s="45">
        <v>0</v>
      </c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27">
        <f t="shared" si="47"/>
        <v>0</v>
      </c>
      <c r="AM259" s="27">
        <f t="shared" si="48"/>
        <v>0</v>
      </c>
      <c r="AN259" s="28"/>
      <c r="AO259" s="20">
        <v>0</v>
      </c>
      <c r="AP259" s="46"/>
    </row>
    <row r="260" spans="1:42" x14ac:dyDescent="0.2">
      <c r="A260" s="14"/>
      <c r="B260" s="13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0"/>
      <c r="AP260" s="46"/>
    </row>
    <row r="261" spans="1:42" x14ac:dyDescent="0.2">
      <c r="A261" s="18"/>
      <c r="B261" s="17" t="s">
        <v>64</v>
      </c>
      <c r="C261" s="31">
        <f>SUM(C252:C259)</f>
        <v>3146.01</v>
      </c>
      <c r="D261" s="31">
        <f>SUM(D252:D259)</f>
        <v>8167</v>
      </c>
      <c r="E261" s="34"/>
      <c r="F261" s="31">
        <f>SUM(F252:F259)</f>
        <v>0</v>
      </c>
      <c r="G261" s="31">
        <f>SUM(G252:G259)</f>
        <v>0</v>
      </c>
      <c r="H261" s="34"/>
      <c r="I261" s="31">
        <f>SUM(I252:I259)</f>
        <v>0</v>
      </c>
      <c r="J261" s="31">
        <f>SUM(J252:J259)</f>
        <v>0</v>
      </c>
      <c r="K261" s="34"/>
      <c r="L261" s="31">
        <f>SUM(L252:L259)</f>
        <v>0</v>
      </c>
      <c r="M261" s="31">
        <f>SUM(M252:M259)</f>
        <v>0</v>
      </c>
      <c r="N261" s="34"/>
      <c r="O261" s="31">
        <f>SUM(O252:O259)</f>
        <v>0</v>
      </c>
      <c r="P261" s="31">
        <f>SUM(P252:P259)</f>
        <v>0</v>
      </c>
      <c r="Q261" s="34"/>
      <c r="R261" s="31">
        <f>SUM(R252:R259)</f>
        <v>0</v>
      </c>
      <c r="S261" s="31">
        <f>SUM(S252:S259)</f>
        <v>0</v>
      </c>
      <c r="T261" s="34"/>
      <c r="U261" s="31">
        <f>SUM(U252:U259)</f>
        <v>0</v>
      </c>
      <c r="V261" s="31">
        <f>SUM(V252:V259)</f>
        <v>0</v>
      </c>
      <c r="W261" s="34"/>
      <c r="X261" s="31">
        <f>SUM(X252:X259)</f>
        <v>0</v>
      </c>
      <c r="Y261" s="31">
        <f>SUM(Y252:Y259)</f>
        <v>0</v>
      </c>
      <c r="Z261" s="34"/>
      <c r="AA261" s="31">
        <f>SUM(AA252:AA259)</f>
        <v>0</v>
      </c>
      <c r="AB261" s="31">
        <f>SUM(AB252:AB259)</f>
        <v>0</v>
      </c>
      <c r="AC261" s="34"/>
      <c r="AD261" s="31">
        <f>SUM(AD252:AD259)</f>
        <v>0</v>
      </c>
      <c r="AE261" s="31">
        <f>SUM(AE252:AE259)</f>
        <v>0</v>
      </c>
      <c r="AF261" s="34"/>
      <c r="AG261" s="31">
        <f>SUM(AG252:AG259)</f>
        <v>0</v>
      </c>
      <c r="AH261" s="31">
        <f>SUM(AH252:AH259)</f>
        <v>0</v>
      </c>
      <c r="AI261" s="34"/>
      <c r="AJ261" s="31">
        <f>SUM(AJ252:AJ259)</f>
        <v>0</v>
      </c>
      <c r="AK261" s="31">
        <f>SUM(AK252:AK259)</f>
        <v>0</v>
      </c>
      <c r="AL261" s="40">
        <f>SUM(AL252:AL259)</f>
        <v>3146.01</v>
      </c>
      <c r="AM261" s="31">
        <f>SUM(AM252:AM259)</f>
        <v>8167</v>
      </c>
      <c r="AN261" s="34"/>
      <c r="AO261" s="31">
        <f>SUM(AO252:AO259)</f>
        <v>98000</v>
      </c>
      <c r="AP261" s="46"/>
    </row>
    <row r="262" spans="1:42" x14ac:dyDescent="0.2">
      <c r="A262" s="18"/>
      <c r="B262" s="17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2"/>
      <c r="AP262" s="46"/>
    </row>
    <row r="263" spans="1:42" x14ac:dyDescent="0.2">
      <c r="A263" s="14" t="s">
        <v>63</v>
      </c>
      <c r="B263" s="13" t="s">
        <v>41</v>
      </c>
      <c r="C263" s="45">
        <v>8611.75</v>
      </c>
      <c r="D263" s="45">
        <v>8368</v>
      </c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27">
        <f t="shared" ref="AL263:AL281" si="49">+C263+F263+I263+L263+O263+R263+U263+X263+AA263+AD263+AG263+AJ263</f>
        <v>8611.75</v>
      </c>
      <c r="AM263" s="27">
        <f t="shared" ref="AM263:AM281" si="50">+D263+G263+J263+M263+P263+S263+V263+Y263+AB263+AE263+AH263+AK263</f>
        <v>8368</v>
      </c>
      <c r="AN263" s="28"/>
      <c r="AO263" s="20">
        <v>108778</v>
      </c>
      <c r="AP263" s="46"/>
    </row>
    <row r="264" spans="1:42" x14ac:dyDescent="0.2">
      <c r="A264" s="14">
        <v>6040101</v>
      </c>
      <c r="B264" s="13" t="s">
        <v>388</v>
      </c>
      <c r="C264" s="45">
        <v>29.61</v>
      </c>
      <c r="D264" s="45">
        <v>0</v>
      </c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27">
        <f t="shared" ref="AL264" si="51">+C264+F264+I264+L264+O264+R264+U264+X264+AA264+AD264+AG264+AJ264</f>
        <v>29.61</v>
      </c>
      <c r="AM264" s="27">
        <f t="shared" ref="AM264" si="52">+D264+G264+J264+M264+P264+S264+V264+Y264+AB264+AE264+AH264+AK264</f>
        <v>0</v>
      </c>
      <c r="AN264" s="28"/>
      <c r="AO264" s="20">
        <v>0</v>
      </c>
      <c r="AP264" s="46"/>
    </row>
    <row r="265" spans="1:42" x14ac:dyDescent="0.2">
      <c r="A265" s="14" t="s">
        <v>62</v>
      </c>
      <c r="B265" s="13" t="s">
        <v>39</v>
      </c>
      <c r="C265" s="45">
        <v>624.42999999999995</v>
      </c>
      <c r="D265" s="45">
        <v>669</v>
      </c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27">
        <f t="shared" si="49"/>
        <v>624.42999999999995</v>
      </c>
      <c r="AM265" s="27">
        <f t="shared" si="50"/>
        <v>669</v>
      </c>
      <c r="AN265" s="28"/>
      <c r="AO265" s="20">
        <v>8702</v>
      </c>
      <c r="AP265" s="46"/>
    </row>
    <row r="266" spans="1:42" x14ac:dyDescent="0.2">
      <c r="A266" s="14" t="s">
        <v>61</v>
      </c>
      <c r="B266" s="13" t="s">
        <v>37</v>
      </c>
      <c r="C266" s="45">
        <v>6328.91</v>
      </c>
      <c r="D266" s="45">
        <v>6917</v>
      </c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27">
        <f t="shared" si="49"/>
        <v>6328.91</v>
      </c>
      <c r="AM266" s="27">
        <f t="shared" si="50"/>
        <v>6917</v>
      </c>
      <c r="AN266" s="28"/>
      <c r="AO266" s="20">
        <v>83004</v>
      </c>
      <c r="AP266" s="46"/>
    </row>
    <row r="267" spans="1:42" x14ac:dyDescent="0.2">
      <c r="A267" s="14" t="s">
        <v>60</v>
      </c>
      <c r="B267" s="13" t="s">
        <v>59</v>
      </c>
      <c r="C267" s="45">
        <v>132.01</v>
      </c>
      <c r="D267" s="45">
        <v>136</v>
      </c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27">
        <f t="shared" si="49"/>
        <v>132.01</v>
      </c>
      <c r="AM267" s="27">
        <f t="shared" si="50"/>
        <v>136</v>
      </c>
      <c r="AN267" s="28"/>
      <c r="AO267" s="20">
        <v>1766</v>
      </c>
      <c r="AP267" s="46"/>
    </row>
    <row r="268" spans="1:42" x14ac:dyDescent="0.2">
      <c r="A268" s="14" t="s">
        <v>58</v>
      </c>
      <c r="B268" s="13" t="s">
        <v>57</v>
      </c>
      <c r="C268" s="45">
        <v>0</v>
      </c>
      <c r="D268" s="45">
        <v>500</v>
      </c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27">
        <f t="shared" si="49"/>
        <v>0</v>
      </c>
      <c r="AM268" s="27">
        <f t="shared" si="50"/>
        <v>500</v>
      </c>
      <c r="AN268" s="28"/>
      <c r="AO268" s="20">
        <v>1000</v>
      </c>
      <c r="AP268" s="46"/>
    </row>
    <row r="269" spans="1:42" x14ac:dyDescent="0.2">
      <c r="A269" s="14" t="s">
        <v>56</v>
      </c>
      <c r="B269" s="13" t="s">
        <v>35</v>
      </c>
      <c r="C269" s="45">
        <v>247.7</v>
      </c>
      <c r="D269" s="45">
        <v>258</v>
      </c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7">
        <f t="shared" si="49"/>
        <v>247.7</v>
      </c>
      <c r="AM269" s="27">
        <f t="shared" si="50"/>
        <v>258</v>
      </c>
      <c r="AN269" s="28"/>
      <c r="AO269" s="20">
        <v>3350</v>
      </c>
      <c r="AP269" s="47"/>
    </row>
    <row r="270" spans="1:42" x14ac:dyDescent="0.2">
      <c r="A270" s="14">
        <v>6040300</v>
      </c>
      <c r="B270" s="13" t="s">
        <v>34</v>
      </c>
      <c r="C270" s="45">
        <v>384.25</v>
      </c>
      <c r="D270" s="45">
        <v>0</v>
      </c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27">
        <f t="shared" si="49"/>
        <v>384.25</v>
      </c>
      <c r="AM270" s="27">
        <f t="shared" si="50"/>
        <v>0</v>
      </c>
      <c r="AN270" s="28"/>
      <c r="AO270" s="20">
        <v>10000</v>
      </c>
      <c r="AP270" s="46"/>
    </row>
    <row r="271" spans="1:42" x14ac:dyDescent="0.2">
      <c r="A271" s="14">
        <v>6040310</v>
      </c>
      <c r="B271" s="13" t="s">
        <v>33</v>
      </c>
      <c r="C271" s="45">
        <v>29.44</v>
      </c>
      <c r="D271" s="45">
        <v>0</v>
      </c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27">
        <f t="shared" si="49"/>
        <v>29.44</v>
      </c>
      <c r="AM271" s="27">
        <f t="shared" si="50"/>
        <v>0</v>
      </c>
      <c r="AN271" s="28"/>
      <c r="AO271" s="20">
        <v>1000</v>
      </c>
      <c r="AP271" s="46"/>
    </row>
    <row r="272" spans="1:42" x14ac:dyDescent="0.2">
      <c r="A272" s="14">
        <v>6040350</v>
      </c>
      <c r="B272" s="13" t="s">
        <v>31</v>
      </c>
      <c r="C272" s="45">
        <v>13.44</v>
      </c>
      <c r="D272" s="45">
        <v>24</v>
      </c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27">
        <f t="shared" si="49"/>
        <v>13.44</v>
      </c>
      <c r="AM272" s="27">
        <f t="shared" si="50"/>
        <v>24</v>
      </c>
      <c r="AN272" s="28"/>
      <c r="AO272" s="20">
        <v>308</v>
      </c>
      <c r="AP272" s="46"/>
    </row>
    <row r="273" spans="1:42" x14ac:dyDescent="0.2">
      <c r="A273" s="14" t="s">
        <v>55</v>
      </c>
      <c r="B273" s="13" t="s">
        <v>29</v>
      </c>
      <c r="C273" s="45">
        <v>359.47</v>
      </c>
      <c r="D273" s="45">
        <v>250</v>
      </c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27">
        <f t="shared" si="49"/>
        <v>359.47</v>
      </c>
      <c r="AM273" s="27">
        <f t="shared" si="50"/>
        <v>250</v>
      </c>
      <c r="AN273" s="28"/>
      <c r="AO273" s="20">
        <v>3000</v>
      </c>
      <c r="AP273" s="46"/>
    </row>
    <row r="274" spans="1:42" x14ac:dyDescent="0.2">
      <c r="A274" s="14" t="s">
        <v>54</v>
      </c>
      <c r="B274" s="13" t="s">
        <v>25</v>
      </c>
      <c r="C274" s="45">
        <v>0</v>
      </c>
      <c r="D274" s="45">
        <v>125</v>
      </c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27">
        <f t="shared" si="49"/>
        <v>0</v>
      </c>
      <c r="AM274" s="27">
        <f t="shared" si="50"/>
        <v>125</v>
      </c>
      <c r="AN274" s="28"/>
      <c r="AO274" s="20">
        <v>1500</v>
      </c>
      <c r="AP274" s="46"/>
    </row>
    <row r="275" spans="1:42" x14ac:dyDescent="0.2">
      <c r="A275" s="14" t="s">
        <v>53</v>
      </c>
      <c r="B275" s="13" t="s">
        <v>23</v>
      </c>
      <c r="C275" s="45">
        <v>509.25</v>
      </c>
      <c r="D275" s="45">
        <v>667</v>
      </c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27">
        <f t="shared" si="49"/>
        <v>509.25</v>
      </c>
      <c r="AM275" s="27">
        <f t="shared" si="50"/>
        <v>667</v>
      </c>
      <c r="AN275" s="28"/>
      <c r="AO275" s="20">
        <v>8000</v>
      </c>
      <c r="AP275" s="46"/>
    </row>
    <row r="276" spans="1:42" x14ac:dyDescent="0.2">
      <c r="A276" s="14" t="s">
        <v>52</v>
      </c>
      <c r="B276" s="13" t="s">
        <v>51</v>
      </c>
      <c r="C276" s="45">
        <v>0</v>
      </c>
      <c r="D276" s="45">
        <v>42</v>
      </c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27">
        <f t="shared" si="49"/>
        <v>0</v>
      </c>
      <c r="AM276" s="27">
        <f t="shared" si="50"/>
        <v>42</v>
      </c>
      <c r="AN276" s="28"/>
      <c r="AO276" s="20">
        <v>500</v>
      </c>
      <c r="AP276" s="46"/>
    </row>
    <row r="277" spans="1:42" x14ac:dyDescent="0.2">
      <c r="A277" s="14" t="s">
        <v>50</v>
      </c>
      <c r="B277" s="13" t="s">
        <v>13</v>
      </c>
      <c r="C277" s="45">
        <v>47.78</v>
      </c>
      <c r="D277" s="45">
        <v>417</v>
      </c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27">
        <f t="shared" si="49"/>
        <v>47.78</v>
      </c>
      <c r="AM277" s="27">
        <f t="shared" si="50"/>
        <v>417</v>
      </c>
      <c r="AN277" s="28"/>
      <c r="AO277" s="20">
        <v>5000</v>
      </c>
      <c r="AP277" s="46"/>
    </row>
    <row r="278" spans="1:42" x14ac:dyDescent="0.2">
      <c r="A278" s="14" t="s">
        <v>49</v>
      </c>
      <c r="B278" s="13" t="s">
        <v>9</v>
      </c>
      <c r="C278" s="45">
        <v>0</v>
      </c>
      <c r="D278" s="45">
        <v>13</v>
      </c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27">
        <f t="shared" si="49"/>
        <v>0</v>
      </c>
      <c r="AM278" s="27">
        <f t="shared" si="50"/>
        <v>13</v>
      </c>
      <c r="AN278" s="28"/>
      <c r="AO278" s="20">
        <v>150</v>
      </c>
      <c r="AP278" s="46"/>
    </row>
    <row r="279" spans="1:42" x14ac:dyDescent="0.2">
      <c r="A279" s="14" t="s">
        <v>48</v>
      </c>
      <c r="B279" s="13" t="s">
        <v>6</v>
      </c>
      <c r="C279" s="45">
        <v>0</v>
      </c>
      <c r="D279" s="45">
        <v>208</v>
      </c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27">
        <f t="shared" si="49"/>
        <v>0</v>
      </c>
      <c r="AM279" s="27">
        <f t="shared" si="50"/>
        <v>208</v>
      </c>
      <c r="AN279" s="28"/>
      <c r="AO279" s="20">
        <v>2500</v>
      </c>
      <c r="AP279" s="46"/>
    </row>
    <row r="280" spans="1:42" x14ac:dyDescent="0.2">
      <c r="A280" s="14">
        <v>6042000</v>
      </c>
      <c r="B280" s="13" t="s">
        <v>47</v>
      </c>
      <c r="C280" s="45">
        <v>0</v>
      </c>
      <c r="D280" s="45">
        <v>417</v>
      </c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27">
        <f t="shared" si="49"/>
        <v>0</v>
      </c>
      <c r="AM280" s="27">
        <f t="shared" si="50"/>
        <v>417</v>
      </c>
      <c r="AN280" s="28"/>
      <c r="AO280" s="20">
        <v>5000</v>
      </c>
      <c r="AP280" s="46"/>
    </row>
    <row r="281" spans="1:42" x14ac:dyDescent="0.2">
      <c r="A281" s="14">
        <v>6042050</v>
      </c>
      <c r="B281" s="13" t="s">
        <v>377</v>
      </c>
      <c r="C281" s="45">
        <v>0</v>
      </c>
      <c r="D281" s="45">
        <v>0</v>
      </c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27">
        <f t="shared" si="49"/>
        <v>0</v>
      </c>
      <c r="AM281" s="27">
        <f t="shared" si="50"/>
        <v>0</v>
      </c>
      <c r="AN281" s="28"/>
      <c r="AO281" s="20">
        <v>0</v>
      </c>
      <c r="AP281" s="46"/>
    </row>
    <row r="282" spans="1:42" x14ac:dyDescent="0.2">
      <c r="A282" s="14"/>
      <c r="B282" s="13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0"/>
      <c r="AP282" s="46"/>
    </row>
    <row r="283" spans="1:42" x14ac:dyDescent="0.2">
      <c r="A283" s="18"/>
      <c r="B283" s="17" t="s">
        <v>46</v>
      </c>
      <c r="C283" s="31">
        <f>SUM(C263:C281)</f>
        <v>17318.04</v>
      </c>
      <c r="D283" s="31">
        <f>SUM(D263:D281)</f>
        <v>19011</v>
      </c>
      <c r="E283" s="34"/>
      <c r="F283" s="31">
        <f>SUM(F263:F280)</f>
        <v>0</v>
      </c>
      <c r="G283" s="31">
        <f>SUM(G263:G280)</f>
        <v>0</v>
      </c>
      <c r="H283" s="34"/>
      <c r="I283" s="31">
        <f>SUM(I263:I280)</f>
        <v>0</v>
      </c>
      <c r="J283" s="31">
        <f>SUM(J263:J280)</f>
        <v>0</v>
      </c>
      <c r="K283" s="34"/>
      <c r="L283" s="31">
        <f>SUM(L263:L280)</f>
        <v>0</v>
      </c>
      <c r="M283" s="31">
        <f>SUM(M263:M280)</f>
        <v>0</v>
      </c>
      <c r="N283" s="34"/>
      <c r="O283" s="31">
        <f>SUM(O263:O280)</f>
        <v>0</v>
      </c>
      <c r="P283" s="31">
        <f>SUM(P263:P280)</f>
        <v>0</v>
      </c>
      <c r="Q283" s="34"/>
      <c r="R283" s="31">
        <f>SUM(R263:R281)</f>
        <v>0</v>
      </c>
      <c r="S283" s="31">
        <f>SUM(S263:S281)</f>
        <v>0</v>
      </c>
      <c r="T283" s="34"/>
      <c r="U283" s="31">
        <f>SUM(U263:U281)</f>
        <v>0</v>
      </c>
      <c r="V283" s="31">
        <f>SUM(V263:V281)</f>
        <v>0</v>
      </c>
      <c r="W283" s="34"/>
      <c r="X283" s="31">
        <f>SUM(X263:X281)</f>
        <v>0</v>
      </c>
      <c r="Y283" s="31">
        <f>SUM(Y263:Y281)</f>
        <v>0</v>
      </c>
      <c r="Z283" s="34"/>
      <c r="AA283" s="31">
        <f>SUM(AA263:AA281)</f>
        <v>0</v>
      </c>
      <c r="AB283" s="31">
        <f>SUM(AB263:AB281)</f>
        <v>0</v>
      </c>
      <c r="AC283" s="34"/>
      <c r="AD283" s="31">
        <f>SUM(AD263:AD281)</f>
        <v>0</v>
      </c>
      <c r="AE283" s="31">
        <f>SUM(AE263:AE281)</f>
        <v>0</v>
      </c>
      <c r="AF283" s="34"/>
      <c r="AG283" s="31">
        <f>SUM(AG263:AG281)</f>
        <v>0</v>
      </c>
      <c r="AH283" s="31">
        <f>SUM(AH263:AH281)</f>
        <v>0</v>
      </c>
      <c r="AI283" s="34"/>
      <c r="AJ283" s="31">
        <f>SUM(AJ263:AJ281)</f>
        <v>0</v>
      </c>
      <c r="AK283" s="31">
        <f>SUM(AK263:AK281)</f>
        <v>0</v>
      </c>
      <c r="AL283" s="31">
        <f>SUM(AL263:AL281)</f>
        <v>17318.04</v>
      </c>
      <c r="AM283" s="31">
        <f>SUM(AM263:AM281)</f>
        <v>19011</v>
      </c>
      <c r="AN283" s="34"/>
      <c r="AO283" s="31">
        <f>SUM(AO263:AO281)</f>
        <v>243558</v>
      </c>
      <c r="AP283" s="46"/>
    </row>
    <row r="284" spans="1:42" x14ac:dyDescent="0.2">
      <c r="A284" s="12"/>
      <c r="B284" s="11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46"/>
    </row>
    <row r="285" spans="1:42" x14ac:dyDescent="0.2">
      <c r="A285" s="9" t="s">
        <v>4</v>
      </c>
      <c r="B285" s="8" t="s">
        <v>45</v>
      </c>
      <c r="C285" s="29">
        <f>C283+C261</f>
        <v>20464.050000000003</v>
      </c>
      <c r="D285" s="29">
        <f>D283+D261</f>
        <v>27178</v>
      </c>
      <c r="E285" s="34"/>
      <c r="F285" s="29">
        <f>F283+F261</f>
        <v>0</v>
      </c>
      <c r="G285" s="29">
        <f>G283+G261</f>
        <v>0</v>
      </c>
      <c r="H285" s="34"/>
      <c r="I285" s="29">
        <f>I283+I261</f>
        <v>0</v>
      </c>
      <c r="J285" s="29">
        <f>J283+J261</f>
        <v>0</v>
      </c>
      <c r="K285" s="34"/>
      <c r="L285" s="29">
        <f>L283+L261</f>
        <v>0</v>
      </c>
      <c r="M285" s="29">
        <f>M283+M261</f>
        <v>0</v>
      </c>
      <c r="N285" s="34"/>
      <c r="O285" s="29">
        <f>O283+O261</f>
        <v>0</v>
      </c>
      <c r="P285" s="29">
        <f>P283+P261</f>
        <v>0</v>
      </c>
      <c r="Q285" s="34"/>
      <c r="R285" s="29">
        <f>R283+R261</f>
        <v>0</v>
      </c>
      <c r="S285" s="29">
        <f>S283+S261</f>
        <v>0</v>
      </c>
      <c r="T285" s="34"/>
      <c r="U285" s="29">
        <f>U283+U261</f>
        <v>0</v>
      </c>
      <c r="V285" s="29">
        <f>V283+V261</f>
        <v>0</v>
      </c>
      <c r="W285" s="34"/>
      <c r="X285" s="29">
        <f>X283+X261</f>
        <v>0</v>
      </c>
      <c r="Y285" s="29">
        <f>Y283+Y261</f>
        <v>0</v>
      </c>
      <c r="Z285" s="34"/>
      <c r="AA285" s="29">
        <f>AA283+AA261</f>
        <v>0</v>
      </c>
      <c r="AB285" s="29">
        <f>AB283+AB261</f>
        <v>0</v>
      </c>
      <c r="AC285" s="34"/>
      <c r="AD285" s="29">
        <f>AD283+AD261</f>
        <v>0</v>
      </c>
      <c r="AE285" s="29">
        <f>AE283+AE261</f>
        <v>0</v>
      </c>
      <c r="AF285" s="34"/>
      <c r="AG285" s="29">
        <f>AG283+AG261</f>
        <v>0</v>
      </c>
      <c r="AH285" s="29">
        <f>AH283+AH261</f>
        <v>0</v>
      </c>
      <c r="AI285" s="34"/>
      <c r="AJ285" s="29">
        <f>AJ283+AJ261</f>
        <v>0</v>
      </c>
      <c r="AK285" s="29">
        <f>AK283+AK261</f>
        <v>0</v>
      </c>
      <c r="AL285" s="29">
        <f>AL283+AL261</f>
        <v>20464.050000000003</v>
      </c>
      <c r="AM285" s="29">
        <f>AM283+AM261</f>
        <v>27178</v>
      </c>
      <c r="AN285" s="34"/>
      <c r="AO285" s="29">
        <f>AO283+AO261</f>
        <v>341558</v>
      </c>
      <c r="AP285" s="46"/>
    </row>
    <row r="286" spans="1:42" x14ac:dyDescent="0.2"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50"/>
      <c r="AH286" s="50"/>
      <c r="AI286" s="50"/>
      <c r="AJ286" s="50"/>
      <c r="AK286" s="50"/>
      <c r="AL286" s="50"/>
      <c r="AM286" s="50"/>
      <c r="AN286" s="50"/>
      <c r="AO286" s="50"/>
      <c r="AP286" s="46"/>
    </row>
    <row r="287" spans="1:42" x14ac:dyDescent="0.2">
      <c r="A287" s="16" t="s">
        <v>44</v>
      </c>
      <c r="B287" s="15" t="s">
        <v>43</v>
      </c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51"/>
      <c r="AH287" s="51"/>
      <c r="AI287" s="51"/>
      <c r="AJ287" s="51"/>
      <c r="AK287" s="51"/>
      <c r="AL287" s="51"/>
      <c r="AM287" s="51"/>
      <c r="AN287" s="51"/>
      <c r="AO287" s="50"/>
      <c r="AP287" s="46"/>
    </row>
    <row r="288" spans="1:42" x14ac:dyDescent="0.2">
      <c r="A288" s="14" t="s">
        <v>42</v>
      </c>
      <c r="B288" s="13" t="s">
        <v>41</v>
      </c>
      <c r="C288" s="28">
        <v>1980.77</v>
      </c>
      <c r="D288" s="28">
        <v>2167</v>
      </c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7">
        <f t="shared" ref="AL288:AL313" si="53">+C288+F288+I288+L288+O288+R288+U288+X288+AA288+AD288+AG288+AJ288</f>
        <v>1980.77</v>
      </c>
      <c r="AM288" s="27">
        <f t="shared" ref="AM288:AM313" si="54">+D288+G288+J288+M288+P288+S288+V288+Y288+AB288+AE288+AH288+AK288</f>
        <v>2167</v>
      </c>
      <c r="AN288" s="28"/>
      <c r="AO288" s="20">
        <v>26000</v>
      </c>
      <c r="AP288" s="46"/>
    </row>
    <row r="289" spans="1:42" x14ac:dyDescent="0.2">
      <c r="A289" s="14" t="s">
        <v>40</v>
      </c>
      <c r="B289" s="13" t="s">
        <v>39</v>
      </c>
      <c r="C289" s="28">
        <v>151.77000000000001</v>
      </c>
      <c r="D289" s="28">
        <v>160</v>
      </c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7">
        <f t="shared" si="53"/>
        <v>151.77000000000001</v>
      </c>
      <c r="AM289" s="27">
        <f t="shared" si="54"/>
        <v>160</v>
      </c>
      <c r="AN289" s="28"/>
      <c r="AO289" s="20">
        <v>2080</v>
      </c>
      <c r="AP289" s="46"/>
    </row>
    <row r="290" spans="1:42" x14ac:dyDescent="0.2">
      <c r="A290" s="14" t="s">
        <v>38</v>
      </c>
      <c r="B290" s="13" t="s">
        <v>37</v>
      </c>
      <c r="C290" s="28">
        <v>58.7</v>
      </c>
      <c r="D290" s="28">
        <v>59</v>
      </c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si="53"/>
        <v>58.7</v>
      </c>
      <c r="AM290" s="27">
        <f t="shared" si="54"/>
        <v>59</v>
      </c>
      <c r="AN290" s="28"/>
      <c r="AO290" s="20">
        <v>704</v>
      </c>
      <c r="AP290" s="46"/>
    </row>
    <row r="291" spans="1:42" x14ac:dyDescent="0.2">
      <c r="A291" s="14" t="s">
        <v>36</v>
      </c>
      <c r="B291" s="13" t="s">
        <v>35</v>
      </c>
      <c r="C291" s="28">
        <v>62.7</v>
      </c>
      <c r="D291" s="28">
        <v>62</v>
      </c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53"/>
        <v>62.7</v>
      </c>
      <c r="AM291" s="27">
        <f t="shared" si="54"/>
        <v>62</v>
      </c>
      <c r="AN291" s="28"/>
      <c r="AO291" s="20">
        <v>801</v>
      </c>
      <c r="AP291" s="47"/>
    </row>
    <row r="292" spans="1:42" x14ac:dyDescent="0.2">
      <c r="A292" s="14">
        <v>6080300</v>
      </c>
      <c r="B292" s="13" t="s">
        <v>34</v>
      </c>
      <c r="C292" s="28">
        <v>0</v>
      </c>
      <c r="D292" s="28">
        <v>0</v>
      </c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ref="AL292:AL293" si="55">+C292+F292+I292+L292+O292+R292+U292+X292+AA292+AD292+AG292+AJ292</f>
        <v>0</v>
      </c>
      <c r="AM292" s="27">
        <f t="shared" ref="AM292:AM293" si="56">+D292+G292+J292+M292+P292+S292+V292+Y292+AB292+AE292+AH292+AK292</f>
        <v>0</v>
      </c>
      <c r="AN292" s="28"/>
      <c r="AO292" s="20">
        <v>445435</v>
      </c>
      <c r="AP292" s="46"/>
    </row>
    <row r="293" spans="1:42" x14ac:dyDescent="0.2">
      <c r="A293" s="14">
        <v>6080301</v>
      </c>
      <c r="B293" s="13" t="s">
        <v>389</v>
      </c>
      <c r="C293" s="28">
        <v>0</v>
      </c>
      <c r="D293" s="28">
        <v>0</v>
      </c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55"/>
        <v>0</v>
      </c>
      <c r="AM293" s="27">
        <f t="shared" si="56"/>
        <v>0</v>
      </c>
      <c r="AN293" s="28"/>
      <c r="AO293" s="20">
        <v>0</v>
      </c>
      <c r="AP293" s="46"/>
    </row>
    <row r="294" spans="1:42" x14ac:dyDescent="0.2">
      <c r="A294" s="14">
        <v>6080310</v>
      </c>
      <c r="B294" s="13" t="s">
        <v>33</v>
      </c>
      <c r="C294" s="28">
        <v>0</v>
      </c>
      <c r="D294" s="28">
        <v>0</v>
      </c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si="53"/>
        <v>0</v>
      </c>
      <c r="AM294" s="27">
        <f t="shared" si="54"/>
        <v>0</v>
      </c>
      <c r="AN294" s="28"/>
      <c r="AO294" s="20">
        <v>40090</v>
      </c>
      <c r="AP294" s="46"/>
    </row>
    <row r="295" spans="1:42" x14ac:dyDescent="0.2">
      <c r="A295" s="14">
        <v>6080350</v>
      </c>
      <c r="B295" s="13" t="s">
        <v>32</v>
      </c>
      <c r="C295" s="28">
        <v>0</v>
      </c>
      <c r="D295" s="28">
        <v>5000</v>
      </c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53"/>
        <v>0</v>
      </c>
      <c r="AM295" s="27">
        <f t="shared" si="54"/>
        <v>5000</v>
      </c>
      <c r="AN295" s="28"/>
      <c r="AO295" s="20">
        <v>10000</v>
      </c>
      <c r="AP295" s="46"/>
    </row>
    <row r="296" spans="1:42" x14ac:dyDescent="0.2">
      <c r="A296" s="14">
        <v>6080360</v>
      </c>
      <c r="B296" s="13" t="s">
        <v>31</v>
      </c>
      <c r="C296" s="28">
        <v>1008.16</v>
      </c>
      <c r="D296" s="28">
        <v>1055</v>
      </c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53"/>
        <v>1008.16</v>
      </c>
      <c r="AM296" s="27">
        <f t="shared" si="54"/>
        <v>1055</v>
      </c>
      <c r="AN296" s="28"/>
      <c r="AO296" s="20">
        <v>13720</v>
      </c>
      <c r="AP296" s="47"/>
    </row>
    <row r="297" spans="1:42" x14ac:dyDescent="0.2">
      <c r="A297" s="14" t="s">
        <v>30</v>
      </c>
      <c r="B297" s="13" t="s">
        <v>29</v>
      </c>
      <c r="C297" s="28">
        <v>410.02</v>
      </c>
      <c r="D297" s="28">
        <v>666</v>
      </c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53"/>
        <v>410.02</v>
      </c>
      <c r="AM297" s="27">
        <f t="shared" si="54"/>
        <v>666</v>
      </c>
      <c r="AN297" s="28"/>
      <c r="AO297" s="20">
        <v>8000</v>
      </c>
      <c r="AP297" s="46"/>
    </row>
    <row r="298" spans="1:42" x14ac:dyDescent="0.2">
      <c r="A298" s="14" t="s">
        <v>28</v>
      </c>
      <c r="B298" s="13" t="s">
        <v>27</v>
      </c>
      <c r="C298" s="28">
        <v>325</v>
      </c>
      <c r="D298" s="28">
        <v>317</v>
      </c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53"/>
        <v>325</v>
      </c>
      <c r="AM298" s="27">
        <f t="shared" si="54"/>
        <v>317</v>
      </c>
      <c r="AN298" s="28"/>
      <c r="AO298" s="20">
        <v>3800</v>
      </c>
      <c r="AP298" s="46"/>
    </row>
    <row r="299" spans="1:42" x14ac:dyDescent="0.2">
      <c r="A299" s="14">
        <v>6080520</v>
      </c>
      <c r="B299" s="13" t="s">
        <v>101</v>
      </c>
      <c r="C299" s="28">
        <v>0</v>
      </c>
      <c r="D299" s="28">
        <v>0</v>
      </c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53"/>
        <v>0</v>
      </c>
      <c r="AM299" s="27">
        <f t="shared" si="54"/>
        <v>0</v>
      </c>
      <c r="AN299" s="28"/>
      <c r="AO299" s="20">
        <v>500</v>
      </c>
      <c r="AP299" s="46"/>
    </row>
    <row r="300" spans="1:42" x14ac:dyDescent="0.2">
      <c r="A300" s="14" t="s">
        <v>26</v>
      </c>
      <c r="B300" s="13" t="s">
        <v>25</v>
      </c>
      <c r="C300" s="28">
        <v>0</v>
      </c>
      <c r="D300" s="28">
        <v>125</v>
      </c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53"/>
        <v>0</v>
      </c>
      <c r="AM300" s="27">
        <f t="shared" si="54"/>
        <v>125</v>
      </c>
      <c r="AN300" s="28"/>
      <c r="AO300" s="20">
        <v>1500</v>
      </c>
      <c r="AP300" s="46"/>
    </row>
    <row r="301" spans="1:42" x14ac:dyDescent="0.2">
      <c r="A301" s="14" t="s">
        <v>24</v>
      </c>
      <c r="B301" s="13" t="s">
        <v>23</v>
      </c>
      <c r="C301" s="28">
        <v>0</v>
      </c>
      <c r="D301" s="28">
        <v>0</v>
      </c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3"/>
        <v>0</v>
      </c>
      <c r="AM301" s="27">
        <f t="shared" si="54"/>
        <v>0</v>
      </c>
      <c r="AN301" s="28"/>
      <c r="AO301" s="20">
        <v>1000</v>
      </c>
      <c r="AP301" s="46"/>
    </row>
    <row r="302" spans="1:42" x14ac:dyDescent="0.2">
      <c r="A302" s="14" t="s">
        <v>22</v>
      </c>
      <c r="B302" s="13" t="s">
        <v>21</v>
      </c>
      <c r="C302" s="28">
        <v>0</v>
      </c>
      <c r="D302" s="28">
        <v>500</v>
      </c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53"/>
        <v>0</v>
      </c>
      <c r="AM302" s="27">
        <f t="shared" si="54"/>
        <v>500</v>
      </c>
      <c r="AN302" s="28"/>
      <c r="AO302" s="20">
        <v>1000</v>
      </c>
      <c r="AP302" s="46"/>
    </row>
    <row r="303" spans="1:42" x14ac:dyDescent="0.2">
      <c r="A303" s="14" t="s">
        <v>20</v>
      </c>
      <c r="B303" s="13" t="s">
        <v>19</v>
      </c>
      <c r="C303" s="28">
        <v>121.92</v>
      </c>
      <c r="D303" s="28">
        <v>84</v>
      </c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3"/>
        <v>121.92</v>
      </c>
      <c r="AM303" s="27">
        <f t="shared" si="54"/>
        <v>84</v>
      </c>
      <c r="AN303" s="28"/>
      <c r="AO303" s="20">
        <v>1000</v>
      </c>
      <c r="AP303" s="46"/>
    </row>
    <row r="304" spans="1:42" x14ac:dyDescent="0.2">
      <c r="A304" s="14" t="s">
        <v>18</v>
      </c>
      <c r="B304" s="13" t="s">
        <v>17</v>
      </c>
      <c r="C304" s="28">
        <v>0</v>
      </c>
      <c r="D304" s="28">
        <v>0</v>
      </c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53"/>
        <v>0</v>
      </c>
      <c r="AM304" s="27">
        <f t="shared" si="54"/>
        <v>0</v>
      </c>
      <c r="AN304" s="28"/>
      <c r="AO304" s="20">
        <v>500</v>
      </c>
      <c r="AP304" s="46"/>
    </row>
    <row r="305" spans="1:42" x14ac:dyDescent="0.2">
      <c r="A305" s="14" t="s">
        <v>16</v>
      </c>
      <c r="B305" s="13" t="s">
        <v>15</v>
      </c>
      <c r="C305" s="28">
        <v>180</v>
      </c>
      <c r="D305" s="28">
        <v>0</v>
      </c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53"/>
        <v>180</v>
      </c>
      <c r="AM305" s="27">
        <f t="shared" si="54"/>
        <v>0</v>
      </c>
      <c r="AN305" s="28"/>
      <c r="AO305" s="20">
        <v>10000</v>
      </c>
      <c r="AP305" s="46"/>
    </row>
    <row r="306" spans="1:42" x14ac:dyDescent="0.2">
      <c r="A306" s="14" t="s">
        <v>14</v>
      </c>
      <c r="B306" s="13" t="s">
        <v>13</v>
      </c>
      <c r="C306" s="28">
        <v>0</v>
      </c>
      <c r="D306" s="28">
        <v>1250</v>
      </c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53"/>
        <v>0</v>
      </c>
      <c r="AM306" s="27">
        <f t="shared" si="54"/>
        <v>1250</v>
      </c>
      <c r="AN306" s="28"/>
      <c r="AO306" s="20">
        <v>5000</v>
      </c>
      <c r="AP306" s="46"/>
    </row>
    <row r="307" spans="1:42" x14ac:dyDescent="0.2">
      <c r="A307" s="14" t="s">
        <v>12</v>
      </c>
      <c r="B307" s="13" t="s">
        <v>11</v>
      </c>
      <c r="C307" s="28">
        <v>0</v>
      </c>
      <c r="D307" s="28">
        <v>0</v>
      </c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53"/>
        <v>0</v>
      </c>
      <c r="AM307" s="27">
        <f t="shared" si="54"/>
        <v>0</v>
      </c>
      <c r="AN307" s="28"/>
      <c r="AO307" s="20">
        <v>1500</v>
      </c>
      <c r="AP307" s="46"/>
    </row>
    <row r="308" spans="1:42" x14ac:dyDescent="0.2">
      <c r="A308" s="14" t="s">
        <v>10</v>
      </c>
      <c r="B308" s="13" t="s">
        <v>9</v>
      </c>
      <c r="C308" s="28">
        <v>0</v>
      </c>
      <c r="D308" s="28">
        <v>0</v>
      </c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53"/>
        <v>0</v>
      </c>
      <c r="AM308" s="27">
        <f t="shared" si="54"/>
        <v>0</v>
      </c>
      <c r="AN308" s="28"/>
      <c r="AO308" s="20">
        <v>500</v>
      </c>
      <c r="AP308" s="46"/>
    </row>
    <row r="309" spans="1:42" x14ac:dyDescent="0.2">
      <c r="A309" s="14" t="s">
        <v>372</v>
      </c>
      <c r="B309" s="13" t="s">
        <v>8</v>
      </c>
      <c r="C309" s="28">
        <v>0</v>
      </c>
      <c r="D309" s="28">
        <v>0</v>
      </c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45"/>
      <c r="AB309" s="28"/>
      <c r="AC309" s="28"/>
      <c r="AD309" s="45"/>
      <c r="AE309" s="28"/>
      <c r="AF309" s="28"/>
      <c r="AG309" s="45"/>
      <c r="AH309" s="28"/>
      <c r="AI309" s="28"/>
      <c r="AJ309" s="45"/>
      <c r="AK309" s="28"/>
      <c r="AL309" s="27">
        <f t="shared" si="53"/>
        <v>0</v>
      </c>
      <c r="AM309" s="27">
        <f t="shared" si="54"/>
        <v>0</v>
      </c>
      <c r="AN309" s="28"/>
      <c r="AO309" s="20">
        <v>0</v>
      </c>
      <c r="AP309" s="46"/>
    </row>
    <row r="310" spans="1:42" x14ac:dyDescent="0.2">
      <c r="A310" s="14" t="s">
        <v>7</v>
      </c>
      <c r="B310" s="13" t="s">
        <v>6</v>
      </c>
      <c r="C310" s="28">
        <v>0</v>
      </c>
      <c r="D310" s="28">
        <v>1250</v>
      </c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53"/>
        <v>0</v>
      </c>
      <c r="AM310" s="27">
        <f t="shared" si="54"/>
        <v>1250</v>
      </c>
      <c r="AN310" s="28"/>
      <c r="AO310" s="20">
        <v>2500</v>
      </c>
      <c r="AP310" s="46"/>
    </row>
    <row r="311" spans="1:42" x14ac:dyDescent="0.2">
      <c r="A311" s="14">
        <v>6081950</v>
      </c>
      <c r="B311" s="13" t="s">
        <v>83</v>
      </c>
      <c r="C311" s="28">
        <v>355.63</v>
      </c>
      <c r="D311" s="28">
        <v>0</v>
      </c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7">
        <f t="shared" ref="AL311" si="57">+C311+F311+I311+L311+O311+R311+U311+X311+AA311+AD311+AG311+AJ311</f>
        <v>355.63</v>
      </c>
      <c r="AM311" s="27">
        <f t="shared" ref="AM311" si="58">+D311+G311+J311+M311+P311+S311+V311+Y311+AB311+AE311+AH311+AK311</f>
        <v>0</v>
      </c>
      <c r="AN311" s="28"/>
      <c r="AO311" s="20">
        <v>0</v>
      </c>
      <c r="AP311" s="46"/>
    </row>
    <row r="312" spans="1:42" x14ac:dyDescent="0.2">
      <c r="A312" s="14">
        <v>6082000</v>
      </c>
      <c r="B312" s="13" t="s">
        <v>5</v>
      </c>
      <c r="C312" s="28">
        <v>0</v>
      </c>
      <c r="D312" s="28">
        <v>0</v>
      </c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53"/>
        <v>0</v>
      </c>
      <c r="AM312" s="27">
        <f t="shared" si="54"/>
        <v>0</v>
      </c>
      <c r="AN312" s="28"/>
      <c r="AO312" s="20">
        <v>0</v>
      </c>
      <c r="AP312" s="46"/>
    </row>
    <row r="313" spans="1:42" x14ac:dyDescent="0.2">
      <c r="A313" s="14">
        <v>6082050</v>
      </c>
      <c r="B313" s="13" t="s">
        <v>377</v>
      </c>
      <c r="C313" s="28">
        <v>12498</v>
      </c>
      <c r="D313" s="28">
        <v>0</v>
      </c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si="53"/>
        <v>12498</v>
      </c>
      <c r="AM313" s="27">
        <f t="shared" si="54"/>
        <v>0</v>
      </c>
      <c r="AN313" s="28"/>
      <c r="AO313" s="20">
        <v>0</v>
      </c>
      <c r="AP313" s="46"/>
    </row>
    <row r="314" spans="1:42" x14ac:dyDescent="0.2">
      <c r="A314" s="12"/>
      <c r="B314" s="11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46"/>
    </row>
    <row r="315" spans="1:42" x14ac:dyDescent="0.2">
      <c r="A315" s="9" t="s">
        <v>4</v>
      </c>
      <c r="B315" s="8" t="s">
        <v>3</v>
      </c>
      <c r="C315" s="29">
        <f>SUM(C288:C314)</f>
        <v>17152.669999999998</v>
      </c>
      <c r="D315" s="29">
        <f>SUM(D288:D314)</f>
        <v>12695</v>
      </c>
      <c r="E315" s="34"/>
      <c r="F315" s="29">
        <f>SUM(F288:F314)</f>
        <v>0</v>
      </c>
      <c r="G315" s="29">
        <f>SUM(G288:G314)</f>
        <v>0</v>
      </c>
      <c r="H315" s="34"/>
      <c r="I315" s="29">
        <f>SUM(I288:I314)</f>
        <v>0</v>
      </c>
      <c r="J315" s="29">
        <f>SUM(J288:J314)</f>
        <v>0</v>
      </c>
      <c r="K315" s="34"/>
      <c r="L315" s="29">
        <f>SUM(L288:L314)</f>
        <v>0</v>
      </c>
      <c r="M315" s="29">
        <f>SUM(M288:M314)</f>
        <v>0</v>
      </c>
      <c r="N315" s="34"/>
      <c r="O315" s="29">
        <f>SUM(O288:O314)</f>
        <v>0</v>
      </c>
      <c r="P315" s="29">
        <f>SUM(P288:P314)</f>
        <v>0</v>
      </c>
      <c r="Q315" s="34"/>
      <c r="R315" s="29">
        <f>SUM(R288:R314)</f>
        <v>0</v>
      </c>
      <c r="S315" s="29">
        <f>SUM(S288:S314)</f>
        <v>0</v>
      </c>
      <c r="T315" s="34"/>
      <c r="U315" s="29">
        <f>SUM(U288:U314)</f>
        <v>0</v>
      </c>
      <c r="V315" s="29">
        <f>SUM(V288:V314)</f>
        <v>0</v>
      </c>
      <c r="W315" s="34"/>
      <c r="X315" s="29">
        <f>SUM(X288:X314)</f>
        <v>0</v>
      </c>
      <c r="Y315" s="29">
        <f>SUM(Y288:Y314)</f>
        <v>0</v>
      </c>
      <c r="Z315" s="34"/>
      <c r="AA315" s="29">
        <f>SUM(AA288:AA314)</f>
        <v>0</v>
      </c>
      <c r="AB315" s="29">
        <f>SUM(AB288:AB314)</f>
        <v>0</v>
      </c>
      <c r="AC315" s="34"/>
      <c r="AD315" s="29">
        <f>SUM(AD288:AD314)</f>
        <v>0</v>
      </c>
      <c r="AE315" s="29">
        <f>SUM(AE288:AE314)</f>
        <v>0</v>
      </c>
      <c r="AF315" s="34"/>
      <c r="AG315" s="29">
        <f>SUM(AG288:AG314)</f>
        <v>0</v>
      </c>
      <c r="AH315" s="29">
        <f>SUM(AH288:AH314)</f>
        <v>0</v>
      </c>
      <c r="AI315" s="34"/>
      <c r="AJ315" s="29">
        <f>SUM(AJ288:AJ314)</f>
        <v>0</v>
      </c>
      <c r="AK315" s="29">
        <f>SUM(AK288:AK314)</f>
        <v>0</v>
      </c>
      <c r="AL315" s="29">
        <f>SUM(AL288:AL314)</f>
        <v>17152.669999999998</v>
      </c>
      <c r="AM315" s="29">
        <f>SUM(AM288:AM314)</f>
        <v>12695</v>
      </c>
      <c r="AN315" s="34"/>
      <c r="AO315" s="29">
        <f>SUM(AO288:AO314)</f>
        <v>575630</v>
      </c>
      <c r="AP315" s="46"/>
    </row>
    <row r="316" spans="1:42" x14ac:dyDescent="0.2"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50"/>
      <c r="AH316" s="50"/>
      <c r="AI316" s="50"/>
      <c r="AJ316" s="50"/>
      <c r="AK316" s="50"/>
      <c r="AL316" s="50"/>
      <c r="AM316" s="50"/>
      <c r="AN316" s="50"/>
      <c r="AO316" s="50"/>
      <c r="AP316" s="46"/>
    </row>
    <row r="317" spans="1:42" ht="12" thickBot="1" x14ac:dyDescent="0.25">
      <c r="A317" s="6" t="s">
        <v>2</v>
      </c>
      <c r="B317" s="5" t="s">
        <v>1</v>
      </c>
      <c r="C317" s="30">
        <f>+C315+C285+C249+C202</f>
        <v>558284.07999999984</v>
      </c>
      <c r="D317" s="30">
        <f>+D315+D285+D249+D202</f>
        <v>396442</v>
      </c>
      <c r="E317" s="34"/>
      <c r="F317" s="30">
        <f>+F315+F285+F249+F202</f>
        <v>0</v>
      </c>
      <c r="G317" s="30">
        <f>+G315+G285+G249+G202</f>
        <v>0</v>
      </c>
      <c r="H317" s="34"/>
      <c r="I317" s="30">
        <f>+I315+I285+I249+I202</f>
        <v>0</v>
      </c>
      <c r="J317" s="30">
        <f>+J315+J285+J249+J202</f>
        <v>0</v>
      </c>
      <c r="K317" s="34"/>
      <c r="L317" s="30">
        <f>+L315+L285+L249+L202</f>
        <v>0</v>
      </c>
      <c r="M317" s="30">
        <f>+M315+M285+M249+M202</f>
        <v>0</v>
      </c>
      <c r="N317" s="34"/>
      <c r="O317" s="30">
        <f>+O315+O285+O249+O202</f>
        <v>0</v>
      </c>
      <c r="P317" s="30">
        <f>+P315+P285+P249+P202</f>
        <v>0</v>
      </c>
      <c r="Q317" s="34"/>
      <c r="R317" s="30">
        <f>+R315+R285+R249+R202</f>
        <v>0</v>
      </c>
      <c r="S317" s="30">
        <f>+S315+S285+S249+S202</f>
        <v>0</v>
      </c>
      <c r="T317" s="34"/>
      <c r="U317" s="30">
        <f>+U315+U285+U249+U202</f>
        <v>0</v>
      </c>
      <c r="V317" s="30">
        <f>+V315+V285+V249+V202</f>
        <v>0</v>
      </c>
      <c r="W317" s="34"/>
      <c r="X317" s="30">
        <f>+X315+X285+X249+X202</f>
        <v>0</v>
      </c>
      <c r="Y317" s="30">
        <f>+Y315+Y285+Y249+Y202</f>
        <v>0</v>
      </c>
      <c r="Z317" s="34"/>
      <c r="AA317" s="30">
        <f>+AA315+AA285+AA249+AA202</f>
        <v>0</v>
      </c>
      <c r="AB317" s="30">
        <f>+AB315+AB285+AB249+AB202</f>
        <v>0</v>
      </c>
      <c r="AC317" s="34"/>
      <c r="AD317" s="30">
        <f>+AD315+AD285+AD249+AD202</f>
        <v>0</v>
      </c>
      <c r="AE317" s="30">
        <f>+AE315+AE285+AE249+AE202</f>
        <v>0</v>
      </c>
      <c r="AF317" s="34"/>
      <c r="AG317" s="30">
        <f>+AG315+AG285+AG249+AG202</f>
        <v>0</v>
      </c>
      <c r="AH317" s="30">
        <f>+AH315+AH285+AH249+AH202</f>
        <v>0</v>
      </c>
      <c r="AI317" s="34"/>
      <c r="AJ317" s="30">
        <f>+AJ315+AJ285+AJ249+AJ202</f>
        <v>0</v>
      </c>
      <c r="AK317" s="30">
        <f>+AK315+AK285+AK249+AK202</f>
        <v>0</v>
      </c>
      <c r="AL317" s="42">
        <f>+AL315+AL285+AL249+AL202</f>
        <v>558284.07999999984</v>
      </c>
      <c r="AM317" s="30">
        <f>+AM315+AM285+AM249+AM202</f>
        <v>396442</v>
      </c>
      <c r="AN317" s="34"/>
      <c r="AO317" s="30">
        <f>+AO315+AO285+AO249+AO202</f>
        <v>5798899</v>
      </c>
      <c r="AP317" s="46"/>
    </row>
    <row r="318" spans="1:42" ht="12" thickTop="1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50"/>
      <c r="AH318" s="50"/>
      <c r="AI318" s="50"/>
      <c r="AJ318" s="50"/>
      <c r="AK318" s="50"/>
      <c r="AL318" s="50"/>
      <c r="AM318" s="50"/>
      <c r="AN318" s="50"/>
      <c r="AO318" s="50"/>
      <c r="AP318" s="46"/>
    </row>
    <row r="319" spans="1:42" x14ac:dyDescent="0.2"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50"/>
      <c r="AH319" s="50"/>
      <c r="AI319" s="50"/>
      <c r="AJ319" s="50"/>
      <c r="AK319" s="50"/>
      <c r="AL319" s="50"/>
      <c r="AM319" s="50"/>
      <c r="AN319" s="50"/>
      <c r="AO319" s="50"/>
      <c r="AP319" s="46"/>
    </row>
    <row r="320" spans="1:42" ht="12" thickBot="1" x14ac:dyDescent="0.25">
      <c r="A320" s="4"/>
      <c r="B320" s="3" t="s">
        <v>0</v>
      </c>
      <c r="C320" s="33">
        <f>+C97-C317</f>
        <v>-70870.169999999867</v>
      </c>
      <c r="D320" s="33">
        <f>+D97-D317</f>
        <v>3681</v>
      </c>
      <c r="E320" s="38"/>
      <c r="F320" s="33">
        <f>+F97-F317</f>
        <v>0</v>
      </c>
      <c r="G320" s="33">
        <f>+G97-G317</f>
        <v>0</v>
      </c>
      <c r="H320" s="38"/>
      <c r="I320" s="33">
        <f>+I97-I317</f>
        <v>0</v>
      </c>
      <c r="J320" s="33">
        <f>+J97-J317</f>
        <v>0</v>
      </c>
      <c r="K320" s="38"/>
      <c r="L320" s="33">
        <f>+L97-L317</f>
        <v>0</v>
      </c>
      <c r="M320" s="33">
        <f>+M97-M317</f>
        <v>0</v>
      </c>
      <c r="N320" s="38"/>
      <c r="O320" s="33">
        <f>+O97-O317</f>
        <v>0</v>
      </c>
      <c r="P320" s="33">
        <f>+P97-P317</f>
        <v>0</v>
      </c>
      <c r="Q320" s="38"/>
      <c r="R320" s="33">
        <f>+R97-R317</f>
        <v>0</v>
      </c>
      <c r="S320" s="33">
        <f>+S97-S317</f>
        <v>0</v>
      </c>
      <c r="T320" s="38"/>
      <c r="U320" s="33">
        <f>+U97-U317</f>
        <v>0</v>
      </c>
      <c r="V320" s="33">
        <f>+V97-V317</f>
        <v>0</v>
      </c>
      <c r="W320" s="38"/>
      <c r="X320" s="33">
        <f>+X97-X317</f>
        <v>0</v>
      </c>
      <c r="Y320" s="33">
        <f>+Y97-Y317</f>
        <v>0</v>
      </c>
      <c r="Z320" s="38"/>
      <c r="AA320" s="33">
        <f>+AA97-AA317</f>
        <v>0</v>
      </c>
      <c r="AB320" s="33">
        <f>+AB97-AB317</f>
        <v>0</v>
      </c>
      <c r="AC320" s="38"/>
      <c r="AD320" s="33">
        <f>+AD97-AD317</f>
        <v>0</v>
      </c>
      <c r="AE320" s="33">
        <f>+AE97-AE317</f>
        <v>0</v>
      </c>
      <c r="AF320" s="38"/>
      <c r="AG320" s="33">
        <f>+AG97-AG317</f>
        <v>0</v>
      </c>
      <c r="AH320" s="33">
        <f>+AH97-AH317</f>
        <v>0</v>
      </c>
      <c r="AI320" s="34"/>
      <c r="AJ320" s="33">
        <f>+AJ97-AJ317</f>
        <v>0</v>
      </c>
      <c r="AK320" s="33">
        <f>+AK97-AK317</f>
        <v>0</v>
      </c>
      <c r="AL320" s="33">
        <f>+AL97-AL317</f>
        <v>-70870.169999999867</v>
      </c>
      <c r="AM320" s="33">
        <f>+AM97-AM317</f>
        <v>3681</v>
      </c>
      <c r="AN320" s="34"/>
      <c r="AO320" s="33">
        <f>+AO97-AO317</f>
        <v>393101</v>
      </c>
      <c r="AP320" s="46"/>
    </row>
    <row r="321" spans="1:42" ht="12" thickTop="1" x14ac:dyDescent="0.2">
      <c r="A321" s="2"/>
      <c r="B321" s="2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54"/>
      <c r="AH321" s="54"/>
      <c r="AI321" s="54"/>
      <c r="AJ321" s="54"/>
      <c r="AK321" s="54"/>
      <c r="AL321" s="54"/>
      <c r="AM321" s="54"/>
      <c r="AN321" s="54"/>
      <c r="AO321" s="54"/>
      <c r="AP321" s="46"/>
    </row>
    <row r="322" spans="1:42" x14ac:dyDescent="0.2">
      <c r="A322" s="2"/>
      <c r="B322" s="2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54"/>
      <c r="AH322" s="54"/>
      <c r="AI322" s="54"/>
      <c r="AJ322" s="54"/>
      <c r="AK322" s="54"/>
      <c r="AL322" s="54"/>
      <c r="AM322" s="54"/>
      <c r="AN322" s="54"/>
      <c r="AO322" s="54"/>
      <c r="AP322" s="46"/>
    </row>
    <row r="323" spans="1:42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4"/>
      <c r="AH323" s="54"/>
      <c r="AI323" s="54"/>
      <c r="AJ323" s="54"/>
      <c r="AK323" s="54"/>
      <c r="AL323" s="54"/>
      <c r="AM323" s="54"/>
      <c r="AN323" s="54"/>
      <c r="AO323" s="54"/>
      <c r="AP323" s="46"/>
    </row>
    <row r="324" spans="1:42" x14ac:dyDescent="0.2">
      <c r="A324" s="2"/>
      <c r="B324" s="2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54"/>
      <c r="AH324" s="54"/>
      <c r="AI324" s="54"/>
      <c r="AJ324" s="54"/>
      <c r="AK324" s="54"/>
      <c r="AL324" s="54"/>
      <c r="AM324" s="54"/>
      <c r="AN324" s="54"/>
      <c r="AO324" s="54"/>
      <c r="AP324" s="46"/>
    </row>
    <row r="325" spans="1:42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4"/>
      <c r="AH325" s="54"/>
      <c r="AI325" s="54"/>
      <c r="AJ325" s="54"/>
      <c r="AK325" s="54"/>
      <c r="AL325" s="54"/>
      <c r="AM325" s="54"/>
      <c r="AN325" s="54"/>
      <c r="AO325" s="54"/>
      <c r="AP325" s="46"/>
    </row>
    <row r="326" spans="1:42" x14ac:dyDescent="0.2">
      <c r="A326" s="2"/>
      <c r="B326" s="2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54"/>
      <c r="AH326" s="54"/>
      <c r="AI326" s="54"/>
      <c r="AJ326" s="54"/>
      <c r="AK326" s="54"/>
      <c r="AL326" s="54"/>
      <c r="AM326" s="54"/>
      <c r="AN326" s="54"/>
      <c r="AO326" s="54"/>
      <c r="AP326" s="46"/>
    </row>
    <row r="327" spans="1:42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4"/>
      <c r="AH327" s="54"/>
      <c r="AI327" s="54"/>
      <c r="AJ327" s="54"/>
      <c r="AK327" s="54"/>
      <c r="AL327" s="54"/>
      <c r="AM327" s="54"/>
      <c r="AN327" s="54"/>
      <c r="AO327" s="54"/>
      <c r="AP327" s="46"/>
    </row>
    <row r="328" spans="1:42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4"/>
      <c r="AH328" s="54"/>
      <c r="AI328" s="54"/>
      <c r="AJ328" s="54"/>
      <c r="AK328" s="54"/>
      <c r="AL328" s="54"/>
      <c r="AM328" s="54"/>
      <c r="AN328" s="54"/>
      <c r="AO328" s="54"/>
      <c r="AP328" s="46"/>
    </row>
    <row r="329" spans="1:42" x14ac:dyDescent="0.2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4"/>
      <c r="AH329" s="54"/>
      <c r="AI329" s="54"/>
      <c r="AJ329" s="54"/>
      <c r="AK329" s="54"/>
      <c r="AL329" s="54"/>
      <c r="AM329" s="54"/>
      <c r="AN329" s="54"/>
      <c r="AO329" s="54"/>
      <c r="AP329" s="46"/>
    </row>
    <row r="330" spans="1:42" x14ac:dyDescent="0.2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4"/>
      <c r="AH330" s="54"/>
      <c r="AI330" s="54"/>
      <c r="AJ330" s="54"/>
      <c r="AK330" s="54"/>
      <c r="AL330" s="54"/>
      <c r="AM330" s="54"/>
      <c r="AN330" s="54"/>
      <c r="AO330" s="54"/>
      <c r="AP330" s="46"/>
    </row>
    <row r="331" spans="1:42" x14ac:dyDescent="0.2">
      <c r="A331" s="2"/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54"/>
      <c r="AH331" s="54"/>
      <c r="AI331" s="54"/>
      <c r="AJ331" s="54"/>
      <c r="AK331" s="54"/>
      <c r="AL331" s="54"/>
      <c r="AM331" s="54"/>
      <c r="AN331" s="54"/>
      <c r="AO331" s="54"/>
      <c r="AP331" s="46"/>
    </row>
    <row r="332" spans="1:42" x14ac:dyDescent="0.2">
      <c r="A332" s="2"/>
      <c r="B332" s="2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4"/>
      <c r="AH332" s="54"/>
      <c r="AI332" s="54"/>
      <c r="AJ332" s="54"/>
      <c r="AK332" s="54"/>
      <c r="AL332" s="54"/>
      <c r="AM332" s="54"/>
      <c r="AN332" s="54"/>
      <c r="AO332" s="54"/>
      <c r="AP332" s="46"/>
    </row>
    <row r="333" spans="1:42" x14ac:dyDescent="0.2">
      <c r="A333" s="2"/>
      <c r="B333" s="2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4"/>
      <c r="AH333" s="54"/>
      <c r="AI333" s="54"/>
      <c r="AJ333" s="54"/>
      <c r="AK333" s="54"/>
      <c r="AL333" s="54"/>
      <c r="AM333" s="54"/>
      <c r="AN333" s="54"/>
      <c r="AO333" s="54"/>
      <c r="AP333" s="46"/>
    </row>
    <row r="334" spans="1:42" x14ac:dyDescent="0.2">
      <c r="A334" s="2"/>
      <c r="B334" s="2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4"/>
      <c r="AH334" s="54"/>
      <c r="AI334" s="54"/>
      <c r="AJ334" s="54"/>
      <c r="AK334" s="54"/>
      <c r="AL334" s="54"/>
      <c r="AM334" s="54"/>
      <c r="AN334" s="54"/>
      <c r="AO334" s="54"/>
      <c r="AP334" s="46"/>
    </row>
    <row r="335" spans="1:42" x14ac:dyDescent="0.2">
      <c r="A335" s="2"/>
      <c r="B335" s="2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4"/>
      <c r="AH335" s="54"/>
      <c r="AI335" s="54"/>
      <c r="AJ335" s="54"/>
      <c r="AK335" s="54"/>
      <c r="AL335" s="54"/>
      <c r="AM335" s="54"/>
      <c r="AN335" s="54"/>
      <c r="AO335" s="54"/>
      <c r="AP335" s="46"/>
    </row>
    <row r="336" spans="1:42" x14ac:dyDescent="0.2">
      <c r="A336" s="2"/>
      <c r="B336" s="2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4"/>
      <c r="AH336" s="54"/>
      <c r="AI336" s="54"/>
      <c r="AJ336" s="54"/>
      <c r="AK336" s="54"/>
      <c r="AL336" s="54"/>
      <c r="AM336" s="54"/>
      <c r="AN336" s="54"/>
      <c r="AO336" s="54"/>
      <c r="AP336" s="46"/>
    </row>
    <row r="337" spans="1:42" x14ac:dyDescent="0.2">
      <c r="A337" s="2"/>
      <c r="B337" s="2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4"/>
      <c r="AH337" s="54"/>
      <c r="AI337" s="54"/>
      <c r="AJ337" s="54"/>
      <c r="AK337" s="54"/>
      <c r="AL337" s="54"/>
      <c r="AM337" s="54"/>
      <c r="AN337" s="54"/>
      <c r="AO337" s="54"/>
      <c r="AP337" s="46"/>
    </row>
    <row r="338" spans="1:42" x14ac:dyDescent="0.2">
      <c r="A338" s="2"/>
      <c r="B338" s="2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4"/>
      <c r="AH338" s="54"/>
      <c r="AI338" s="54"/>
      <c r="AJ338" s="54"/>
      <c r="AK338" s="54"/>
      <c r="AL338" s="54"/>
      <c r="AM338" s="54"/>
      <c r="AN338" s="54"/>
      <c r="AO338" s="54"/>
      <c r="AP338" s="46"/>
    </row>
    <row r="339" spans="1:42" x14ac:dyDescent="0.2">
      <c r="A339" s="2"/>
      <c r="B339" s="2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4"/>
      <c r="AH339" s="54"/>
      <c r="AI339" s="54"/>
      <c r="AJ339" s="54"/>
      <c r="AK339" s="54"/>
      <c r="AL339" s="54"/>
      <c r="AM339" s="54"/>
      <c r="AN339" s="54"/>
      <c r="AO339" s="54"/>
      <c r="AP339" s="46"/>
    </row>
    <row r="340" spans="1:42" x14ac:dyDescent="0.2">
      <c r="A340" s="2"/>
      <c r="B340" s="2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4"/>
      <c r="AH340" s="54"/>
      <c r="AI340" s="54"/>
      <c r="AJ340" s="54"/>
      <c r="AK340" s="54"/>
      <c r="AL340" s="54"/>
      <c r="AM340" s="54"/>
      <c r="AN340" s="54"/>
      <c r="AO340" s="54"/>
      <c r="AP340" s="46"/>
    </row>
    <row r="341" spans="1:42" x14ac:dyDescent="0.2">
      <c r="A341" s="2"/>
      <c r="B341" s="2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4"/>
      <c r="AH341" s="54"/>
      <c r="AI341" s="54"/>
      <c r="AJ341" s="54"/>
      <c r="AK341" s="54"/>
      <c r="AL341" s="54"/>
      <c r="AM341" s="54"/>
      <c r="AN341" s="54"/>
      <c r="AO341" s="54"/>
      <c r="AP341" s="46"/>
    </row>
    <row r="342" spans="1:42" x14ac:dyDescent="0.2">
      <c r="A342" s="2"/>
      <c r="B342" s="2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4"/>
      <c r="AH342" s="54"/>
      <c r="AI342" s="54"/>
      <c r="AJ342" s="54"/>
      <c r="AK342" s="54"/>
      <c r="AL342" s="54"/>
      <c r="AM342" s="54"/>
      <c r="AN342" s="54"/>
      <c r="AO342" s="54"/>
      <c r="AP342" s="46"/>
    </row>
    <row r="343" spans="1:42" x14ac:dyDescent="0.2">
      <c r="A343" s="2"/>
      <c r="B343" s="2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54"/>
      <c r="AH343" s="54"/>
      <c r="AI343" s="54"/>
      <c r="AJ343" s="54"/>
      <c r="AK343" s="54"/>
      <c r="AL343" s="54"/>
      <c r="AM343" s="54"/>
      <c r="AN343" s="54"/>
      <c r="AO343" s="54"/>
      <c r="AP343" s="46"/>
    </row>
    <row r="344" spans="1:42" x14ac:dyDescent="0.2">
      <c r="A344" s="2"/>
      <c r="B344" s="2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54"/>
      <c r="AH344" s="54"/>
      <c r="AI344" s="54"/>
      <c r="AJ344" s="54"/>
      <c r="AK344" s="54"/>
      <c r="AL344" s="54"/>
      <c r="AM344" s="54"/>
      <c r="AN344" s="54"/>
      <c r="AO344" s="54"/>
      <c r="AP344" s="46"/>
    </row>
    <row r="345" spans="1:42" x14ac:dyDescent="0.2">
      <c r="A345" s="2"/>
      <c r="B345" s="2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54"/>
      <c r="AH345" s="54"/>
      <c r="AI345" s="54"/>
      <c r="AJ345" s="54"/>
      <c r="AK345" s="54"/>
      <c r="AL345" s="54"/>
      <c r="AM345" s="54"/>
      <c r="AN345" s="54"/>
      <c r="AO345" s="54"/>
      <c r="AP345" s="46"/>
    </row>
    <row r="346" spans="1:42" x14ac:dyDescent="0.2">
      <c r="A346" s="2"/>
      <c r="B346" s="2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54"/>
      <c r="AH346" s="54"/>
      <c r="AI346" s="54"/>
      <c r="AJ346" s="54"/>
      <c r="AK346" s="54"/>
      <c r="AL346" s="54"/>
      <c r="AM346" s="54"/>
      <c r="AN346" s="54"/>
      <c r="AO346" s="54"/>
      <c r="AP346" s="46"/>
    </row>
    <row r="347" spans="1:42" x14ac:dyDescent="0.2">
      <c r="A347" s="2"/>
      <c r="B347" s="2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54"/>
      <c r="AH347" s="54"/>
      <c r="AI347" s="54"/>
      <c r="AJ347" s="54"/>
      <c r="AK347" s="54"/>
      <c r="AL347" s="54"/>
      <c r="AM347" s="54"/>
      <c r="AN347" s="54"/>
      <c r="AO347" s="54"/>
      <c r="AP347" s="46"/>
    </row>
    <row r="348" spans="1:42" x14ac:dyDescent="0.2">
      <c r="A348" s="2"/>
      <c r="B348" s="2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54"/>
      <c r="AH348" s="54"/>
      <c r="AI348" s="54"/>
      <c r="AJ348" s="54"/>
      <c r="AK348" s="54"/>
      <c r="AL348" s="54"/>
      <c r="AM348" s="54"/>
      <c r="AN348" s="54"/>
      <c r="AO348" s="54"/>
      <c r="AP348" s="46"/>
    </row>
    <row r="349" spans="1:42" x14ac:dyDescent="0.2">
      <c r="A349" s="2"/>
      <c r="B349" s="2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54"/>
      <c r="AH349" s="54"/>
      <c r="AI349" s="54"/>
      <c r="AJ349" s="54"/>
      <c r="AK349" s="54"/>
      <c r="AL349" s="54"/>
      <c r="AM349" s="54"/>
      <c r="AN349" s="54"/>
      <c r="AO349" s="54"/>
      <c r="AP349" s="46"/>
    </row>
    <row r="350" spans="1:42" x14ac:dyDescent="0.2">
      <c r="A350" s="2"/>
      <c r="B350" s="2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54"/>
      <c r="AH350" s="54"/>
      <c r="AI350" s="54"/>
      <c r="AJ350" s="54"/>
      <c r="AK350" s="54"/>
      <c r="AL350" s="54"/>
      <c r="AM350" s="54"/>
      <c r="AN350" s="54"/>
      <c r="AO350" s="54"/>
      <c r="AP350" s="46"/>
    </row>
    <row r="351" spans="1:42" x14ac:dyDescent="0.2">
      <c r="A351" s="2"/>
      <c r="B351" s="2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54"/>
      <c r="AH351" s="54"/>
      <c r="AI351" s="54"/>
      <c r="AJ351" s="54"/>
      <c r="AK351" s="54"/>
      <c r="AL351" s="54"/>
      <c r="AM351" s="54"/>
      <c r="AN351" s="54"/>
      <c r="AO351" s="54"/>
      <c r="AP351" s="46"/>
    </row>
    <row r="352" spans="1:42" x14ac:dyDescent="0.2">
      <c r="A352" s="2"/>
      <c r="B352" s="2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54"/>
      <c r="AH352" s="54"/>
      <c r="AI352" s="54"/>
      <c r="AJ352" s="54"/>
      <c r="AK352" s="54"/>
      <c r="AL352" s="54"/>
      <c r="AM352" s="54"/>
      <c r="AN352" s="54"/>
      <c r="AO352" s="54"/>
      <c r="AP352" s="46"/>
    </row>
    <row r="353" spans="1:42" x14ac:dyDescent="0.2">
      <c r="A353" s="2"/>
      <c r="B353" s="2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54"/>
      <c r="AH353" s="54"/>
      <c r="AI353" s="54"/>
      <c r="AJ353" s="54"/>
      <c r="AK353" s="54"/>
      <c r="AL353" s="54"/>
      <c r="AM353" s="54"/>
      <c r="AN353" s="54"/>
      <c r="AO353" s="54"/>
      <c r="AP353" s="46"/>
    </row>
    <row r="354" spans="1:42" x14ac:dyDescent="0.2">
      <c r="A354" s="2"/>
      <c r="B354" s="2"/>
      <c r="C354" s="61"/>
      <c r="D354" s="6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5"/>
      <c r="AH354" s="55"/>
      <c r="AI354" s="55"/>
      <c r="AJ354" s="55"/>
      <c r="AK354" s="55"/>
      <c r="AL354" s="55"/>
      <c r="AM354" s="55"/>
      <c r="AN354" s="55"/>
      <c r="AO354" s="55"/>
      <c r="AP354" s="46"/>
    </row>
    <row r="355" spans="1:42" x14ac:dyDescent="0.2">
      <c r="A355" s="2"/>
      <c r="B355" s="2"/>
      <c r="C355" s="61"/>
      <c r="D355" s="6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5"/>
      <c r="AH355" s="55"/>
      <c r="AI355" s="55"/>
      <c r="AJ355" s="55"/>
      <c r="AK355" s="55"/>
      <c r="AL355" s="55"/>
      <c r="AM355" s="55"/>
      <c r="AN355" s="55"/>
      <c r="AO355" s="55"/>
      <c r="AP355" s="46"/>
    </row>
    <row r="356" spans="1:42" x14ac:dyDescent="0.2">
      <c r="A356" s="2"/>
      <c r="B356" s="2"/>
      <c r="C356" s="61"/>
      <c r="D356" s="6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5"/>
      <c r="AH356" s="55"/>
      <c r="AI356" s="55"/>
      <c r="AJ356" s="55"/>
      <c r="AK356" s="55"/>
      <c r="AL356" s="55"/>
      <c r="AM356" s="55"/>
      <c r="AN356" s="55"/>
      <c r="AO356" s="55"/>
      <c r="AP356" s="46"/>
    </row>
    <row r="357" spans="1:42" x14ac:dyDescent="0.2">
      <c r="A357" s="2"/>
      <c r="B357" s="2"/>
      <c r="C357" s="61"/>
      <c r="D357" s="6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5"/>
      <c r="AH357" s="55"/>
      <c r="AI357" s="55"/>
      <c r="AJ357" s="55"/>
      <c r="AK357" s="55"/>
      <c r="AL357" s="55"/>
      <c r="AM357" s="55"/>
      <c r="AN357" s="55"/>
      <c r="AO357" s="55"/>
      <c r="AP357" s="46"/>
    </row>
    <row r="358" spans="1:42" x14ac:dyDescent="0.2">
      <c r="A358" s="2"/>
      <c r="B358" s="2"/>
      <c r="C358" s="61"/>
      <c r="D358" s="6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5"/>
      <c r="AH358" s="55"/>
      <c r="AI358" s="55"/>
      <c r="AJ358" s="55"/>
      <c r="AK358" s="55"/>
      <c r="AL358" s="55"/>
      <c r="AM358" s="55"/>
      <c r="AN358" s="55"/>
      <c r="AO358" s="55"/>
      <c r="AP358" s="46"/>
    </row>
    <row r="359" spans="1:42" x14ac:dyDescent="0.2">
      <c r="A359" s="2"/>
      <c r="B359" s="2"/>
      <c r="C359" s="61"/>
      <c r="D359" s="6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5"/>
      <c r="AH359" s="55"/>
      <c r="AI359" s="55"/>
      <c r="AJ359" s="55"/>
      <c r="AK359" s="55"/>
      <c r="AL359" s="55"/>
      <c r="AM359" s="55"/>
      <c r="AN359" s="55"/>
      <c r="AO359" s="55"/>
      <c r="AP359" s="46"/>
    </row>
    <row r="360" spans="1:42" x14ac:dyDescent="0.2">
      <c r="A360" s="2"/>
      <c r="B360" s="2"/>
      <c r="C360" s="61"/>
      <c r="D360" s="6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5"/>
      <c r="AH360" s="55"/>
      <c r="AI360" s="55"/>
      <c r="AJ360" s="55"/>
      <c r="AK360" s="55"/>
      <c r="AL360" s="55"/>
      <c r="AM360" s="55"/>
      <c r="AN360" s="55"/>
      <c r="AO360" s="55"/>
      <c r="AP360" s="46"/>
    </row>
    <row r="361" spans="1:42" x14ac:dyDescent="0.2">
      <c r="A361" s="2"/>
      <c r="B361" s="2"/>
      <c r="C361" s="61"/>
      <c r="D361" s="6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5"/>
      <c r="AH361" s="55"/>
      <c r="AI361" s="55"/>
      <c r="AJ361" s="55"/>
      <c r="AK361" s="55"/>
      <c r="AL361" s="55"/>
      <c r="AM361" s="55"/>
      <c r="AN361" s="55"/>
      <c r="AO361" s="55"/>
      <c r="AP361" s="46"/>
    </row>
    <row r="362" spans="1:42" x14ac:dyDescent="0.2">
      <c r="A362" s="2"/>
      <c r="B362" s="2"/>
      <c r="C362" s="61"/>
      <c r="D362" s="6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5"/>
      <c r="AH362" s="55"/>
      <c r="AI362" s="55"/>
      <c r="AJ362" s="55"/>
      <c r="AK362" s="55"/>
      <c r="AL362" s="55"/>
      <c r="AM362" s="55"/>
      <c r="AN362" s="55"/>
      <c r="AO362" s="55"/>
      <c r="AP362" s="46"/>
    </row>
    <row r="363" spans="1:42" x14ac:dyDescent="0.2">
      <c r="A363" s="2"/>
      <c r="B363" s="2"/>
      <c r="C363" s="61"/>
      <c r="D363" s="6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5"/>
      <c r="AH363" s="55"/>
      <c r="AI363" s="55"/>
      <c r="AJ363" s="55"/>
      <c r="AK363" s="55"/>
      <c r="AL363" s="55"/>
      <c r="AM363" s="55"/>
      <c r="AN363" s="55"/>
      <c r="AO363" s="55"/>
      <c r="AP363" s="46"/>
    </row>
    <row r="364" spans="1:42" x14ac:dyDescent="0.2">
      <c r="A364" s="2"/>
      <c r="B364" s="2"/>
      <c r="C364" s="61"/>
      <c r="D364" s="6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5"/>
      <c r="AH364" s="55"/>
      <c r="AI364" s="55"/>
      <c r="AJ364" s="55"/>
      <c r="AK364" s="55"/>
      <c r="AL364" s="55"/>
      <c r="AM364" s="55"/>
      <c r="AN364" s="55"/>
      <c r="AO364" s="55"/>
      <c r="AP364" s="46"/>
    </row>
    <row r="365" spans="1:42" x14ac:dyDescent="0.2">
      <c r="A365" s="2"/>
      <c r="B365" s="2"/>
      <c r="C365" s="61"/>
      <c r="D365" s="6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5"/>
      <c r="AH365" s="55"/>
      <c r="AI365" s="55"/>
      <c r="AJ365" s="55"/>
      <c r="AK365" s="55"/>
      <c r="AL365" s="55"/>
      <c r="AM365" s="55"/>
      <c r="AN365" s="55"/>
      <c r="AO365" s="55"/>
      <c r="AP365" s="46"/>
    </row>
    <row r="366" spans="1:42" x14ac:dyDescent="0.2">
      <c r="A366" s="2"/>
      <c r="B366" s="2"/>
      <c r="C366" s="61"/>
      <c r="D366" s="6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5"/>
      <c r="AH366" s="55"/>
      <c r="AI366" s="55"/>
      <c r="AJ366" s="55"/>
      <c r="AK366" s="55"/>
      <c r="AL366" s="55"/>
      <c r="AM366" s="55"/>
      <c r="AN366" s="55"/>
      <c r="AO366" s="55"/>
      <c r="AP366" s="46"/>
    </row>
    <row r="367" spans="1:42" x14ac:dyDescent="0.2">
      <c r="A367" s="2"/>
      <c r="B367" s="2"/>
      <c r="C367" s="61"/>
      <c r="D367" s="6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5"/>
      <c r="AH367" s="55"/>
      <c r="AI367" s="55"/>
      <c r="AJ367" s="55"/>
      <c r="AK367" s="55"/>
      <c r="AL367" s="55"/>
      <c r="AM367" s="55"/>
      <c r="AN367" s="55"/>
      <c r="AO367" s="55"/>
      <c r="AP367" s="46"/>
    </row>
    <row r="368" spans="1:42" x14ac:dyDescent="0.2">
      <c r="A368" s="2"/>
      <c r="B368" s="2"/>
      <c r="C368" s="61"/>
      <c r="D368" s="6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5"/>
      <c r="AH368" s="55"/>
      <c r="AI368" s="55"/>
      <c r="AJ368" s="55"/>
      <c r="AK368" s="55"/>
      <c r="AL368" s="55"/>
      <c r="AM368" s="55"/>
      <c r="AN368" s="55"/>
      <c r="AO368" s="55"/>
      <c r="AP368" s="46"/>
    </row>
    <row r="369" spans="1:42" x14ac:dyDescent="0.2">
      <c r="A369" s="2"/>
      <c r="B369" s="2"/>
      <c r="C369" s="61"/>
      <c r="D369" s="6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5"/>
      <c r="AH369" s="55"/>
      <c r="AI369" s="55"/>
      <c r="AJ369" s="55"/>
      <c r="AK369" s="55"/>
      <c r="AL369" s="55"/>
      <c r="AM369" s="55"/>
      <c r="AN369" s="55"/>
      <c r="AO369" s="55"/>
      <c r="AP369" s="46"/>
    </row>
    <row r="370" spans="1:42" x14ac:dyDescent="0.2">
      <c r="A370" s="2"/>
      <c r="B370" s="2"/>
      <c r="C370" s="61"/>
      <c r="D370" s="6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5"/>
      <c r="AH370" s="55"/>
      <c r="AI370" s="55"/>
      <c r="AJ370" s="55"/>
      <c r="AK370" s="55"/>
      <c r="AL370" s="55"/>
      <c r="AM370" s="55"/>
      <c r="AN370" s="55"/>
      <c r="AO370" s="55"/>
      <c r="AP370" s="46"/>
    </row>
    <row r="371" spans="1:42" x14ac:dyDescent="0.2">
      <c r="A371" s="2"/>
      <c r="B371" s="2"/>
      <c r="C371" s="61"/>
      <c r="D371" s="6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5"/>
      <c r="AH371" s="55"/>
      <c r="AI371" s="55"/>
      <c r="AJ371" s="55"/>
      <c r="AK371" s="55"/>
      <c r="AL371" s="55"/>
      <c r="AM371" s="55"/>
      <c r="AN371" s="55"/>
      <c r="AO371" s="55"/>
      <c r="AP371" s="46"/>
    </row>
    <row r="372" spans="1:42" x14ac:dyDescent="0.2">
      <c r="A372" s="2"/>
      <c r="B372" s="2"/>
      <c r="C372" s="61"/>
      <c r="D372" s="6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5"/>
      <c r="AH372" s="55"/>
      <c r="AI372" s="55"/>
      <c r="AJ372" s="55"/>
      <c r="AK372" s="55"/>
      <c r="AL372" s="55"/>
      <c r="AM372" s="55"/>
      <c r="AN372" s="55"/>
      <c r="AO372" s="55"/>
      <c r="AP372" s="46"/>
    </row>
    <row r="373" spans="1:42" x14ac:dyDescent="0.2">
      <c r="A373" s="2"/>
      <c r="B373" s="2"/>
      <c r="C373" s="61"/>
      <c r="D373" s="6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5"/>
      <c r="AH373" s="55"/>
      <c r="AI373" s="55"/>
      <c r="AJ373" s="55"/>
      <c r="AK373" s="55"/>
      <c r="AL373" s="55"/>
      <c r="AM373" s="55"/>
      <c r="AN373" s="55"/>
      <c r="AO373" s="55"/>
      <c r="AP373" s="46"/>
    </row>
    <row r="374" spans="1:42" x14ac:dyDescent="0.2">
      <c r="A374" s="2"/>
      <c r="B374" s="2"/>
      <c r="C374" s="61"/>
      <c r="D374" s="6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5"/>
      <c r="AH374" s="55"/>
      <c r="AI374" s="55"/>
      <c r="AJ374" s="55"/>
      <c r="AK374" s="55"/>
      <c r="AL374" s="55"/>
      <c r="AM374" s="55"/>
      <c r="AN374" s="55"/>
      <c r="AO374" s="55"/>
      <c r="AP374" s="46"/>
    </row>
    <row r="375" spans="1:42" x14ac:dyDescent="0.2">
      <c r="A375" s="2"/>
      <c r="B375" s="2"/>
      <c r="C375" s="61"/>
      <c r="D375" s="6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5"/>
      <c r="AH375" s="55"/>
      <c r="AI375" s="55"/>
      <c r="AJ375" s="55"/>
      <c r="AK375" s="55"/>
      <c r="AL375" s="55"/>
      <c r="AM375" s="55"/>
      <c r="AN375" s="55"/>
      <c r="AO375" s="55"/>
      <c r="AP375" s="46"/>
    </row>
    <row r="376" spans="1:42" x14ac:dyDescent="0.2">
      <c r="A376" s="2"/>
      <c r="B376" s="2"/>
      <c r="C376" s="61"/>
      <c r="D376" s="6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55"/>
      <c r="AH376" s="55"/>
      <c r="AI376" s="55"/>
      <c r="AJ376" s="55"/>
      <c r="AK376" s="55"/>
      <c r="AL376" s="55"/>
      <c r="AM376" s="55"/>
      <c r="AN376" s="55"/>
      <c r="AO376" s="55"/>
      <c r="AP376" s="46"/>
    </row>
    <row r="377" spans="1:42" x14ac:dyDescent="0.2">
      <c r="A377" s="2"/>
      <c r="B377" s="2"/>
      <c r="C377" s="61"/>
      <c r="D377" s="6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55"/>
      <c r="AH377" s="55"/>
      <c r="AI377" s="55"/>
      <c r="AJ377" s="55"/>
      <c r="AK377" s="55"/>
      <c r="AL377" s="55"/>
      <c r="AM377" s="55"/>
      <c r="AN377" s="55"/>
      <c r="AO377" s="55"/>
      <c r="AP377" s="46"/>
    </row>
    <row r="378" spans="1:42" x14ac:dyDescent="0.2">
      <c r="A378" s="2"/>
      <c r="B378" s="2"/>
      <c r="C378" s="61"/>
      <c r="D378" s="6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55"/>
      <c r="AH378" s="55"/>
      <c r="AI378" s="55"/>
      <c r="AJ378" s="55"/>
      <c r="AK378" s="55"/>
      <c r="AL378" s="55"/>
      <c r="AM378" s="55"/>
      <c r="AN378" s="55"/>
      <c r="AO378" s="55"/>
      <c r="AP378" s="46"/>
    </row>
    <row r="379" spans="1:42" x14ac:dyDescent="0.2">
      <c r="A379" s="2"/>
      <c r="B379" s="2"/>
      <c r="C379" s="61"/>
      <c r="D379" s="6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55"/>
      <c r="AH379" s="55"/>
      <c r="AI379" s="55"/>
      <c r="AJ379" s="55"/>
      <c r="AK379" s="55"/>
      <c r="AL379" s="55"/>
      <c r="AM379" s="55"/>
      <c r="AN379" s="55"/>
      <c r="AO379" s="55"/>
      <c r="AP379" s="46"/>
    </row>
    <row r="380" spans="1:42" x14ac:dyDescent="0.2">
      <c r="A380" s="2"/>
      <c r="B380" s="2"/>
      <c r="C380" s="61"/>
      <c r="D380" s="6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55"/>
      <c r="AH380" s="55"/>
      <c r="AI380" s="55"/>
      <c r="AJ380" s="55"/>
      <c r="AK380" s="55"/>
      <c r="AL380" s="55"/>
      <c r="AM380" s="55"/>
      <c r="AN380" s="55"/>
      <c r="AO380" s="55"/>
      <c r="AP380" s="46"/>
    </row>
    <row r="381" spans="1:42" x14ac:dyDescent="0.2">
      <c r="A381" s="2"/>
      <c r="B381" s="2"/>
      <c r="C381" s="61"/>
      <c r="D381" s="6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55"/>
      <c r="AH381" s="55"/>
      <c r="AI381" s="55"/>
      <c r="AJ381" s="55"/>
      <c r="AK381" s="55"/>
      <c r="AL381" s="55"/>
      <c r="AM381" s="55"/>
      <c r="AN381" s="55"/>
      <c r="AO381" s="55"/>
      <c r="AP381" s="46"/>
    </row>
    <row r="382" spans="1:42" x14ac:dyDescent="0.2">
      <c r="A382" s="2"/>
      <c r="B382" s="2"/>
      <c r="C382" s="61"/>
      <c r="D382" s="6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55"/>
      <c r="AH382" s="55"/>
      <c r="AI382" s="55"/>
      <c r="AJ382" s="55"/>
      <c r="AK382" s="55"/>
      <c r="AL382" s="55"/>
      <c r="AM382" s="55"/>
      <c r="AN382" s="55"/>
      <c r="AO382" s="55"/>
      <c r="AP382" s="46"/>
    </row>
    <row r="383" spans="1:42" x14ac:dyDescent="0.2">
      <c r="A383" s="2"/>
      <c r="B383" s="2"/>
      <c r="C383" s="61"/>
      <c r="D383" s="6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55"/>
      <c r="AH383" s="55"/>
      <c r="AI383" s="55"/>
      <c r="AJ383" s="55"/>
      <c r="AK383" s="55"/>
      <c r="AL383" s="55"/>
      <c r="AM383" s="55"/>
      <c r="AN383" s="55"/>
      <c r="AO383" s="55"/>
      <c r="AP383" s="46"/>
    </row>
    <row r="384" spans="1:42" x14ac:dyDescent="0.2">
      <c r="A384" s="2"/>
      <c r="B384" s="2"/>
      <c r="C384" s="61"/>
      <c r="D384" s="6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55"/>
      <c r="AH384" s="55"/>
      <c r="AI384" s="55"/>
      <c r="AJ384" s="55"/>
      <c r="AK384" s="55"/>
      <c r="AL384" s="55"/>
      <c r="AM384" s="55"/>
      <c r="AN384" s="55"/>
      <c r="AO384" s="55"/>
      <c r="AP384" s="46"/>
    </row>
    <row r="385" spans="1:42" x14ac:dyDescent="0.2">
      <c r="A385" s="2"/>
      <c r="B385" s="2"/>
      <c r="C385" s="61"/>
      <c r="D385" s="6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55"/>
      <c r="AH385" s="55"/>
      <c r="AI385" s="55"/>
      <c r="AJ385" s="55"/>
      <c r="AK385" s="55"/>
      <c r="AL385" s="55"/>
      <c r="AM385" s="55"/>
      <c r="AN385" s="55"/>
      <c r="AO385" s="55"/>
      <c r="AP385" s="46"/>
    </row>
    <row r="386" spans="1:42" x14ac:dyDescent="0.2">
      <c r="A386" s="2"/>
      <c r="B386" s="2"/>
      <c r="C386" s="61"/>
      <c r="D386" s="6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55"/>
      <c r="AH386" s="55"/>
      <c r="AI386" s="55"/>
      <c r="AJ386" s="55"/>
      <c r="AK386" s="55"/>
      <c r="AL386" s="55"/>
      <c r="AM386" s="55"/>
      <c r="AN386" s="55"/>
      <c r="AO386" s="55"/>
      <c r="AP386" s="46"/>
    </row>
  </sheetData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paperSize="3" scale="98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01CA-9234-40E3-86F5-F493A36239DD}">
  <dimension ref="A1:S48"/>
  <sheetViews>
    <sheetView zoomScaleNormal="100" workbookViewId="0">
      <selection activeCell="H28" sqref="H28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14.42578125" bestFit="1" customWidth="1"/>
    <col min="21" max="21" width="7.5703125" bestFit="1" customWidth="1"/>
    <col min="22" max="22" width="17.42578125" bestFit="1" customWidth="1"/>
    <col min="23" max="23" width="9.5703125" bestFit="1" customWidth="1"/>
    <col min="24" max="24" width="12" bestFit="1" customWidth="1"/>
    <col min="25" max="25" width="14.42578125" bestFit="1" customWidth="1"/>
    <col min="26" max="26" width="2.7109375" customWidth="1"/>
    <col min="27" max="27" width="7.5703125" bestFit="1" customWidth="1"/>
    <col min="28" max="28" width="17.42578125" bestFit="1" customWidth="1"/>
    <col min="29" max="29" width="10.5703125" bestFit="1" customWidth="1"/>
    <col min="30" max="30" width="12" bestFit="1" customWidth="1"/>
    <col min="31" max="31" width="14.42578125" bestFit="1" customWidth="1"/>
    <col min="32" max="32" width="2.7109375" customWidth="1"/>
    <col min="33" max="33" width="7.5703125" bestFit="1" customWidth="1"/>
    <col min="34" max="34" width="17.42578125" bestFit="1" customWidth="1"/>
    <col min="35" max="35" width="9.5703125" bestFit="1" customWidth="1"/>
    <col min="36" max="36" width="12" bestFit="1" customWidth="1"/>
    <col min="37" max="37" width="14.42578125" bestFit="1" customWidth="1"/>
  </cols>
  <sheetData>
    <row r="1" spans="1:19" x14ac:dyDescent="0.25">
      <c r="B1" s="124" t="s">
        <v>359</v>
      </c>
      <c r="C1" s="124"/>
      <c r="D1" s="124"/>
      <c r="E1" s="124"/>
      <c r="H1" s="124" t="s">
        <v>462</v>
      </c>
      <c r="I1" s="124"/>
      <c r="J1" s="124"/>
      <c r="K1" s="124"/>
      <c r="O1" t="s">
        <v>463</v>
      </c>
      <c r="P1" t="s">
        <v>464</v>
      </c>
      <c r="Q1" t="s">
        <v>465</v>
      </c>
    </row>
    <row r="2" spans="1:19" x14ac:dyDescent="0.25">
      <c r="A2" t="s">
        <v>466</v>
      </c>
      <c r="B2" t="s">
        <v>467</v>
      </c>
      <c r="C2" t="s">
        <v>468</v>
      </c>
      <c r="D2" t="s">
        <v>469</v>
      </c>
      <c r="E2" t="s">
        <v>470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N2" t="s">
        <v>471</v>
      </c>
      <c r="O2" s="110">
        <f>5798899*0.5</f>
        <v>2899449.5</v>
      </c>
      <c r="P2" s="110">
        <f>+E14</f>
        <v>2899449.5</v>
      </c>
      <c r="Q2" s="110">
        <f>+P2-O2</f>
        <v>0</v>
      </c>
    </row>
    <row r="3" spans="1:19" x14ac:dyDescent="0.25">
      <c r="A3" s="111" t="s">
        <v>472</v>
      </c>
      <c r="B3" s="110">
        <v>2899449.5</v>
      </c>
      <c r="C3" s="110"/>
      <c r="D3" s="110"/>
      <c r="E3" s="110">
        <f t="shared" ref="E3:E14" si="0">+B3+C3+D3</f>
        <v>2899449.5</v>
      </c>
      <c r="G3" s="111" t="s">
        <v>472</v>
      </c>
      <c r="H3" s="110">
        <v>796288.85</v>
      </c>
      <c r="I3" s="110">
        <f>-D3-D19-J19-Q19-D35-Q35</f>
        <v>165657.16999999998</v>
      </c>
      <c r="J3" s="110">
        <f>-C3-C19-C35-I19-P19-P35</f>
        <v>-39106.29</v>
      </c>
      <c r="K3" s="110">
        <f t="shared" ref="K3:K14" si="1">+H3+I3+J3</f>
        <v>922839.73</v>
      </c>
      <c r="N3" t="s">
        <v>473</v>
      </c>
      <c r="O3" s="110">
        <f>5798899*0.15</f>
        <v>869834.85</v>
      </c>
      <c r="P3" s="110">
        <f>+K14</f>
        <v>922839.72</v>
      </c>
      <c r="Q3" s="110">
        <f>+P3-O3</f>
        <v>53004.869999999995</v>
      </c>
    </row>
    <row r="4" spans="1:19" x14ac:dyDescent="0.25">
      <c r="A4" s="111" t="s">
        <v>474</v>
      </c>
      <c r="B4" s="110">
        <f t="shared" ref="B4:B14" si="2">+E3</f>
        <v>2899449.5</v>
      </c>
      <c r="C4" s="110"/>
      <c r="D4" s="110"/>
      <c r="E4" s="110">
        <f t="shared" si="0"/>
        <v>2899449.5</v>
      </c>
      <c r="G4" s="111" t="s">
        <v>474</v>
      </c>
      <c r="H4" s="110">
        <f t="shared" ref="H4:H14" si="3">+K3</f>
        <v>922839.73</v>
      </c>
      <c r="I4" s="110">
        <f t="shared" ref="I4:I14" si="4">-D4-D20-J20-Q20-D36-Q36</f>
        <v>0</v>
      </c>
      <c r="J4" s="110">
        <f t="shared" ref="J4:J14" si="5">-C4-C20-C36-I20-P20-P36</f>
        <v>0</v>
      </c>
      <c r="K4" s="110">
        <f t="shared" si="1"/>
        <v>922839.73</v>
      </c>
    </row>
    <row r="5" spans="1:19" x14ac:dyDescent="0.25">
      <c r="A5" s="111" t="s">
        <v>475</v>
      </c>
      <c r="B5" s="110">
        <f t="shared" si="2"/>
        <v>2899449.5</v>
      </c>
      <c r="C5" s="110"/>
      <c r="D5" s="110"/>
      <c r="E5" s="110">
        <f t="shared" si="0"/>
        <v>2899449.5</v>
      </c>
      <c r="G5" s="111" t="s">
        <v>475</v>
      </c>
      <c r="H5" s="110">
        <f t="shared" si="3"/>
        <v>922839.73</v>
      </c>
      <c r="I5" s="110">
        <f t="shared" si="4"/>
        <v>0</v>
      </c>
      <c r="J5" s="110">
        <f t="shared" si="5"/>
        <v>0</v>
      </c>
      <c r="K5" s="110">
        <f t="shared" si="1"/>
        <v>922839.73</v>
      </c>
    </row>
    <row r="6" spans="1:19" x14ac:dyDescent="0.25">
      <c r="A6" s="111" t="s">
        <v>476</v>
      </c>
      <c r="B6" s="110">
        <f t="shared" si="2"/>
        <v>2899449.5</v>
      </c>
      <c r="C6" s="110"/>
      <c r="D6" s="110"/>
      <c r="E6" s="110">
        <f t="shared" si="0"/>
        <v>2899449.5</v>
      </c>
      <c r="G6" s="111" t="s">
        <v>476</v>
      </c>
      <c r="H6" s="110">
        <f t="shared" si="3"/>
        <v>922839.73</v>
      </c>
      <c r="I6" s="110">
        <f>-D6-D22-J22-Q22-D38-Q38</f>
        <v>0</v>
      </c>
      <c r="J6" s="110">
        <f>-C6-C22-C38-I22-P22-P38</f>
        <v>0</v>
      </c>
      <c r="K6" s="110">
        <f t="shared" si="1"/>
        <v>922839.73</v>
      </c>
      <c r="N6" t="s">
        <v>477</v>
      </c>
      <c r="O6" s="112"/>
    </row>
    <row r="7" spans="1:19" x14ac:dyDescent="0.25">
      <c r="A7" s="111" t="s">
        <v>478</v>
      </c>
      <c r="B7" s="110">
        <f t="shared" si="2"/>
        <v>2899449.5</v>
      </c>
      <c r="C7" s="110"/>
      <c r="D7" s="110"/>
      <c r="E7" s="110">
        <f t="shared" si="0"/>
        <v>2899449.5</v>
      </c>
      <c r="G7" s="111" t="s">
        <v>478</v>
      </c>
      <c r="H7" s="110">
        <f t="shared" si="3"/>
        <v>922839.73</v>
      </c>
      <c r="I7" s="110">
        <f t="shared" si="4"/>
        <v>0</v>
      </c>
      <c r="J7" s="110">
        <f t="shared" si="5"/>
        <v>0</v>
      </c>
      <c r="K7" s="110">
        <f t="shared" si="1"/>
        <v>922839.73</v>
      </c>
      <c r="N7" t="s">
        <v>479</v>
      </c>
    </row>
    <row r="8" spans="1:19" x14ac:dyDescent="0.25">
      <c r="A8" s="111" t="s">
        <v>480</v>
      </c>
      <c r="B8" s="110">
        <f t="shared" si="2"/>
        <v>2899449.5</v>
      </c>
      <c r="C8" s="110"/>
      <c r="D8" s="110"/>
      <c r="E8" s="110">
        <f t="shared" si="0"/>
        <v>2899449.5</v>
      </c>
      <c r="G8" s="111" t="s">
        <v>480</v>
      </c>
      <c r="H8" s="110">
        <f t="shared" si="3"/>
        <v>922839.73</v>
      </c>
      <c r="I8" s="110">
        <f t="shared" si="4"/>
        <v>0</v>
      </c>
      <c r="J8" s="110">
        <f t="shared" si="5"/>
        <v>0</v>
      </c>
      <c r="K8" s="110">
        <f t="shared" si="1"/>
        <v>922839.73</v>
      </c>
    </row>
    <row r="9" spans="1:19" x14ac:dyDescent="0.25">
      <c r="A9" s="111" t="s">
        <v>481</v>
      </c>
      <c r="B9" s="110">
        <f t="shared" si="2"/>
        <v>2899449.5</v>
      </c>
      <c r="C9" s="110"/>
      <c r="D9" s="110"/>
      <c r="E9" s="110">
        <f t="shared" si="0"/>
        <v>2899449.5</v>
      </c>
      <c r="G9" s="111" t="s">
        <v>481</v>
      </c>
      <c r="H9" s="110">
        <f t="shared" si="3"/>
        <v>922839.73</v>
      </c>
      <c r="I9" s="110">
        <f t="shared" si="4"/>
        <v>0</v>
      </c>
      <c r="J9" s="110">
        <f t="shared" si="5"/>
        <v>0</v>
      </c>
      <c r="K9" s="110">
        <f>+H9+I9+J9-0.01</f>
        <v>922839.72</v>
      </c>
      <c r="O9" s="113"/>
      <c r="P9" s="112"/>
      <c r="Q9" s="113"/>
      <c r="R9" s="114"/>
      <c r="S9" s="114"/>
    </row>
    <row r="10" spans="1:19" x14ac:dyDescent="0.25">
      <c r="A10" s="111" t="s">
        <v>482</v>
      </c>
      <c r="B10" s="110">
        <f t="shared" si="2"/>
        <v>2899449.5</v>
      </c>
      <c r="C10" s="110"/>
      <c r="D10" s="110"/>
      <c r="E10" s="110">
        <f t="shared" si="0"/>
        <v>2899449.5</v>
      </c>
      <c r="G10" s="111" t="s">
        <v>482</v>
      </c>
      <c r="H10" s="110">
        <f t="shared" si="3"/>
        <v>922839.72</v>
      </c>
      <c r="I10" s="110">
        <f t="shared" si="4"/>
        <v>0</v>
      </c>
      <c r="J10" s="110">
        <f t="shared" si="5"/>
        <v>0</v>
      </c>
      <c r="K10" s="110">
        <f t="shared" si="1"/>
        <v>922839.72</v>
      </c>
      <c r="O10" s="113"/>
      <c r="P10" s="112"/>
      <c r="Q10" s="113"/>
      <c r="S10" s="114"/>
    </row>
    <row r="11" spans="1:19" x14ac:dyDescent="0.25">
      <c r="A11" s="111" t="s">
        <v>483</v>
      </c>
      <c r="B11" s="110">
        <f t="shared" si="2"/>
        <v>2899449.5</v>
      </c>
      <c r="C11" s="110"/>
      <c r="D11" s="110"/>
      <c r="E11" s="110">
        <f t="shared" si="0"/>
        <v>2899449.5</v>
      </c>
      <c r="G11" s="111" t="s">
        <v>483</v>
      </c>
      <c r="H11" s="110">
        <f t="shared" si="3"/>
        <v>922839.72</v>
      </c>
      <c r="I11" s="110">
        <f t="shared" si="4"/>
        <v>0</v>
      </c>
      <c r="J11" s="110">
        <f t="shared" si="5"/>
        <v>0</v>
      </c>
      <c r="K11" s="110">
        <f t="shared" si="1"/>
        <v>922839.72</v>
      </c>
      <c r="O11" s="113"/>
      <c r="P11" s="112"/>
      <c r="Q11" s="113"/>
      <c r="R11" s="114"/>
      <c r="S11" s="114"/>
    </row>
    <row r="12" spans="1:19" x14ac:dyDescent="0.25">
      <c r="A12" s="111" t="s">
        <v>484</v>
      </c>
      <c r="B12" s="110">
        <f t="shared" si="2"/>
        <v>2899449.5</v>
      </c>
      <c r="C12" s="110"/>
      <c r="D12" s="110"/>
      <c r="E12" s="110">
        <f t="shared" si="0"/>
        <v>2899449.5</v>
      </c>
      <c r="G12" s="111" t="s">
        <v>484</v>
      </c>
      <c r="H12" s="110">
        <f t="shared" si="3"/>
        <v>922839.72</v>
      </c>
      <c r="I12" s="110">
        <f t="shared" si="4"/>
        <v>0</v>
      </c>
      <c r="J12" s="110">
        <f t="shared" si="5"/>
        <v>0</v>
      </c>
      <c r="K12" s="110">
        <f t="shared" si="1"/>
        <v>922839.72</v>
      </c>
      <c r="O12" s="113"/>
      <c r="Q12" s="113"/>
    </row>
    <row r="13" spans="1:19" x14ac:dyDescent="0.25">
      <c r="A13" s="111" t="s">
        <v>485</v>
      </c>
      <c r="B13" s="110">
        <f t="shared" si="2"/>
        <v>2899449.5</v>
      </c>
      <c r="C13" s="110"/>
      <c r="D13" s="110"/>
      <c r="E13" s="110">
        <f t="shared" si="0"/>
        <v>2899449.5</v>
      </c>
      <c r="G13" s="111" t="s">
        <v>485</v>
      </c>
      <c r="H13" s="110">
        <f t="shared" si="3"/>
        <v>922839.72</v>
      </c>
      <c r="I13" s="110">
        <f t="shared" si="4"/>
        <v>0</v>
      </c>
      <c r="J13" s="110">
        <f t="shared" si="5"/>
        <v>0</v>
      </c>
      <c r="K13" s="110">
        <f t="shared" si="1"/>
        <v>922839.72</v>
      </c>
      <c r="O13" s="113"/>
      <c r="P13" s="112"/>
      <c r="Q13" s="113"/>
      <c r="R13" s="112"/>
      <c r="S13" s="110"/>
    </row>
    <row r="14" spans="1:19" x14ac:dyDescent="0.25">
      <c r="A14" s="111" t="s">
        <v>486</v>
      </c>
      <c r="B14" s="110">
        <f t="shared" si="2"/>
        <v>2899449.5</v>
      </c>
      <c r="C14" s="110"/>
      <c r="D14" s="110"/>
      <c r="E14" s="110">
        <f t="shared" si="0"/>
        <v>2899449.5</v>
      </c>
      <c r="G14" s="111" t="s">
        <v>486</v>
      </c>
      <c r="H14" s="110">
        <f t="shared" si="3"/>
        <v>922839.72</v>
      </c>
      <c r="I14" s="110">
        <f t="shared" si="4"/>
        <v>0</v>
      </c>
      <c r="J14" s="110">
        <f t="shared" si="5"/>
        <v>0</v>
      </c>
      <c r="K14" s="110">
        <f t="shared" si="1"/>
        <v>922839.72</v>
      </c>
    </row>
    <row r="15" spans="1:19" x14ac:dyDescent="0.25">
      <c r="R15" s="114"/>
    </row>
    <row r="17" spans="1:18" x14ac:dyDescent="0.25">
      <c r="B17" s="124" t="s">
        <v>487</v>
      </c>
      <c r="C17" s="124"/>
      <c r="D17" s="124"/>
      <c r="E17" s="124"/>
      <c r="H17" s="124" t="s">
        <v>453</v>
      </c>
      <c r="I17" s="124"/>
      <c r="J17" s="124"/>
      <c r="K17" s="124"/>
      <c r="O17" s="124" t="s">
        <v>488</v>
      </c>
      <c r="P17" s="124"/>
      <c r="Q17" s="124"/>
      <c r="R17" s="124"/>
    </row>
    <row r="18" spans="1:18" x14ac:dyDescent="0.25">
      <c r="A18" t="s">
        <v>466</v>
      </c>
      <c r="B18" t="s">
        <v>467</v>
      </c>
      <c r="C18" t="s">
        <v>468</v>
      </c>
      <c r="D18" t="s">
        <v>469</v>
      </c>
      <c r="E18" t="s">
        <v>470</v>
      </c>
      <c r="G18" t="s">
        <v>466</v>
      </c>
      <c r="H18" t="s">
        <v>467</v>
      </c>
      <c r="I18" t="s">
        <v>468</v>
      </c>
      <c r="J18" t="s">
        <v>469</v>
      </c>
      <c r="K18" t="s">
        <v>470</v>
      </c>
      <c r="N18" t="s">
        <v>466</v>
      </c>
      <c r="O18" t="s">
        <v>467</v>
      </c>
      <c r="P18" t="s">
        <v>468</v>
      </c>
      <c r="Q18" t="s">
        <v>469</v>
      </c>
      <c r="R18" t="s">
        <v>470</v>
      </c>
    </row>
    <row r="19" spans="1:18" x14ac:dyDescent="0.25">
      <c r="A19" s="111" t="s">
        <v>472</v>
      </c>
      <c r="B19" s="110">
        <v>894571.75</v>
      </c>
      <c r="C19" s="110">
        <v>6978.8</v>
      </c>
      <c r="D19" s="110"/>
      <c r="E19" s="110">
        <f t="shared" ref="E19:E30" si="6">+B19+C19+D19</f>
        <v>901550.55</v>
      </c>
      <c r="G19" s="111" t="s">
        <v>472</v>
      </c>
      <c r="H19" s="110">
        <v>142479.75</v>
      </c>
      <c r="I19" s="110"/>
      <c r="J19" s="110">
        <v>-99152</v>
      </c>
      <c r="K19" s="110">
        <f t="shared" ref="K19:K30" si="7">+H19+I19+J19</f>
        <v>43327.75</v>
      </c>
      <c r="N19" s="111" t="s">
        <v>472</v>
      </c>
      <c r="O19" s="110">
        <v>37466.910000000003</v>
      </c>
      <c r="P19" s="110">
        <v>31467.49</v>
      </c>
      <c r="Q19" s="110">
        <v>-49550</v>
      </c>
      <c r="R19" s="110">
        <f t="shared" ref="R19:R30" si="8">+O19+P19+Q19</f>
        <v>19384.400000000009</v>
      </c>
    </row>
    <row r="20" spans="1:18" x14ac:dyDescent="0.25">
      <c r="A20" s="111" t="s">
        <v>474</v>
      </c>
      <c r="B20" s="110">
        <f t="shared" ref="B20:B30" si="9">+E19</f>
        <v>901550.55</v>
      </c>
      <c r="C20" s="110"/>
      <c r="D20" s="110"/>
      <c r="E20" s="110">
        <f t="shared" si="6"/>
        <v>901550.55</v>
      </c>
      <c r="G20" s="111" t="s">
        <v>474</v>
      </c>
      <c r="H20" s="110">
        <f t="shared" ref="H20:H30" si="10">+K19</f>
        <v>43327.75</v>
      </c>
      <c r="I20" s="110"/>
      <c r="J20" s="110"/>
      <c r="K20" s="110">
        <f t="shared" si="7"/>
        <v>43327.75</v>
      </c>
      <c r="N20" s="111" t="s">
        <v>474</v>
      </c>
      <c r="O20" s="110">
        <f t="shared" ref="O20:O30" si="11">+R19</f>
        <v>19384.400000000009</v>
      </c>
      <c r="P20" s="110"/>
      <c r="Q20" s="110"/>
      <c r="R20" s="110">
        <f t="shared" si="8"/>
        <v>19384.400000000009</v>
      </c>
    </row>
    <row r="21" spans="1:18" x14ac:dyDescent="0.25">
      <c r="A21" s="111" t="s">
        <v>475</v>
      </c>
      <c r="B21" s="110">
        <f t="shared" si="9"/>
        <v>901550.55</v>
      </c>
      <c r="C21" s="110"/>
      <c r="D21" s="110"/>
      <c r="E21" s="110">
        <f t="shared" si="6"/>
        <v>901550.55</v>
      </c>
      <c r="G21" s="111" t="s">
        <v>475</v>
      </c>
      <c r="H21" s="110">
        <f t="shared" si="10"/>
        <v>43327.75</v>
      </c>
      <c r="I21" s="110"/>
      <c r="J21" s="110"/>
      <c r="K21" s="110">
        <f t="shared" si="7"/>
        <v>43327.75</v>
      </c>
      <c r="N21" s="111" t="s">
        <v>475</v>
      </c>
      <c r="O21" s="110">
        <f t="shared" si="11"/>
        <v>19384.400000000009</v>
      </c>
      <c r="P21" s="110"/>
      <c r="Q21" s="110"/>
      <c r="R21" s="110">
        <f t="shared" si="8"/>
        <v>19384.400000000009</v>
      </c>
    </row>
    <row r="22" spans="1:18" x14ac:dyDescent="0.25">
      <c r="A22" s="111" t="s">
        <v>476</v>
      </c>
      <c r="B22" s="110">
        <f t="shared" si="9"/>
        <v>901550.55</v>
      </c>
      <c r="C22" s="110"/>
      <c r="D22" s="110"/>
      <c r="E22" s="110">
        <f t="shared" si="6"/>
        <v>901550.55</v>
      </c>
      <c r="G22" s="111" t="s">
        <v>476</v>
      </c>
      <c r="H22" s="110">
        <f t="shared" si="10"/>
        <v>43327.75</v>
      </c>
      <c r="I22" s="110"/>
      <c r="J22" s="110"/>
      <c r="K22" s="110">
        <f t="shared" si="7"/>
        <v>43327.75</v>
      </c>
      <c r="N22" s="111" t="s">
        <v>476</v>
      </c>
      <c r="O22" s="110">
        <f t="shared" si="11"/>
        <v>19384.400000000009</v>
      </c>
      <c r="P22" s="110"/>
      <c r="Q22" s="110"/>
      <c r="R22" s="110">
        <f t="shared" si="8"/>
        <v>19384.400000000009</v>
      </c>
    </row>
    <row r="23" spans="1:18" x14ac:dyDescent="0.25">
      <c r="A23" s="111" t="s">
        <v>478</v>
      </c>
      <c r="B23" s="110">
        <f t="shared" si="9"/>
        <v>901550.55</v>
      </c>
      <c r="C23" s="110"/>
      <c r="D23" s="110"/>
      <c r="E23" s="110">
        <f t="shared" si="6"/>
        <v>901550.55</v>
      </c>
      <c r="G23" s="111" t="s">
        <v>478</v>
      </c>
      <c r="H23" s="110">
        <f t="shared" si="10"/>
        <v>43327.75</v>
      </c>
      <c r="I23" s="110"/>
      <c r="J23" s="110"/>
      <c r="K23" s="110">
        <f t="shared" si="7"/>
        <v>43327.75</v>
      </c>
      <c r="N23" s="111" t="s">
        <v>478</v>
      </c>
      <c r="O23" s="110">
        <f t="shared" si="11"/>
        <v>19384.400000000009</v>
      </c>
      <c r="P23" s="110"/>
      <c r="Q23" s="110"/>
      <c r="R23" s="110">
        <f t="shared" si="8"/>
        <v>19384.400000000009</v>
      </c>
    </row>
    <row r="24" spans="1:18" x14ac:dyDescent="0.25">
      <c r="A24" s="111" t="s">
        <v>480</v>
      </c>
      <c r="B24" s="110">
        <f t="shared" si="9"/>
        <v>901550.55</v>
      </c>
      <c r="C24" s="110"/>
      <c r="D24" s="110"/>
      <c r="E24" s="110">
        <f t="shared" si="6"/>
        <v>901550.55</v>
      </c>
      <c r="G24" s="111" t="s">
        <v>480</v>
      </c>
      <c r="H24" s="110">
        <f t="shared" si="10"/>
        <v>43327.75</v>
      </c>
      <c r="I24" s="110"/>
      <c r="J24" s="110"/>
      <c r="K24" s="110">
        <f t="shared" si="7"/>
        <v>43327.75</v>
      </c>
      <c r="N24" s="111" t="s">
        <v>480</v>
      </c>
      <c r="O24" s="110">
        <f t="shared" si="11"/>
        <v>19384.400000000009</v>
      </c>
      <c r="P24" s="110"/>
      <c r="Q24" s="110"/>
      <c r="R24" s="110">
        <f t="shared" si="8"/>
        <v>19384.400000000009</v>
      </c>
    </row>
    <row r="25" spans="1:18" x14ac:dyDescent="0.25">
      <c r="A25" s="111" t="s">
        <v>481</v>
      </c>
      <c r="B25" s="110">
        <f t="shared" si="9"/>
        <v>901550.55</v>
      </c>
      <c r="C25" s="110"/>
      <c r="D25" s="110"/>
      <c r="E25" s="110">
        <f t="shared" si="6"/>
        <v>901550.55</v>
      </c>
      <c r="G25" s="111" t="s">
        <v>481</v>
      </c>
      <c r="H25" s="110">
        <f t="shared" si="10"/>
        <v>43327.75</v>
      </c>
      <c r="I25" s="110"/>
      <c r="J25" s="110"/>
      <c r="K25" s="110">
        <f t="shared" si="7"/>
        <v>43327.75</v>
      </c>
      <c r="N25" s="111" t="s">
        <v>481</v>
      </c>
      <c r="O25" s="110">
        <f t="shared" si="11"/>
        <v>19384.400000000009</v>
      </c>
      <c r="P25" s="110"/>
      <c r="Q25" s="110"/>
      <c r="R25" s="110">
        <f t="shared" si="8"/>
        <v>19384.400000000009</v>
      </c>
    </row>
    <row r="26" spans="1:18" x14ac:dyDescent="0.25">
      <c r="A26" s="111" t="s">
        <v>482</v>
      </c>
      <c r="B26" s="110">
        <f t="shared" si="9"/>
        <v>901550.55</v>
      </c>
      <c r="C26" s="110"/>
      <c r="D26" s="110"/>
      <c r="E26" s="110">
        <f t="shared" si="6"/>
        <v>901550.55</v>
      </c>
      <c r="G26" s="111" t="s">
        <v>482</v>
      </c>
      <c r="H26" s="110">
        <f t="shared" si="10"/>
        <v>43327.75</v>
      </c>
      <c r="I26" s="110"/>
      <c r="J26" s="110"/>
      <c r="K26" s="110">
        <f t="shared" si="7"/>
        <v>43327.75</v>
      </c>
      <c r="N26" s="111" t="s">
        <v>482</v>
      </c>
      <c r="O26" s="110">
        <f t="shared" si="11"/>
        <v>19384.400000000009</v>
      </c>
      <c r="P26" s="110"/>
      <c r="Q26" s="110"/>
      <c r="R26" s="110">
        <f t="shared" si="8"/>
        <v>19384.400000000009</v>
      </c>
    </row>
    <row r="27" spans="1:18" x14ac:dyDescent="0.25">
      <c r="A27" s="111" t="s">
        <v>483</v>
      </c>
      <c r="B27" s="110">
        <f t="shared" si="9"/>
        <v>901550.55</v>
      </c>
      <c r="C27" s="110"/>
      <c r="D27" s="110"/>
      <c r="E27" s="110">
        <f t="shared" si="6"/>
        <v>901550.55</v>
      </c>
      <c r="G27" s="111" t="s">
        <v>483</v>
      </c>
      <c r="H27" s="110">
        <f t="shared" si="10"/>
        <v>43327.75</v>
      </c>
      <c r="I27" s="110"/>
      <c r="J27" s="110"/>
      <c r="K27" s="110">
        <f t="shared" si="7"/>
        <v>43327.75</v>
      </c>
      <c r="N27" s="111" t="s">
        <v>483</v>
      </c>
      <c r="O27" s="110">
        <f t="shared" si="11"/>
        <v>19384.400000000009</v>
      </c>
      <c r="P27" s="110"/>
      <c r="Q27" s="110"/>
      <c r="R27" s="110">
        <f t="shared" si="8"/>
        <v>19384.400000000009</v>
      </c>
    </row>
    <row r="28" spans="1:18" x14ac:dyDescent="0.25">
      <c r="A28" s="111" t="s">
        <v>484</v>
      </c>
      <c r="B28" s="110">
        <f t="shared" si="9"/>
        <v>901550.55</v>
      </c>
      <c r="C28" s="110"/>
      <c r="D28" s="110"/>
      <c r="E28" s="110">
        <f t="shared" si="6"/>
        <v>901550.55</v>
      </c>
      <c r="G28" s="111" t="s">
        <v>484</v>
      </c>
      <c r="H28" s="110">
        <f t="shared" si="10"/>
        <v>43327.75</v>
      </c>
      <c r="I28" s="110"/>
      <c r="J28" s="110"/>
      <c r="K28" s="110">
        <f t="shared" si="7"/>
        <v>43327.75</v>
      </c>
      <c r="N28" s="111" t="s">
        <v>484</v>
      </c>
      <c r="O28" s="110">
        <f t="shared" si="11"/>
        <v>19384.400000000009</v>
      </c>
      <c r="P28" s="110"/>
      <c r="Q28" s="110"/>
      <c r="R28" s="110">
        <f t="shared" si="8"/>
        <v>19384.400000000009</v>
      </c>
    </row>
    <row r="29" spans="1:18" x14ac:dyDescent="0.25">
      <c r="A29" s="111" t="s">
        <v>485</v>
      </c>
      <c r="B29" s="110">
        <f t="shared" si="9"/>
        <v>901550.55</v>
      </c>
      <c r="C29" s="110"/>
      <c r="D29" s="110"/>
      <c r="E29" s="110">
        <f t="shared" si="6"/>
        <v>901550.55</v>
      </c>
      <c r="G29" s="111" t="s">
        <v>485</v>
      </c>
      <c r="H29" s="110">
        <f t="shared" si="10"/>
        <v>43327.75</v>
      </c>
      <c r="I29" s="110"/>
      <c r="J29" s="110"/>
      <c r="K29" s="110">
        <f t="shared" si="7"/>
        <v>43327.75</v>
      </c>
      <c r="N29" s="111" t="s">
        <v>485</v>
      </c>
      <c r="O29" s="110">
        <f t="shared" si="11"/>
        <v>19384.400000000009</v>
      </c>
      <c r="P29" s="110"/>
      <c r="Q29" s="110"/>
      <c r="R29" s="110">
        <f t="shared" si="8"/>
        <v>19384.400000000009</v>
      </c>
    </row>
    <row r="30" spans="1:18" x14ac:dyDescent="0.25">
      <c r="A30" s="111" t="s">
        <v>486</v>
      </c>
      <c r="B30" s="110">
        <f t="shared" si="9"/>
        <v>901550.55</v>
      </c>
      <c r="C30" s="110"/>
      <c r="D30" s="110"/>
      <c r="E30" s="110">
        <f t="shared" si="6"/>
        <v>901550.55</v>
      </c>
      <c r="G30" s="111" t="s">
        <v>486</v>
      </c>
      <c r="H30" s="110">
        <f t="shared" si="10"/>
        <v>43327.75</v>
      </c>
      <c r="I30" s="110"/>
      <c r="J30" s="110"/>
      <c r="K30" s="110">
        <f t="shared" si="7"/>
        <v>43327.75</v>
      </c>
      <c r="N30" s="111" t="s">
        <v>486</v>
      </c>
      <c r="O30" s="110">
        <f t="shared" si="11"/>
        <v>19384.400000000009</v>
      </c>
      <c r="P30" s="110"/>
      <c r="Q30" s="110"/>
      <c r="R30" s="110">
        <f t="shared" si="8"/>
        <v>19384.400000000009</v>
      </c>
    </row>
    <row r="33" spans="1:18" x14ac:dyDescent="0.25">
      <c r="B33" s="124" t="s">
        <v>361</v>
      </c>
      <c r="C33" s="124"/>
      <c r="D33" s="124"/>
      <c r="E33" s="124"/>
      <c r="H33" s="124" t="s">
        <v>300</v>
      </c>
      <c r="I33" s="124"/>
      <c r="J33" s="124"/>
      <c r="K33" s="124"/>
      <c r="O33" s="124" t="s">
        <v>489</v>
      </c>
      <c r="P33" s="124"/>
      <c r="Q33" s="124"/>
      <c r="R33" s="124"/>
    </row>
    <row r="34" spans="1:18" x14ac:dyDescent="0.25">
      <c r="A34" t="s">
        <v>466</v>
      </c>
      <c r="B34" t="s">
        <v>467</v>
      </c>
      <c r="C34" t="s">
        <v>468</v>
      </c>
      <c r="D34" t="s">
        <v>469</v>
      </c>
      <c r="E34" t="s">
        <v>470</v>
      </c>
      <c r="G34" t="s">
        <v>466</v>
      </c>
      <c r="H34" t="s">
        <v>467</v>
      </c>
      <c r="I34" t="s">
        <v>468</v>
      </c>
      <c r="J34" t="s">
        <v>469</v>
      </c>
      <c r="K34" t="s">
        <v>470</v>
      </c>
      <c r="N34" t="s">
        <v>466</v>
      </c>
      <c r="O34" t="s">
        <v>467</v>
      </c>
      <c r="P34" t="s">
        <v>468</v>
      </c>
      <c r="Q34" t="s">
        <v>469</v>
      </c>
      <c r="R34" t="s">
        <v>470</v>
      </c>
    </row>
    <row r="35" spans="1:18" x14ac:dyDescent="0.25">
      <c r="A35" s="111" t="s">
        <v>472</v>
      </c>
      <c r="B35" s="110">
        <v>2113101.16</v>
      </c>
      <c r="C35" s="110"/>
      <c r="D35" s="110">
        <v>-16955.169999999998</v>
      </c>
      <c r="E35" s="110">
        <f t="shared" ref="E35:E46" si="12">+B35+C35+D35</f>
        <v>2096145.9900000002</v>
      </c>
      <c r="G35" s="111" t="s">
        <v>472</v>
      </c>
      <c r="H35" s="110">
        <v>311550.32</v>
      </c>
      <c r="I35" s="110"/>
      <c r="J35" s="110">
        <v>-806.25</v>
      </c>
      <c r="K35" s="110">
        <f t="shared" ref="K35:K46" si="13">+H35+I35+J35</f>
        <v>310744.07</v>
      </c>
      <c r="N35" s="111" t="s">
        <v>472</v>
      </c>
      <c r="O35" s="110">
        <v>33209.4</v>
      </c>
      <c r="P35" s="110">
        <v>660</v>
      </c>
      <c r="Q35" s="110"/>
      <c r="R35" s="110">
        <f t="shared" ref="R35:R46" si="14">+O35+P35+Q35</f>
        <v>33869.4</v>
      </c>
    </row>
    <row r="36" spans="1:18" x14ac:dyDescent="0.25">
      <c r="A36" s="111" t="s">
        <v>474</v>
      </c>
      <c r="B36" s="110">
        <f t="shared" ref="B36:B46" si="15">+E35</f>
        <v>2096145.9900000002</v>
      </c>
      <c r="C36" s="110"/>
      <c r="D36" s="110"/>
      <c r="E36" s="110">
        <f t="shared" si="12"/>
        <v>2096145.9900000002</v>
      </c>
      <c r="G36" s="111" t="s">
        <v>474</v>
      </c>
      <c r="H36" s="110">
        <f t="shared" ref="H36:H46" si="16">+K35</f>
        <v>310744.07</v>
      </c>
      <c r="I36" s="110"/>
      <c r="J36" s="110"/>
      <c r="K36" s="110">
        <f t="shared" si="13"/>
        <v>310744.07</v>
      </c>
      <c r="N36" s="111" t="s">
        <v>474</v>
      </c>
      <c r="O36" s="110">
        <f t="shared" ref="O36:O46" si="17">+R35</f>
        <v>33869.4</v>
      </c>
      <c r="P36" s="110"/>
      <c r="Q36" s="110"/>
      <c r="R36" s="110">
        <f t="shared" si="14"/>
        <v>33869.4</v>
      </c>
    </row>
    <row r="37" spans="1:18" x14ac:dyDescent="0.25">
      <c r="A37" s="111" t="s">
        <v>475</v>
      </c>
      <c r="B37" s="110">
        <f t="shared" si="15"/>
        <v>2096145.9900000002</v>
      </c>
      <c r="C37" s="110"/>
      <c r="D37" s="110"/>
      <c r="E37" s="110">
        <f t="shared" si="12"/>
        <v>2096145.9900000002</v>
      </c>
      <c r="G37" s="111" t="s">
        <v>475</v>
      </c>
      <c r="H37" s="110">
        <f t="shared" si="16"/>
        <v>310744.07</v>
      </c>
      <c r="I37" s="110"/>
      <c r="J37" s="110"/>
      <c r="K37" s="110">
        <f t="shared" si="13"/>
        <v>310744.07</v>
      </c>
      <c r="N37" s="111" t="s">
        <v>475</v>
      </c>
      <c r="O37" s="110">
        <f t="shared" si="17"/>
        <v>33869.4</v>
      </c>
      <c r="P37" s="110"/>
      <c r="Q37" s="110"/>
      <c r="R37" s="110">
        <f t="shared" si="14"/>
        <v>33869.4</v>
      </c>
    </row>
    <row r="38" spans="1:18" x14ac:dyDescent="0.25">
      <c r="A38" s="111" t="s">
        <v>476</v>
      </c>
      <c r="B38" s="110">
        <f t="shared" si="15"/>
        <v>2096145.9900000002</v>
      </c>
      <c r="C38" s="110"/>
      <c r="D38" s="110"/>
      <c r="E38" s="110">
        <f t="shared" si="12"/>
        <v>2096145.9900000002</v>
      </c>
      <c r="G38" s="111" t="s">
        <v>476</v>
      </c>
      <c r="H38" s="110">
        <f t="shared" si="16"/>
        <v>310744.07</v>
      </c>
      <c r="I38" s="110"/>
      <c r="J38" s="110"/>
      <c r="K38" s="110">
        <f t="shared" si="13"/>
        <v>310744.07</v>
      </c>
      <c r="N38" s="111" t="s">
        <v>476</v>
      </c>
      <c r="O38" s="110">
        <f t="shared" si="17"/>
        <v>33869.4</v>
      </c>
      <c r="P38" s="110"/>
      <c r="Q38" s="110"/>
      <c r="R38" s="110">
        <f t="shared" si="14"/>
        <v>33869.4</v>
      </c>
    </row>
    <row r="39" spans="1:18" x14ac:dyDescent="0.25">
      <c r="A39" s="111" t="s">
        <v>478</v>
      </c>
      <c r="B39" s="110">
        <f t="shared" si="15"/>
        <v>2096145.9900000002</v>
      </c>
      <c r="C39" s="110"/>
      <c r="D39" s="110"/>
      <c r="E39" s="110">
        <f t="shared" si="12"/>
        <v>2096145.9900000002</v>
      </c>
      <c r="G39" s="111" t="s">
        <v>478</v>
      </c>
      <c r="H39" s="110">
        <f t="shared" si="16"/>
        <v>310744.07</v>
      </c>
      <c r="I39" s="110"/>
      <c r="J39" s="110"/>
      <c r="K39" s="110">
        <f t="shared" si="13"/>
        <v>310744.07</v>
      </c>
      <c r="N39" s="111" t="s">
        <v>478</v>
      </c>
      <c r="O39" s="110">
        <f t="shared" si="17"/>
        <v>33869.4</v>
      </c>
      <c r="P39" s="110"/>
      <c r="Q39" s="110"/>
      <c r="R39" s="110">
        <f t="shared" si="14"/>
        <v>33869.4</v>
      </c>
    </row>
    <row r="40" spans="1:18" x14ac:dyDescent="0.25">
      <c r="A40" s="111" t="s">
        <v>480</v>
      </c>
      <c r="B40" s="110">
        <f t="shared" si="15"/>
        <v>2096145.9900000002</v>
      </c>
      <c r="C40" s="110"/>
      <c r="D40" s="110"/>
      <c r="E40" s="110">
        <f t="shared" si="12"/>
        <v>2096145.9900000002</v>
      </c>
      <c r="G40" s="111" t="s">
        <v>480</v>
      </c>
      <c r="H40" s="110">
        <f t="shared" si="16"/>
        <v>310744.07</v>
      </c>
      <c r="I40" s="110"/>
      <c r="J40" s="110"/>
      <c r="K40" s="110">
        <f t="shared" si="13"/>
        <v>310744.07</v>
      </c>
      <c r="N40" s="111" t="s">
        <v>480</v>
      </c>
      <c r="O40" s="110">
        <f t="shared" si="17"/>
        <v>33869.4</v>
      </c>
      <c r="P40" s="110"/>
      <c r="Q40" s="110"/>
      <c r="R40" s="110">
        <f t="shared" si="14"/>
        <v>33869.4</v>
      </c>
    </row>
    <row r="41" spans="1:18" x14ac:dyDescent="0.25">
      <c r="A41" s="111" t="s">
        <v>481</v>
      </c>
      <c r="B41" s="110">
        <f t="shared" si="15"/>
        <v>2096145.9900000002</v>
      </c>
      <c r="C41" s="110"/>
      <c r="D41" s="110"/>
      <c r="E41" s="110">
        <f t="shared" si="12"/>
        <v>2096145.9900000002</v>
      </c>
      <c r="G41" s="111" t="s">
        <v>481</v>
      </c>
      <c r="H41" s="110">
        <f t="shared" si="16"/>
        <v>310744.07</v>
      </c>
      <c r="I41" s="110"/>
      <c r="J41" s="110"/>
      <c r="K41" s="110">
        <f t="shared" si="13"/>
        <v>310744.07</v>
      </c>
      <c r="N41" s="111" t="s">
        <v>481</v>
      </c>
      <c r="O41" s="110">
        <f t="shared" si="17"/>
        <v>33869.4</v>
      </c>
      <c r="P41" s="110"/>
      <c r="Q41" s="110"/>
      <c r="R41" s="110">
        <f t="shared" si="14"/>
        <v>33869.4</v>
      </c>
    </row>
    <row r="42" spans="1:18" x14ac:dyDescent="0.25">
      <c r="A42" s="111" t="s">
        <v>482</v>
      </c>
      <c r="B42" s="110">
        <f t="shared" si="15"/>
        <v>2096145.9900000002</v>
      </c>
      <c r="C42" s="110"/>
      <c r="D42" s="110"/>
      <c r="E42" s="110">
        <f t="shared" si="12"/>
        <v>2096145.9900000002</v>
      </c>
      <c r="G42" s="111" t="s">
        <v>482</v>
      </c>
      <c r="H42" s="110">
        <f t="shared" si="16"/>
        <v>310744.07</v>
      </c>
      <c r="I42" s="110"/>
      <c r="J42" s="110"/>
      <c r="K42" s="110">
        <f t="shared" si="13"/>
        <v>310744.07</v>
      </c>
      <c r="N42" s="111" t="s">
        <v>482</v>
      </c>
      <c r="O42" s="110">
        <f t="shared" si="17"/>
        <v>33869.4</v>
      </c>
      <c r="P42" s="110"/>
      <c r="Q42" s="110"/>
      <c r="R42" s="110">
        <f t="shared" si="14"/>
        <v>33869.4</v>
      </c>
    </row>
    <row r="43" spans="1:18" x14ac:dyDescent="0.25">
      <c r="A43" s="111" t="s">
        <v>483</v>
      </c>
      <c r="B43" s="110">
        <f t="shared" si="15"/>
        <v>2096145.9900000002</v>
      </c>
      <c r="C43" s="110"/>
      <c r="D43" s="110"/>
      <c r="E43" s="110">
        <f t="shared" si="12"/>
        <v>2096145.9900000002</v>
      </c>
      <c r="G43" s="111" t="s">
        <v>483</v>
      </c>
      <c r="H43" s="110">
        <f t="shared" si="16"/>
        <v>310744.07</v>
      </c>
      <c r="I43" s="110"/>
      <c r="J43" s="110"/>
      <c r="K43" s="110">
        <f t="shared" si="13"/>
        <v>310744.07</v>
      </c>
      <c r="N43" s="111" t="s">
        <v>483</v>
      </c>
      <c r="O43" s="110">
        <f t="shared" si="17"/>
        <v>33869.4</v>
      </c>
      <c r="P43" s="110"/>
      <c r="Q43" s="110"/>
      <c r="R43" s="110">
        <f t="shared" si="14"/>
        <v>33869.4</v>
      </c>
    </row>
    <row r="44" spans="1:18" x14ac:dyDescent="0.25">
      <c r="A44" s="111" t="s">
        <v>484</v>
      </c>
      <c r="B44" s="110">
        <f t="shared" si="15"/>
        <v>2096145.9900000002</v>
      </c>
      <c r="C44" s="110"/>
      <c r="D44" s="110"/>
      <c r="E44" s="110">
        <f t="shared" si="12"/>
        <v>2096145.9900000002</v>
      </c>
      <c r="G44" s="111" t="s">
        <v>484</v>
      </c>
      <c r="H44" s="110">
        <f t="shared" si="16"/>
        <v>310744.07</v>
      </c>
      <c r="I44" s="110"/>
      <c r="J44" s="110"/>
      <c r="K44" s="110">
        <f t="shared" si="13"/>
        <v>310744.07</v>
      </c>
      <c r="N44" s="111" t="s">
        <v>484</v>
      </c>
      <c r="O44" s="110">
        <f t="shared" si="17"/>
        <v>33869.4</v>
      </c>
      <c r="P44" s="110"/>
      <c r="Q44" s="110"/>
      <c r="R44" s="110">
        <f t="shared" si="14"/>
        <v>33869.4</v>
      </c>
    </row>
    <row r="45" spans="1:18" x14ac:dyDescent="0.25">
      <c r="A45" s="111" t="s">
        <v>485</v>
      </c>
      <c r="B45" s="110">
        <f t="shared" si="15"/>
        <v>2096145.9900000002</v>
      </c>
      <c r="C45" s="110"/>
      <c r="D45" s="110"/>
      <c r="E45" s="110">
        <f t="shared" si="12"/>
        <v>2096145.9900000002</v>
      </c>
      <c r="G45" s="111" t="s">
        <v>485</v>
      </c>
      <c r="H45" s="110">
        <f t="shared" si="16"/>
        <v>310744.07</v>
      </c>
      <c r="I45" s="110"/>
      <c r="J45" s="110"/>
      <c r="K45" s="110">
        <f t="shared" si="13"/>
        <v>310744.07</v>
      </c>
      <c r="N45" s="111" t="s">
        <v>485</v>
      </c>
      <c r="O45" s="110">
        <f t="shared" si="17"/>
        <v>33869.4</v>
      </c>
      <c r="P45" s="110"/>
      <c r="Q45" s="110"/>
      <c r="R45" s="110">
        <f t="shared" si="14"/>
        <v>33869.4</v>
      </c>
    </row>
    <row r="46" spans="1:18" x14ac:dyDescent="0.25">
      <c r="A46" s="111" t="s">
        <v>486</v>
      </c>
      <c r="B46" s="110">
        <f t="shared" si="15"/>
        <v>2096145.9900000002</v>
      </c>
      <c r="C46" s="110"/>
      <c r="D46" s="110"/>
      <c r="E46" s="110">
        <f t="shared" si="12"/>
        <v>2096145.9900000002</v>
      </c>
      <c r="G46" s="111" t="s">
        <v>486</v>
      </c>
      <c r="H46" s="110">
        <f t="shared" si="16"/>
        <v>310744.07</v>
      </c>
      <c r="I46" s="110"/>
      <c r="J46" s="110"/>
      <c r="K46" s="110">
        <f t="shared" si="13"/>
        <v>310744.07</v>
      </c>
      <c r="N46" s="111" t="s">
        <v>486</v>
      </c>
      <c r="O46" s="110">
        <f t="shared" si="17"/>
        <v>33869.4</v>
      </c>
      <c r="P46" s="110"/>
      <c r="Q46" s="110"/>
      <c r="R46" s="110">
        <f t="shared" si="14"/>
        <v>33869.4</v>
      </c>
    </row>
    <row r="48" spans="1:18" x14ac:dyDescent="0.25">
      <c r="J48" s="114"/>
    </row>
  </sheetData>
  <mergeCells count="8">
    <mergeCell ref="B33:E33"/>
    <mergeCell ref="H33:K33"/>
    <mergeCell ref="O33:R33"/>
    <mergeCell ref="B1:E1"/>
    <mergeCell ref="H1:K1"/>
    <mergeCell ref="B17:E17"/>
    <mergeCell ref="H17:K17"/>
    <mergeCell ref="O17:R17"/>
  </mergeCells>
  <pageMargins left="0.2" right="0.2" top="0.5" bottom="0.5" header="0.3" footer="0.3"/>
  <pageSetup paperSize="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176514e8168e3da0226035eefc72300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9986215370f4f97dd6ebfed02c7deb08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C0EEEFC1-7942-4E4C-9855-86A7DB0EED10}"/>
</file>

<file path=customXml/itemProps2.xml><?xml version="1.0" encoding="utf-8"?>
<ds:datastoreItem xmlns:ds="http://schemas.openxmlformats.org/officeDocument/2006/customXml" ds:itemID="{7D496D79-FF6B-4535-A4FB-4479AFEBF256}"/>
</file>

<file path=customXml/itemProps3.xml><?xml version="1.0" encoding="utf-8"?>
<ds:datastoreItem xmlns:ds="http://schemas.openxmlformats.org/officeDocument/2006/customXml" ds:itemID="{4CB4CE49-D2A8-4B5E-9020-0CD9E1BAF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 Summary - Operating</vt:lpstr>
      <vt:lpstr>Fin Summary - Full Data</vt:lpstr>
      <vt:lpstr>Full Data</vt:lpstr>
      <vt:lpstr>Fund Balances</vt:lpstr>
      <vt:lpstr>'Fin Summary - Full Data'!Print_Area</vt:lpstr>
      <vt:lpstr>'Fin Summary - Operating'!Print_Area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2025-04-15T15:21:25Z</cp:lastPrinted>
  <dcterms:created xsi:type="dcterms:W3CDTF">2024-06-18T22:29:38Z</dcterms:created>
  <dcterms:modified xsi:type="dcterms:W3CDTF">2025-05-12T22:39:53Z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