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ppriver3651017750-my.sharepoint.com/personal/sheena_townofdeweybeach_com/Documents/Accounting Supervisor/Sheena/Sheena/FY26 Fianncials/4 - July 2025/"/>
    </mc:Choice>
  </mc:AlternateContent>
  <xr:revisionPtr revIDLastSave="816" documentId="8_{243B2FD1-367F-428D-B340-DD904407BCD9}" xr6:coauthVersionLast="47" xr6:coauthVersionMax="47" xr10:uidLastSave="{2DF08AD9-6CAA-4C04-A896-112647AC6AE3}"/>
  <bookViews>
    <workbookView xWindow="-28920" yWindow="-120" windowWidth="29040" windowHeight="15720" activeTab="3" xr2:uid="{C68F0406-22B3-4D10-97B4-C68BE80D0FCD}"/>
  </bookViews>
  <sheets>
    <sheet name="Fin Summary - Operating" sheetId="4" r:id="rId1"/>
    <sheet name="Fin Summary - Full Data" sheetId="5" r:id="rId2"/>
    <sheet name="Full Data" sheetId="1" r:id="rId3"/>
    <sheet name="Fund Balances" sheetId="6" r:id="rId4"/>
    <sheet name="Overtime" sheetId="7" r:id="rId5"/>
  </sheets>
  <definedNames>
    <definedName name="LOCAL_MYSQL_DATE_FORMAT" localSheetId="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1">'Fin Summary - Full Data'!$A$1:$P$79</definedName>
    <definedName name="_xlnm.Print_Area" localSheetId="0">'Fin Summary - Operating'!$A$1:$P$79</definedName>
    <definedName name="_xlnm.Print_Area" localSheetId="2">'Full Data'!$A$1:$AO$323</definedName>
    <definedName name="_xlnm.Print_Titles" localSheetId="2">'Full Data'!$1:$2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3" i="4" l="1"/>
  <c r="B53" i="4"/>
  <c r="I28" i="4"/>
  <c r="I34" i="4"/>
  <c r="B34" i="4"/>
  <c r="I53" i="4"/>
  <c r="I13" i="4"/>
  <c r="I13" i="5"/>
  <c r="B13" i="5"/>
  <c r="L101" i="1"/>
  <c r="R20" i="7" l="1"/>
  <c r="R18" i="7"/>
  <c r="O30" i="7"/>
  <c r="N30" i="7"/>
  <c r="P28" i="7"/>
  <c r="P27" i="7"/>
  <c r="P30" i="7" s="1"/>
  <c r="O18" i="7"/>
  <c r="N18" i="7"/>
  <c r="P14" i="7"/>
  <c r="P13" i="7"/>
  <c r="P12" i="7"/>
  <c r="P11" i="7"/>
  <c r="P10" i="7"/>
  <c r="P9" i="7"/>
  <c r="P8" i="7"/>
  <c r="P7" i="7"/>
  <c r="P6" i="7"/>
  <c r="P5" i="7"/>
  <c r="P4" i="7"/>
  <c r="J53" i="4"/>
  <c r="C53" i="4"/>
  <c r="J44" i="4"/>
  <c r="I44" i="4"/>
  <c r="C44" i="4"/>
  <c r="B44" i="4"/>
  <c r="J39" i="4"/>
  <c r="I39" i="4"/>
  <c r="C39" i="4"/>
  <c r="B39" i="4"/>
  <c r="J34" i="4"/>
  <c r="C34" i="4"/>
  <c r="J28" i="4"/>
  <c r="C28" i="4"/>
  <c r="B28" i="4"/>
  <c r="J13" i="4"/>
  <c r="C13" i="4"/>
  <c r="J53" i="5"/>
  <c r="I53" i="5"/>
  <c r="C53" i="5"/>
  <c r="B53" i="5"/>
  <c r="J44" i="5"/>
  <c r="I44" i="5"/>
  <c r="C44" i="5"/>
  <c r="B44" i="5"/>
  <c r="J39" i="5"/>
  <c r="I39" i="5"/>
  <c r="C39" i="5"/>
  <c r="B39" i="5"/>
  <c r="J34" i="5"/>
  <c r="I34" i="5"/>
  <c r="C34" i="5"/>
  <c r="B34" i="5"/>
  <c r="J28" i="5"/>
  <c r="I28" i="5"/>
  <c r="C28" i="5"/>
  <c r="B28" i="5"/>
  <c r="J13" i="5"/>
  <c r="C13" i="5"/>
  <c r="P18" i="7" l="1"/>
  <c r="P20" i="7" s="1"/>
  <c r="M285" i="1" l="1"/>
  <c r="L285" i="1"/>
  <c r="M176" i="1"/>
  <c r="L176" i="1"/>
  <c r="AL139" i="1"/>
  <c r="AM139" i="1"/>
  <c r="H13" i="7" l="1"/>
  <c r="H14" i="7"/>
  <c r="D13" i="7"/>
  <c r="D14" i="7"/>
  <c r="L13" i="7"/>
  <c r="L14" i="7"/>
  <c r="K30" i="7"/>
  <c r="J30" i="7"/>
  <c r="L28" i="7"/>
  <c r="L27" i="7"/>
  <c r="L30" i="7" s="1"/>
  <c r="K18" i="7"/>
  <c r="J18" i="7"/>
  <c r="L12" i="7"/>
  <c r="L11" i="7"/>
  <c r="L10" i="7"/>
  <c r="L9" i="7"/>
  <c r="L8" i="7"/>
  <c r="L7" i="7"/>
  <c r="L6" i="7"/>
  <c r="L5" i="7"/>
  <c r="L4" i="7"/>
  <c r="D4" i="7"/>
  <c r="H4" i="7"/>
  <c r="D5" i="7"/>
  <c r="H5" i="7"/>
  <c r="D6" i="7"/>
  <c r="H6" i="7"/>
  <c r="D7" i="7"/>
  <c r="H7" i="7"/>
  <c r="D8" i="7"/>
  <c r="H8" i="7"/>
  <c r="D9" i="7"/>
  <c r="H9" i="7"/>
  <c r="D10" i="7"/>
  <c r="H10" i="7"/>
  <c r="D11" i="7"/>
  <c r="H11" i="7"/>
  <c r="D12" i="7"/>
  <c r="H12" i="7"/>
  <c r="B18" i="7"/>
  <c r="C18" i="7"/>
  <c r="F18" i="7"/>
  <c r="G18" i="7"/>
  <c r="D27" i="7"/>
  <c r="H27" i="7"/>
  <c r="D28" i="7"/>
  <c r="H28" i="7"/>
  <c r="B30" i="7"/>
  <c r="C30" i="7"/>
  <c r="D30" i="7"/>
  <c r="F30" i="7"/>
  <c r="G30" i="7"/>
  <c r="H30" i="7"/>
  <c r="H18" i="7" l="1"/>
  <c r="H20" i="7" s="1"/>
  <c r="D18" i="7"/>
  <c r="D20" i="7" s="1"/>
  <c r="L18" i="7"/>
  <c r="L20" i="7" s="1"/>
  <c r="O2" i="6" l="1"/>
  <c r="E3" i="6"/>
  <c r="I3" i="6"/>
  <c r="K3" i="6" s="1"/>
  <c r="H4" i="6" s="1"/>
  <c r="J3" i="6"/>
  <c r="O3" i="6"/>
  <c r="B4" i="6"/>
  <c r="E4" i="6"/>
  <c r="B5" i="6" s="1"/>
  <c r="E5" i="6" s="1"/>
  <c r="B6" i="6" s="1"/>
  <c r="E6" i="6" s="1"/>
  <c r="B7" i="6" s="1"/>
  <c r="E7" i="6" s="1"/>
  <c r="B8" i="6" s="1"/>
  <c r="E8" i="6" s="1"/>
  <c r="B9" i="6" s="1"/>
  <c r="E9" i="6" s="1"/>
  <c r="B10" i="6" s="1"/>
  <c r="E10" i="6" s="1"/>
  <c r="B11" i="6" s="1"/>
  <c r="E11" i="6" s="1"/>
  <c r="B12" i="6" s="1"/>
  <c r="E12" i="6" s="1"/>
  <c r="B13" i="6" s="1"/>
  <c r="E13" i="6" s="1"/>
  <c r="B14" i="6" s="1"/>
  <c r="E14" i="6" s="1"/>
  <c r="P2" i="6" s="1"/>
  <c r="Q2" i="6" s="1"/>
  <c r="I4" i="6"/>
  <c r="I5" i="6"/>
  <c r="J5" i="6"/>
  <c r="I6" i="6"/>
  <c r="J6" i="6"/>
  <c r="I7" i="6"/>
  <c r="J7" i="6"/>
  <c r="I8" i="6"/>
  <c r="J8" i="6"/>
  <c r="I9" i="6"/>
  <c r="J9" i="6"/>
  <c r="I10" i="6"/>
  <c r="J10" i="6"/>
  <c r="I11" i="6"/>
  <c r="J11" i="6"/>
  <c r="I12" i="6"/>
  <c r="J12" i="6"/>
  <c r="I13" i="6"/>
  <c r="J13" i="6"/>
  <c r="I14" i="6"/>
  <c r="J14" i="6"/>
  <c r="E19" i="6"/>
  <c r="K19" i="6"/>
  <c r="R19" i="6"/>
  <c r="B20" i="6"/>
  <c r="E20" i="6"/>
  <c r="B21" i="6" s="1"/>
  <c r="E21" i="6" s="1"/>
  <c r="B22" i="6" s="1"/>
  <c r="E22" i="6" s="1"/>
  <c r="B23" i="6" s="1"/>
  <c r="E23" i="6" s="1"/>
  <c r="B24" i="6" s="1"/>
  <c r="E24" i="6" s="1"/>
  <c r="B25" i="6" s="1"/>
  <c r="E25" i="6" s="1"/>
  <c r="B26" i="6" s="1"/>
  <c r="E26" i="6" s="1"/>
  <c r="B27" i="6" s="1"/>
  <c r="E27" i="6" s="1"/>
  <c r="B28" i="6" s="1"/>
  <c r="E28" i="6" s="1"/>
  <c r="B29" i="6" s="1"/>
  <c r="E29" i="6" s="1"/>
  <c r="B30" i="6" s="1"/>
  <c r="E30" i="6" s="1"/>
  <c r="H20" i="6"/>
  <c r="K20" i="6"/>
  <c r="H21" i="6" s="1"/>
  <c r="K21" i="6" s="1"/>
  <c r="H22" i="6" s="1"/>
  <c r="K22" i="6" s="1"/>
  <c r="H23" i="6" s="1"/>
  <c r="K23" i="6" s="1"/>
  <c r="H24" i="6" s="1"/>
  <c r="K24" i="6" s="1"/>
  <c r="H25" i="6" s="1"/>
  <c r="K25" i="6" s="1"/>
  <c r="H26" i="6" s="1"/>
  <c r="K26" i="6" s="1"/>
  <c r="H27" i="6" s="1"/>
  <c r="K27" i="6" s="1"/>
  <c r="H28" i="6" s="1"/>
  <c r="K28" i="6" s="1"/>
  <c r="H29" i="6" s="1"/>
  <c r="K29" i="6" s="1"/>
  <c r="H30" i="6" s="1"/>
  <c r="K30" i="6" s="1"/>
  <c r="O20" i="6"/>
  <c r="R20" i="6" s="1"/>
  <c r="O21" i="6" s="1"/>
  <c r="R21" i="6" s="1"/>
  <c r="O22" i="6" s="1"/>
  <c r="R22" i="6" s="1"/>
  <c r="O23" i="6" s="1"/>
  <c r="R23" i="6" s="1"/>
  <c r="O24" i="6" s="1"/>
  <c r="R24" i="6" s="1"/>
  <c r="O25" i="6" s="1"/>
  <c r="R25" i="6" s="1"/>
  <c r="O26" i="6" s="1"/>
  <c r="R26" i="6" s="1"/>
  <c r="O27" i="6" s="1"/>
  <c r="R27" i="6" s="1"/>
  <c r="O28" i="6" s="1"/>
  <c r="R28" i="6" s="1"/>
  <c r="O29" i="6" s="1"/>
  <c r="R29" i="6" s="1"/>
  <c r="O30" i="6" s="1"/>
  <c r="R30" i="6" s="1"/>
  <c r="P20" i="6"/>
  <c r="J4" i="6" s="1"/>
  <c r="E35" i="6"/>
  <c r="K35" i="6"/>
  <c r="R35" i="6"/>
  <c r="B36" i="6"/>
  <c r="E36" i="6"/>
  <c r="B37" i="6" s="1"/>
  <c r="E37" i="6" s="1"/>
  <c r="B38" i="6" s="1"/>
  <c r="E38" i="6" s="1"/>
  <c r="B39" i="6" s="1"/>
  <c r="E39" i="6" s="1"/>
  <c r="B40" i="6" s="1"/>
  <c r="E40" i="6" s="1"/>
  <c r="B41" i="6" s="1"/>
  <c r="E41" i="6" s="1"/>
  <c r="B42" i="6" s="1"/>
  <c r="E42" i="6" s="1"/>
  <c r="B43" i="6" s="1"/>
  <c r="E43" i="6" s="1"/>
  <c r="B44" i="6" s="1"/>
  <c r="E44" i="6" s="1"/>
  <c r="B45" i="6" s="1"/>
  <c r="E45" i="6" s="1"/>
  <c r="B46" i="6" s="1"/>
  <c r="E46" i="6" s="1"/>
  <c r="H36" i="6"/>
  <c r="K36" i="6"/>
  <c r="H37" i="6" s="1"/>
  <c r="K37" i="6" s="1"/>
  <c r="H38" i="6" s="1"/>
  <c r="K38" i="6" s="1"/>
  <c r="H39" i="6" s="1"/>
  <c r="K39" i="6" s="1"/>
  <c r="H40" i="6" s="1"/>
  <c r="K40" i="6" s="1"/>
  <c r="H41" i="6" s="1"/>
  <c r="K41" i="6" s="1"/>
  <c r="H42" i="6" s="1"/>
  <c r="K42" i="6" s="1"/>
  <c r="H43" i="6" s="1"/>
  <c r="K43" i="6" s="1"/>
  <c r="H44" i="6" s="1"/>
  <c r="K44" i="6" s="1"/>
  <c r="H45" i="6" s="1"/>
  <c r="K45" i="6" s="1"/>
  <c r="H46" i="6" s="1"/>
  <c r="K46" i="6" s="1"/>
  <c r="O36" i="6"/>
  <c r="R36" i="6"/>
  <c r="O37" i="6" s="1"/>
  <c r="R37" i="6" s="1"/>
  <c r="O38" i="6" s="1"/>
  <c r="R38" i="6" s="1"/>
  <c r="O39" i="6" s="1"/>
  <c r="R39" i="6" s="1"/>
  <c r="O40" i="6" s="1"/>
  <c r="R40" i="6" s="1"/>
  <c r="O41" i="6" s="1"/>
  <c r="R41" i="6" s="1"/>
  <c r="O42" i="6" s="1"/>
  <c r="R42" i="6" s="1"/>
  <c r="O43" i="6" s="1"/>
  <c r="R43" i="6" s="1"/>
  <c r="O44" i="6" s="1"/>
  <c r="R44" i="6" s="1"/>
  <c r="O45" i="6" s="1"/>
  <c r="R45" i="6" s="1"/>
  <c r="O46" i="6" s="1"/>
  <c r="R46" i="6" s="1"/>
  <c r="C37" i="6"/>
  <c r="D6" i="5"/>
  <c r="E6" i="5"/>
  <c r="K6" i="5"/>
  <c r="L6" i="5"/>
  <c r="O6" i="5"/>
  <c r="P6" i="5"/>
  <c r="D7" i="5"/>
  <c r="K7" i="5"/>
  <c r="L7" i="5"/>
  <c r="O7" i="5"/>
  <c r="P7" i="5"/>
  <c r="D8" i="5"/>
  <c r="E8" i="5"/>
  <c r="K8" i="5"/>
  <c r="L8" i="5"/>
  <c r="O8" i="5"/>
  <c r="P8" i="5"/>
  <c r="D9" i="5"/>
  <c r="E9" i="5"/>
  <c r="K9" i="5"/>
  <c r="L9" i="5"/>
  <c r="O9" i="5"/>
  <c r="P9" i="5"/>
  <c r="D10" i="5"/>
  <c r="E10" i="5"/>
  <c r="K10" i="5"/>
  <c r="L10" i="5"/>
  <c r="O10" i="5"/>
  <c r="P10" i="5"/>
  <c r="D11" i="5"/>
  <c r="E11" i="5"/>
  <c r="K11" i="5"/>
  <c r="L11" i="5"/>
  <c r="O11" i="5"/>
  <c r="P11" i="5"/>
  <c r="D12" i="5"/>
  <c r="E12" i="5"/>
  <c r="K12" i="5"/>
  <c r="L12" i="5"/>
  <c r="O12" i="5"/>
  <c r="P12" i="5"/>
  <c r="B14" i="5"/>
  <c r="C14" i="5"/>
  <c r="D13" i="5"/>
  <c r="E13" i="5"/>
  <c r="P13" i="5"/>
  <c r="J14" i="5"/>
  <c r="K13" i="5"/>
  <c r="L13" i="5"/>
  <c r="N13" i="5"/>
  <c r="N14" i="5"/>
  <c r="B20" i="5"/>
  <c r="I20" i="5"/>
  <c r="J20" i="5"/>
  <c r="D22" i="5"/>
  <c r="E22" i="5"/>
  <c r="K22" i="5"/>
  <c r="K24" i="5" s="1"/>
  <c r="L22" i="5"/>
  <c r="O22" i="5"/>
  <c r="O24" i="5" s="1"/>
  <c r="P22" i="5"/>
  <c r="D23" i="5"/>
  <c r="E23" i="5"/>
  <c r="K23" i="5"/>
  <c r="L23" i="5"/>
  <c r="O23" i="5"/>
  <c r="P23" i="5"/>
  <c r="B24" i="5"/>
  <c r="C24" i="5"/>
  <c r="I24" i="5"/>
  <c r="J24" i="5"/>
  <c r="N24" i="5"/>
  <c r="D26" i="5"/>
  <c r="E26" i="5"/>
  <c r="K26" i="5"/>
  <c r="L26" i="5"/>
  <c r="O26" i="5"/>
  <c r="P26" i="5"/>
  <c r="D27" i="5"/>
  <c r="E27" i="5"/>
  <c r="K27" i="5"/>
  <c r="L27" i="5"/>
  <c r="O27" i="5"/>
  <c r="P27" i="5"/>
  <c r="B29" i="5"/>
  <c r="C29" i="5"/>
  <c r="D28" i="5"/>
  <c r="E28" i="5"/>
  <c r="P28" i="5"/>
  <c r="J29" i="5"/>
  <c r="K28" i="5"/>
  <c r="L28" i="5"/>
  <c r="N28" i="5"/>
  <c r="N29" i="5"/>
  <c r="D31" i="5"/>
  <c r="E31" i="5"/>
  <c r="K31" i="5"/>
  <c r="L31" i="5"/>
  <c r="O31" i="5"/>
  <c r="P31" i="5"/>
  <c r="D32" i="5"/>
  <c r="E32" i="5"/>
  <c r="K32" i="5"/>
  <c r="L32" i="5"/>
  <c r="O32" i="5"/>
  <c r="P32" i="5"/>
  <c r="D33" i="5"/>
  <c r="E33" i="5"/>
  <c r="K33" i="5"/>
  <c r="L33" i="5"/>
  <c r="O33" i="5"/>
  <c r="P33" i="5"/>
  <c r="B35" i="5"/>
  <c r="C35" i="5"/>
  <c r="D34" i="5"/>
  <c r="E34" i="5"/>
  <c r="K34" i="5"/>
  <c r="L34" i="5"/>
  <c r="N34" i="5"/>
  <c r="N35" i="5" s="1"/>
  <c r="O34" i="5"/>
  <c r="P34" i="5"/>
  <c r="I35" i="5"/>
  <c r="P35" i="5" s="1"/>
  <c r="J35" i="5"/>
  <c r="D37" i="5"/>
  <c r="E37" i="5"/>
  <c r="K37" i="5"/>
  <c r="L37" i="5"/>
  <c r="O37" i="5"/>
  <c r="P37" i="5"/>
  <c r="D38" i="5"/>
  <c r="E38" i="5"/>
  <c r="K38" i="5"/>
  <c r="L38" i="5"/>
  <c r="O38" i="5"/>
  <c r="P38" i="5"/>
  <c r="B40" i="5"/>
  <c r="C40" i="5"/>
  <c r="D39" i="5"/>
  <c r="E39" i="5"/>
  <c r="K39" i="5"/>
  <c r="J40" i="5"/>
  <c r="N39" i="5"/>
  <c r="N40" i="5" s="1"/>
  <c r="D42" i="5"/>
  <c r="E42" i="5"/>
  <c r="K42" i="5"/>
  <c r="L42" i="5"/>
  <c r="O42" i="5"/>
  <c r="P42" i="5"/>
  <c r="D43" i="5"/>
  <c r="E43" i="5"/>
  <c r="K43" i="5"/>
  <c r="L43" i="5"/>
  <c r="O43" i="5"/>
  <c r="P43" i="5"/>
  <c r="B45" i="5"/>
  <c r="C45" i="5"/>
  <c r="D44" i="5"/>
  <c r="E44" i="5"/>
  <c r="P44" i="5"/>
  <c r="J45" i="5"/>
  <c r="K44" i="5"/>
  <c r="L44" i="5"/>
  <c r="N44" i="5"/>
  <c r="N45" i="5"/>
  <c r="D47" i="5"/>
  <c r="E47" i="5"/>
  <c r="K47" i="5"/>
  <c r="L47" i="5"/>
  <c r="O47" i="5"/>
  <c r="P47" i="5"/>
  <c r="D49" i="5"/>
  <c r="E49" i="5"/>
  <c r="K49" i="5"/>
  <c r="L49" i="5"/>
  <c r="O49" i="5"/>
  <c r="P49" i="5"/>
  <c r="D51" i="5"/>
  <c r="E51" i="5"/>
  <c r="K51" i="5"/>
  <c r="L51" i="5"/>
  <c r="O51" i="5"/>
  <c r="P51" i="5"/>
  <c r="D52" i="5"/>
  <c r="E52" i="5"/>
  <c r="K52" i="5"/>
  <c r="L52" i="5"/>
  <c r="O52" i="5"/>
  <c r="P52" i="5"/>
  <c r="B54" i="5"/>
  <c r="D53" i="5"/>
  <c r="E53" i="5"/>
  <c r="P53" i="5"/>
  <c r="J54" i="5"/>
  <c r="K53" i="5"/>
  <c r="L53" i="5"/>
  <c r="N53" i="5"/>
  <c r="N54" i="5" s="1"/>
  <c r="N56" i="5" s="1"/>
  <c r="O53" i="5"/>
  <c r="C54" i="5"/>
  <c r="I61" i="5"/>
  <c r="J61" i="5"/>
  <c r="I62" i="5"/>
  <c r="J62" i="5"/>
  <c r="I63" i="5"/>
  <c r="J63" i="5"/>
  <c r="I67" i="5"/>
  <c r="J67" i="5"/>
  <c r="I68" i="5"/>
  <c r="J68" i="5"/>
  <c r="B75" i="5"/>
  <c r="C75" i="5"/>
  <c r="I75" i="5"/>
  <c r="J75" i="5"/>
  <c r="N75" i="5"/>
  <c r="N79" i="5" s="1"/>
  <c r="N16" i="5" s="1"/>
  <c r="B76" i="5"/>
  <c r="C76" i="5"/>
  <c r="I76" i="5"/>
  <c r="J76" i="5"/>
  <c r="N76" i="5"/>
  <c r="B77" i="5"/>
  <c r="C77" i="5"/>
  <c r="I77" i="5"/>
  <c r="J77" i="5"/>
  <c r="N77" i="5"/>
  <c r="D6" i="4"/>
  <c r="E6" i="4"/>
  <c r="K6" i="4"/>
  <c r="L6" i="4"/>
  <c r="O6" i="4"/>
  <c r="P6" i="4"/>
  <c r="D7" i="4"/>
  <c r="K7" i="4"/>
  <c r="L7" i="4"/>
  <c r="O7" i="4"/>
  <c r="P7" i="4"/>
  <c r="D8" i="4"/>
  <c r="E8" i="4"/>
  <c r="K8" i="4"/>
  <c r="L8" i="4"/>
  <c r="O8" i="4"/>
  <c r="P8" i="4"/>
  <c r="D9" i="4"/>
  <c r="E9" i="4"/>
  <c r="K9" i="4"/>
  <c r="L9" i="4"/>
  <c r="O9" i="4"/>
  <c r="P9" i="4"/>
  <c r="D10" i="4"/>
  <c r="E10" i="4"/>
  <c r="K10" i="4"/>
  <c r="L10" i="4"/>
  <c r="O10" i="4"/>
  <c r="P10" i="4"/>
  <c r="D11" i="4"/>
  <c r="E11" i="4"/>
  <c r="K11" i="4"/>
  <c r="L11" i="4"/>
  <c r="O11" i="4"/>
  <c r="P11" i="4"/>
  <c r="D12" i="4"/>
  <c r="E12" i="4"/>
  <c r="K12" i="4"/>
  <c r="L12" i="4"/>
  <c r="O12" i="4"/>
  <c r="P12" i="4"/>
  <c r="B14" i="4"/>
  <c r="C14" i="4"/>
  <c r="D13" i="4"/>
  <c r="E13" i="4"/>
  <c r="L13" i="4"/>
  <c r="J14" i="4"/>
  <c r="K13" i="4"/>
  <c r="N13" i="4"/>
  <c r="N14" i="4"/>
  <c r="B20" i="4"/>
  <c r="I20" i="4"/>
  <c r="J20" i="4"/>
  <c r="D22" i="4"/>
  <c r="E22" i="4"/>
  <c r="K22" i="4"/>
  <c r="L22" i="4"/>
  <c r="O22" i="4"/>
  <c r="P22" i="4"/>
  <c r="D23" i="4"/>
  <c r="E23" i="4"/>
  <c r="K23" i="4"/>
  <c r="L23" i="4"/>
  <c r="O23" i="4"/>
  <c r="P23" i="4"/>
  <c r="B24" i="4"/>
  <c r="C24" i="4"/>
  <c r="D24" i="4" s="1"/>
  <c r="I24" i="4"/>
  <c r="J24" i="4"/>
  <c r="N24" i="4"/>
  <c r="D26" i="4"/>
  <c r="E26" i="4"/>
  <c r="K26" i="4"/>
  <c r="L26" i="4"/>
  <c r="O26" i="4"/>
  <c r="P26" i="4"/>
  <c r="D27" i="4"/>
  <c r="E27" i="4"/>
  <c r="K27" i="4"/>
  <c r="L27" i="4"/>
  <c r="O27" i="4"/>
  <c r="P27" i="4"/>
  <c r="B29" i="4"/>
  <c r="C29" i="4"/>
  <c r="D28" i="4"/>
  <c r="E28" i="4"/>
  <c r="L28" i="4"/>
  <c r="J29" i="4"/>
  <c r="K28" i="4"/>
  <c r="N28" i="4"/>
  <c r="N29" i="4"/>
  <c r="D31" i="4"/>
  <c r="E31" i="4"/>
  <c r="K31" i="4"/>
  <c r="L31" i="4"/>
  <c r="O31" i="4"/>
  <c r="P31" i="4"/>
  <c r="D32" i="4"/>
  <c r="E32" i="4"/>
  <c r="K32" i="4"/>
  <c r="L32" i="4"/>
  <c r="O32" i="4"/>
  <c r="P32" i="4"/>
  <c r="D33" i="4"/>
  <c r="E33" i="4"/>
  <c r="K33" i="4"/>
  <c r="L33" i="4"/>
  <c r="O33" i="4"/>
  <c r="P33" i="4"/>
  <c r="E34" i="4"/>
  <c r="C35" i="4"/>
  <c r="D34" i="4"/>
  <c r="K34" i="4"/>
  <c r="L34" i="4"/>
  <c r="N34" i="4"/>
  <c r="N35" i="4" s="1"/>
  <c r="O34" i="4"/>
  <c r="P34" i="4"/>
  <c r="I35" i="4"/>
  <c r="J35" i="4"/>
  <c r="D37" i="4"/>
  <c r="E37" i="4"/>
  <c r="K37" i="4"/>
  <c r="L37" i="4"/>
  <c r="O37" i="4"/>
  <c r="P37" i="4"/>
  <c r="D38" i="4"/>
  <c r="E38" i="4"/>
  <c r="K38" i="4"/>
  <c r="L38" i="4"/>
  <c r="O38" i="4"/>
  <c r="P38" i="4"/>
  <c r="B40" i="4"/>
  <c r="C40" i="4"/>
  <c r="D39" i="4"/>
  <c r="E39" i="4"/>
  <c r="K39" i="4"/>
  <c r="N39" i="4"/>
  <c r="N40" i="4" s="1"/>
  <c r="J40" i="4"/>
  <c r="D42" i="4"/>
  <c r="E42" i="4"/>
  <c r="K42" i="4"/>
  <c r="L42" i="4"/>
  <c r="O42" i="4"/>
  <c r="P42" i="4"/>
  <c r="D43" i="4"/>
  <c r="E43" i="4"/>
  <c r="K43" i="4"/>
  <c r="L43" i="4"/>
  <c r="O43" i="4"/>
  <c r="P43" i="4"/>
  <c r="B45" i="4"/>
  <c r="C45" i="4"/>
  <c r="D44" i="4"/>
  <c r="E44" i="4"/>
  <c r="L44" i="4"/>
  <c r="J45" i="4"/>
  <c r="K44" i="4"/>
  <c r="N44" i="4"/>
  <c r="N45" i="4"/>
  <c r="D47" i="4"/>
  <c r="E47" i="4"/>
  <c r="K47" i="4"/>
  <c r="L47" i="4"/>
  <c r="O47" i="4"/>
  <c r="P47" i="4"/>
  <c r="D49" i="4"/>
  <c r="E49" i="4"/>
  <c r="K49" i="4"/>
  <c r="L49" i="4"/>
  <c r="O49" i="4"/>
  <c r="P49" i="4"/>
  <c r="D51" i="4"/>
  <c r="E51" i="4"/>
  <c r="K51" i="4"/>
  <c r="L51" i="4"/>
  <c r="O51" i="4"/>
  <c r="P51" i="4"/>
  <c r="D52" i="4"/>
  <c r="E52" i="4"/>
  <c r="K52" i="4"/>
  <c r="L52" i="4"/>
  <c r="O52" i="4"/>
  <c r="P52" i="4"/>
  <c r="B54" i="4"/>
  <c r="C54" i="4"/>
  <c r="D53" i="4"/>
  <c r="E53" i="4"/>
  <c r="O53" i="4"/>
  <c r="J54" i="4"/>
  <c r="K53" i="4"/>
  <c r="L53" i="4"/>
  <c r="N53" i="4"/>
  <c r="N54" i="4" s="1"/>
  <c r="I61" i="4"/>
  <c r="J61" i="4"/>
  <c r="I62" i="4"/>
  <c r="I64" i="4" s="1"/>
  <c r="J62" i="4"/>
  <c r="I63" i="4"/>
  <c r="J63" i="4"/>
  <c r="I67" i="4"/>
  <c r="J67" i="4"/>
  <c r="J68" i="4" s="1"/>
  <c r="I68" i="4"/>
  <c r="B75" i="4"/>
  <c r="C75" i="4"/>
  <c r="I75" i="4"/>
  <c r="J75" i="4"/>
  <c r="N75" i="4"/>
  <c r="N79" i="4" s="1"/>
  <c r="N16" i="4" s="1"/>
  <c r="B76" i="4"/>
  <c r="C76" i="4"/>
  <c r="I76" i="4"/>
  <c r="J76" i="4"/>
  <c r="N76" i="4"/>
  <c r="B77" i="4"/>
  <c r="C77" i="4"/>
  <c r="I77" i="4"/>
  <c r="J77" i="4"/>
  <c r="N77" i="4"/>
  <c r="K4" i="6" l="1"/>
  <c r="H5" i="6" s="1"/>
  <c r="K5" i="6"/>
  <c r="H6" i="6" s="1"/>
  <c r="E24" i="5"/>
  <c r="O35" i="4"/>
  <c r="E24" i="4"/>
  <c r="B79" i="4"/>
  <c r="B16" i="4" s="1"/>
  <c r="C79" i="4"/>
  <c r="C16" i="4" s="1"/>
  <c r="D16" i="4" s="1"/>
  <c r="K54" i="4"/>
  <c r="O54" i="4"/>
  <c r="K45" i="4"/>
  <c r="K35" i="4"/>
  <c r="L35" i="4"/>
  <c r="P35" i="4"/>
  <c r="K29" i="4"/>
  <c r="L24" i="4"/>
  <c r="O24" i="4"/>
  <c r="K24" i="4"/>
  <c r="D40" i="4"/>
  <c r="C56" i="4"/>
  <c r="J79" i="4"/>
  <c r="J16" i="4" s="1"/>
  <c r="J18" i="4" s="1"/>
  <c r="I79" i="4"/>
  <c r="I16" i="4" s="1"/>
  <c r="J64" i="4"/>
  <c r="K14" i="4"/>
  <c r="D14" i="4"/>
  <c r="K40" i="5"/>
  <c r="C56" i="5"/>
  <c r="L24" i="5"/>
  <c r="D24" i="5"/>
  <c r="J64" i="5"/>
  <c r="I64" i="5"/>
  <c r="I79" i="5"/>
  <c r="I16" i="5" s="1"/>
  <c r="C79" i="5"/>
  <c r="C16" i="5" s="1"/>
  <c r="C18" i="5" s="1"/>
  <c r="B79" i="5"/>
  <c r="B16" i="5" s="1"/>
  <c r="D16" i="5" s="1"/>
  <c r="O54" i="5"/>
  <c r="K54" i="5"/>
  <c r="K45" i="5"/>
  <c r="D40" i="5"/>
  <c r="O35" i="5"/>
  <c r="K35" i="5"/>
  <c r="K29" i="5"/>
  <c r="J79" i="5"/>
  <c r="J16" i="5" s="1"/>
  <c r="K16" i="5" s="1"/>
  <c r="K14" i="5"/>
  <c r="D14" i="5"/>
  <c r="K6" i="6"/>
  <c r="H7" i="6" s="1"/>
  <c r="K7" i="6" s="1"/>
  <c r="H8" i="6" s="1"/>
  <c r="K8" i="6" s="1"/>
  <c r="H9" i="6" s="1"/>
  <c r="K9" i="6" s="1"/>
  <c r="H10" i="6" s="1"/>
  <c r="K10" i="6" s="1"/>
  <c r="H11" i="6" s="1"/>
  <c r="K11" i="6" s="1"/>
  <c r="H12" i="6" s="1"/>
  <c r="K12" i="6" s="1"/>
  <c r="H13" i="6" s="1"/>
  <c r="K13" i="6" s="1"/>
  <c r="H14" i="6" s="1"/>
  <c r="K14" i="6" s="1"/>
  <c r="P3" i="6" s="1"/>
  <c r="Q3" i="6" s="1"/>
  <c r="B56" i="5"/>
  <c r="D54" i="5"/>
  <c r="E54" i="5"/>
  <c r="O45" i="5"/>
  <c r="E40" i="5"/>
  <c r="D35" i="5"/>
  <c r="E35" i="5"/>
  <c r="E14" i="5"/>
  <c r="E45" i="5"/>
  <c r="D45" i="5"/>
  <c r="D29" i="5"/>
  <c r="E29" i="5"/>
  <c r="N18" i="5"/>
  <c r="N58" i="5" s="1"/>
  <c r="J56" i="5"/>
  <c r="I40" i="5"/>
  <c r="I45" i="5"/>
  <c r="I54" i="5"/>
  <c r="P39" i="5"/>
  <c r="O39" i="5"/>
  <c r="O40" i="5" s="1"/>
  <c r="P24" i="5"/>
  <c r="I29" i="5"/>
  <c r="I14" i="5"/>
  <c r="L35" i="5"/>
  <c r="O44" i="5"/>
  <c r="L39" i="5"/>
  <c r="O28" i="5"/>
  <c r="O29" i="5" s="1"/>
  <c r="O13" i="5"/>
  <c r="O14" i="5" s="1"/>
  <c r="D54" i="4"/>
  <c r="E54" i="4"/>
  <c r="K16" i="4"/>
  <c r="E14" i="4"/>
  <c r="B18" i="4"/>
  <c r="E45" i="4"/>
  <c r="D45" i="4"/>
  <c r="K40" i="4"/>
  <c r="N56" i="4"/>
  <c r="O45" i="4"/>
  <c r="E40" i="4"/>
  <c r="J56" i="4"/>
  <c r="N18" i="4"/>
  <c r="N58" i="4" s="1"/>
  <c r="D29" i="4"/>
  <c r="E29" i="4"/>
  <c r="O39" i="4"/>
  <c r="O40" i="4" s="1"/>
  <c r="P24" i="4"/>
  <c r="I29" i="4"/>
  <c r="B35" i="4"/>
  <c r="P39" i="4"/>
  <c r="O44" i="4"/>
  <c r="L39" i="4"/>
  <c r="O28" i="4"/>
  <c r="O29" i="4" s="1"/>
  <c r="O13" i="4"/>
  <c r="O14" i="4" s="1"/>
  <c r="I40" i="4"/>
  <c r="P44" i="4"/>
  <c r="P28" i="4"/>
  <c r="P13" i="4"/>
  <c r="P53" i="4"/>
  <c r="I45" i="4"/>
  <c r="I14" i="4"/>
  <c r="I54" i="4"/>
  <c r="C18" i="4" l="1"/>
  <c r="C58" i="4" s="1"/>
  <c r="J58" i="4"/>
  <c r="J71" i="4" s="1"/>
  <c r="C58" i="5"/>
  <c r="B18" i="5"/>
  <c r="B58" i="5" s="1"/>
  <c r="J18" i="5"/>
  <c r="J58" i="5" s="1"/>
  <c r="J71" i="5" s="1"/>
  <c r="L40" i="5"/>
  <c r="P40" i="5"/>
  <c r="I18" i="5"/>
  <c r="L14" i="5"/>
  <c r="P14" i="5"/>
  <c r="I56" i="5"/>
  <c r="L54" i="5"/>
  <c r="P54" i="5"/>
  <c r="P45" i="5"/>
  <c r="L45" i="5"/>
  <c r="P29" i="5"/>
  <c r="L29" i="5"/>
  <c r="D56" i="5"/>
  <c r="E56" i="5"/>
  <c r="I18" i="4"/>
  <c r="P14" i="4"/>
  <c r="L14" i="4"/>
  <c r="D35" i="4"/>
  <c r="E35" i="4"/>
  <c r="B56" i="4"/>
  <c r="L40" i="4"/>
  <c r="P40" i="4"/>
  <c r="P54" i="4"/>
  <c r="I56" i="4"/>
  <c r="L54" i="4"/>
  <c r="P45" i="4"/>
  <c r="L45" i="4"/>
  <c r="P29" i="4"/>
  <c r="L29" i="4"/>
  <c r="K56" i="5" l="1"/>
  <c r="L56" i="5"/>
  <c r="O56" i="5"/>
  <c r="P56" i="5"/>
  <c r="I58" i="5"/>
  <c r="I71" i="5" s="1"/>
  <c r="L56" i="4"/>
  <c r="P56" i="4"/>
  <c r="K56" i="4"/>
  <c r="O56" i="4"/>
  <c r="D56" i="4"/>
  <c r="E56" i="4"/>
  <c r="I58" i="4"/>
  <c r="I71" i="4" s="1"/>
  <c r="B58" i="4"/>
  <c r="J176" i="1" l="1"/>
  <c r="J285" i="1"/>
  <c r="I176" i="1"/>
  <c r="I285" i="1"/>
  <c r="I217" i="1"/>
  <c r="AM126" i="1"/>
  <c r="AQ126" i="1" s="1"/>
  <c r="AQ18" i="1"/>
  <c r="AQ20" i="1"/>
  <c r="AQ21" i="1"/>
  <c r="AQ33" i="1"/>
  <c r="AQ35" i="1"/>
  <c r="AQ36" i="1"/>
  <c r="AQ43" i="1"/>
  <c r="AQ45" i="1"/>
  <c r="AQ46" i="1"/>
  <c r="AQ56" i="1"/>
  <c r="AQ58" i="1"/>
  <c r="AQ59" i="1"/>
  <c r="AQ67" i="1"/>
  <c r="AQ69" i="1"/>
  <c r="AQ70" i="1"/>
  <c r="AQ74" i="1"/>
  <c r="AQ76" i="1"/>
  <c r="AQ77" i="1"/>
  <c r="AQ80" i="1"/>
  <c r="AQ82" i="1"/>
  <c r="AQ83" i="1"/>
  <c r="AQ86" i="1"/>
  <c r="AQ88" i="1"/>
  <c r="AQ89" i="1"/>
  <c r="AQ94" i="1"/>
  <c r="AQ96" i="1"/>
  <c r="AQ98" i="1"/>
  <c r="AQ99" i="1"/>
  <c r="AQ100" i="1"/>
  <c r="AQ122" i="1"/>
  <c r="AQ124" i="1"/>
  <c r="AQ149" i="1"/>
  <c r="AQ151" i="1"/>
  <c r="AQ175" i="1"/>
  <c r="AQ177" i="1"/>
  <c r="AQ191" i="1"/>
  <c r="AQ193" i="1"/>
  <c r="AQ200" i="1"/>
  <c r="AQ202" i="1"/>
  <c r="AQ204" i="1"/>
  <c r="AQ205" i="1"/>
  <c r="AQ249" i="1"/>
  <c r="AQ251" i="1"/>
  <c r="AQ252" i="1"/>
  <c r="AQ262" i="1"/>
  <c r="AQ264" i="1"/>
  <c r="AQ284" i="1"/>
  <c r="AQ286" i="1"/>
  <c r="AQ288" i="1"/>
  <c r="AQ289" i="1"/>
  <c r="AQ316" i="1"/>
  <c r="AQ318" i="1"/>
  <c r="AQ320" i="1"/>
  <c r="AQ321" i="1"/>
  <c r="AQ323" i="1"/>
  <c r="AQ324" i="1"/>
  <c r="AQ325" i="1"/>
  <c r="AQ326" i="1"/>
  <c r="AQ327" i="1"/>
  <c r="AQ328" i="1"/>
  <c r="AQ329" i="1"/>
  <c r="AQ330" i="1"/>
  <c r="AQ331" i="1"/>
  <c r="AQ332" i="1"/>
  <c r="G285" i="1"/>
  <c r="G176" i="1"/>
  <c r="F285" i="1"/>
  <c r="F217" i="1"/>
  <c r="F176" i="1"/>
  <c r="AM259" i="1"/>
  <c r="AQ259" i="1" s="1"/>
  <c r="AL259" i="1"/>
  <c r="AK5" i="1" l="1"/>
  <c r="AJ5" i="1"/>
  <c r="AH5" i="1"/>
  <c r="AG5" i="1"/>
  <c r="AE5" i="1"/>
  <c r="AD5" i="1"/>
  <c r="AB5" i="1"/>
  <c r="AA5" i="1"/>
  <c r="Y5" i="1"/>
  <c r="X5" i="1"/>
  <c r="V5" i="1"/>
  <c r="U5" i="1"/>
  <c r="S5" i="1"/>
  <c r="R5" i="1"/>
  <c r="P5" i="1"/>
  <c r="O5" i="1"/>
  <c r="M5" i="1"/>
  <c r="L5" i="1"/>
  <c r="J5" i="1"/>
  <c r="I5" i="1"/>
  <c r="G5" i="1"/>
  <c r="F5" i="1"/>
  <c r="D5" i="1"/>
  <c r="C5" i="1"/>
  <c r="AL313" i="1" l="1"/>
  <c r="AM313" i="1"/>
  <c r="AQ313" i="1" s="1"/>
  <c r="D176" i="1"/>
  <c r="C176" i="1"/>
  <c r="D285" i="1"/>
  <c r="AL65" i="1"/>
  <c r="AM65" i="1"/>
  <c r="AQ65" i="1" s="1"/>
  <c r="AL294" i="1" l="1"/>
  <c r="AM294" i="1"/>
  <c r="AQ294" i="1" s="1"/>
  <c r="AL295" i="1"/>
  <c r="AM295" i="1"/>
  <c r="AQ295" i="1" s="1"/>
  <c r="AO285" i="1"/>
  <c r="AL266" i="1"/>
  <c r="AM266" i="1"/>
  <c r="AQ266" i="1" s="1"/>
  <c r="AL225" i="1"/>
  <c r="AM225" i="1"/>
  <c r="AQ225" i="1" s="1"/>
  <c r="AM218" i="1"/>
  <c r="AQ218" i="1" s="1"/>
  <c r="AL218" i="1"/>
  <c r="AL206" i="1"/>
  <c r="AM206" i="1"/>
  <c r="AQ206" i="1" s="1"/>
  <c r="AL207" i="1"/>
  <c r="AM207" i="1"/>
  <c r="AQ207" i="1" s="1"/>
  <c r="AL208" i="1"/>
  <c r="AM208" i="1"/>
  <c r="AQ208" i="1" s="1"/>
  <c r="AL209" i="1"/>
  <c r="AM209" i="1"/>
  <c r="AQ209" i="1" s="1"/>
  <c r="AL210" i="1"/>
  <c r="AM210" i="1"/>
  <c r="AQ210" i="1" s="1"/>
  <c r="AL197" i="1"/>
  <c r="AM197" i="1"/>
  <c r="AQ197" i="1" s="1"/>
  <c r="AO176" i="1"/>
  <c r="AL159" i="1"/>
  <c r="AM159" i="1"/>
  <c r="AQ159" i="1" s="1"/>
  <c r="AL153" i="1"/>
  <c r="AM153" i="1"/>
  <c r="AQ153" i="1" s="1"/>
  <c r="AL126" i="1"/>
  <c r="AO5" i="1"/>
  <c r="AL234" i="1"/>
  <c r="AM66" i="1"/>
  <c r="AQ66" i="1" s="1"/>
  <c r="AL66" i="1"/>
  <c r="AM64" i="1"/>
  <c r="AQ64" i="1" s="1"/>
  <c r="AL64" i="1"/>
  <c r="AM63" i="1"/>
  <c r="AQ63" i="1" s="1"/>
  <c r="AL63" i="1"/>
  <c r="AM62" i="1"/>
  <c r="AQ62" i="1" s="1"/>
  <c r="AL62" i="1"/>
  <c r="AM61" i="1"/>
  <c r="AQ61" i="1" s="1"/>
  <c r="AL61" i="1"/>
  <c r="AM60" i="1"/>
  <c r="AQ60" i="1" s="1"/>
  <c r="AL60" i="1"/>
  <c r="AL121" i="1"/>
  <c r="AM130" i="1" l="1"/>
  <c r="AQ130" i="1" s="1"/>
  <c r="AL130" i="1"/>
  <c r="AJ6" i="1"/>
  <c r="AK6" i="1"/>
  <c r="AJ7" i="1"/>
  <c r="AK7" i="1"/>
  <c r="AM315" i="1"/>
  <c r="AQ315" i="1" s="1"/>
  <c r="AL315" i="1"/>
  <c r="AM314" i="1"/>
  <c r="AQ314" i="1" s="1"/>
  <c r="AL314" i="1"/>
  <c r="AM312" i="1"/>
  <c r="AQ312" i="1" s="1"/>
  <c r="AL312" i="1"/>
  <c r="AM311" i="1"/>
  <c r="AQ311" i="1" s="1"/>
  <c r="AL311" i="1"/>
  <c r="AM310" i="1"/>
  <c r="AQ310" i="1" s="1"/>
  <c r="AL310" i="1"/>
  <c r="AM309" i="1"/>
  <c r="AQ309" i="1" s="1"/>
  <c r="AL309" i="1"/>
  <c r="AM308" i="1"/>
  <c r="AQ308" i="1" s="1"/>
  <c r="AL308" i="1"/>
  <c r="AM307" i="1"/>
  <c r="AQ307" i="1" s="1"/>
  <c r="AL307" i="1"/>
  <c r="AM306" i="1"/>
  <c r="AQ306" i="1" s="1"/>
  <c r="AL306" i="1"/>
  <c r="AM305" i="1"/>
  <c r="AQ305" i="1" s="1"/>
  <c r="AL305" i="1"/>
  <c r="AM304" i="1"/>
  <c r="AQ304" i="1" s="1"/>
  <c r="AL304" i="1"/>
  <c r="AM303" i="1"/>
  <c r="AQ303" i="1" s="1"/>
  <c r="AL303" i="1"/>
  <c r="AM302" i="1"/>
  <c r="AQ302" i="1" s="1"/>
  <c r="AL302" i="1"/>
  <c r="AM301" i="1"/>
  <c r="AQ301" i="1" s="1"/>
  <c r="AL301" i="1"/>
  <c r="AM300" i="1"/>
  <c r="AQ300" i="1" s="1"/>
  <c r="AL300" i="1"/>
  <c r="AM299" i="1"/>
  <c r="AQ299" i="1" s="1"/>
  <c r="AL299" i="1"/>
  <c r="AM298" i="1"/>
  <c r="AQ298" i="1" s="1"/>
  <c r="AL298" i="1"/>
  <c r="AM297" i="1"/>
  <c r="AQ297" i="1" s="1"/>
  <c r="AL297" i="1"/>
  <c r="AM296" i="1"/>
  <c r="AQ296" i="1" s="1"/>
  <c r="AL296" i="1"/>
  <c r="AM293" i="1"/>
  <c r="AQ293" i="1" s="1"/>
  <c r="AL293" i="1"/>
  <c r="AM292" i="1"/>
  <c r="AQ292" i="1" s="1"/>
  <c r="AL292" i="1"/>
  <c r="AM291" i="1"/>
  <c r="AQ291" i="1" s="1"/>
  <c r="AL291" i="1"/>
  <c r="AM290" i="1"/>
  <c r="AQ290" i="1" s="1"/>
  <c r="AL290" i="1"/>
  <c r="AM283" i="1"/>
  <c r="AQ283" i="1" s="1"/>
  <c r="AL283" i="1"/>
  <c r="AM282" i="1"/>
  <c r="AQ282" i="1" s="1"/>
  <c r="AL282" i="1"/>
  <c r="AM281" i="1"/>
  <c r="AQ281" i="1" s="1"/>
  <c r="AL281" i="1"/>
  <c r="AM280" i="1"/>
  <c r="AQ280" i="1" s="1"/>
  <c r="AL280" i="1"/>
  <c r="AM279" i="1"/>
  <c r="AQ279" i="1" s="1"/>
  <c r="AL279" i="1"/>
  <c r="AM278" i="1"/>
  <c r="AQ278" i="1" s="1"/>
  <c r="AL278" i="1"/>
  <c r="AM277" i="1"/>
  <c r="AQ277" i="1" s="1"/>
  <c r="AL277" i="1"/>
  <c r="AM276" i="1"/>
  <c r="AQ276" i="1" s="1"/>
  <c r="AL276" i="1"/>
  <c r="AM275" i="1"/>
  <c r="AQ275" i="1" s="1"/>
  <c r="AL275" i="1"/>
  <c r="AM274" i="1"/>
  <c r="AQ274" i="1" s="1"/>
  <c r="AL274" i="1"/>
  <c r="AM273" i="1"/>
  <c r="AQ273" i="1" s="1"/>
  <c r="AL273" i="1"/>
  <c r="AM272" i="1"/>
  <c r="AQ272" i="1" s="1"/>
  <c r="AL272" i="1"/>
  <c r="AM271" i="1"/>
  <c r="AQ271" i="1" s="1"/>
  <c r="AL271" i="1"/>
  <c r="AM270" i="1"/>
  <c r="AQ270" i="1" s="1"/>
  <c r="AL270" i="1"/>
  <c r="AM269" i="1"/>
  <c r="AQ269" i="1" s="1"/>
  <c r="AL269" i="1"/>
  <c r="AM268" i="1"/>
  <c r="AQ268" i="1" s="1"/>
  <c r="AL268" i="1"/>
  <c r="AM267" i="1"/>
  <c r="AQ267" i="1" s="1"/>
  <c r="AL267" i="1"/>
  <c r="AM265" i="1"/>
  <c r="AQ265" i="1" s="1"/>
  <c r="AL265" i="1"/>
  <c r="AM261" i="1"/>
  <c r="AQ261" i="1" s="1"/>
  <c r="AL261" i="1"/>
  <c r="AM260" i="1"/>
  <c r="AQ260" i="1" s="1"/>
  <c r="AL260" i="1"/>
  <c r="AM258" i="1"/>
  <c r="AQ258" i="1" s="1"/>
  <c r="AL258" i="1"/>
  <c r="AM257" i="1"/>
  <c r="AQ257" i="1" s="1"/>
  <c r="AL257" i="1"/>
  <c r="AM256" i="1"/>
  <c r="AQ256" i="1" s="1"/>
  <c r="AL256" i="1"/>
  <c r="AM255" i="1"/>
  <c r="AQ255" i="1" s="1"/>
  <c r="AL255" i="1"/>
  <c r="AM254" i="1"/>
  <c r="AQ254" i="1" s="1"/>
  <c r="AL254" i="1"/>
  <c r="AM253" i="1"/>
  <c r="AQ253" i="1" s="1"/>
  <c r="AL253" i="1"/>
  <c r="AM248" i="1"/>
  <c r="AQ248" i="1" s="1"/>
  <c r="AL248" i="1"/>
  <c r="AM247" i="1"/>
  <c r="AQ247" i="1" s="1"/>
  <c r="AL247" i="1"/>
  <c r="AM246" i="1"/>
  <c r="AQ246" i="1" s="1"/>
  <c r="AL246" i="1"/>
  <c r="AM245" i="1"/>
  <c r="AQ245" i="1" s="1"/>
  <c r="AL245" i="1"/>
  <c r="AM244" i="1"/>
  <c r="AQ244" i="1" s="1"/>
  <c r="AL244" i="1"/>
  <c r="AM243" i="1"/>
  <c r="AQ243" i="1" s="1"/>
  <c r="AL243" i="1"/>
  <c r="AM242" i="1"/>
  <c r="AQ242" i="1" s="1"/>
  <c r="AL242" i="1"/>
  <c r="AM241" i="1"/>
  <c r="AQ241" i="1" s="1"/>
  <c r="AL241" i="1"/>
  <c r="AM240" i="1"/>
  <c r="AQ240" i="1" s="1"/>
  <c r="AL240" i="1"/>
  <c r="AM239" i="1"/>
  <c r="AQ239" i="1" s="1"/>
  <c r="AL239" i="1"/>
  <c r="AM238" i="1"/>
  <c r="AQ238" i="1" s="1"/>
  <c r="AL238" i="1"/>
  <c r="AM237" i="1"/>
  <c r="AQ237" i="1" s="1"/>
  <c r="AL237" i="1"/>
  <c r="AM236" i="1"/>
  <c r="AQ236" i="1" s="1"/>
  <c r="AL236" i="1"/>
  <c r="AM235" i="1"/>
  <c r="AQ235" i="1" s="1"/>
  <c r="AL235" i="1"/>
  <c r="AM234" i="1"/>
  <c r="AQ234" i="1" s="1"/>
  <c r="AM233" i="1"/>
  <c r="AQ233" i="1" s="1"/>
  <c r="AL233" i="1"/>
  <c r="AM232" i="1"/>
  <c r="AQ232" i="1" s="1"/>
  <c r="AL232" i="1"/>
  <c r="AM231" i="1"/>
  <c r="AQ231" i="1" s="1"/>
  <c r="AL231" i="1"/>
  <c r="AM230" i="1"/>
  <c r="AQ230" i="1" s="1"/>
  <c r="AL230" i="1"/>
  <c r="AM229" i="1"/>
  <c r="AQ229" i="1" s="1"/>
  <c r="AL229" i="1"/>
  <c r="AM228" i="1"/>
  <c r="AQ228" i="1" s="1"/>
  <c r="AL228" i="1"/>
  <c r="AM227" i="1"/>
  <c r="AQ227" i="1" s="1"/>
  <c r="AL227" i="1"/>
  <c r="AM226" i="1"/>
  <c r="AQ226" i="1" s="1"/>
  <c r="AL226" i="1"/>
  <c r="AM224" i="1"/>
  <c r="AQ224" i="1" s="1"/>
  <c r="AL224" i="1"/>
  <c r="AM223" i="1"/>
  <c r="AQ223" i="1" s="1"/>
  <c r="AL223" i="1"/>
  <c r="AM222" i="1"/>
  <c r="AQ222" i="1" s="1"/>
  <c r="AL222" i="1"/>
  <c r="AM221" i="1"/>
  <c r="AQ221" i="1" s="1"/>
  <c r="AL221" i="1"/>
  <c r="AM220" i="1"/>
  <c r="AQ220" i="1" s="1"/>
  <c r="AL220" i="1"/>
  <c r="AM219" i="1"/>
  <c r="AQ219" i="1" s="1"/>
  <c r="AL219" i="1"/>
  <c r="AM217" i="1"/>
  <c r="AQ217" i="1" s="1"/>
  <c r="AL217" i="1"/>
  <c r="AM216" i="1"/>
  <c r="AQ216" i="1" s="1"/>
  <c r="AL216" i="1"/>
  <c r="AM215" i="1"/>
  <c r="AQ215" i="1" s="1"/>
  <c r="AL215" i="1"/>
  <c r="AM214" i="1"/>
  <c r="AQ214" i="1" s="1"/>
  <c r="AL214" i="1"/>
  <c r="AM213" i="1"/>
  <c r="AQ213" i="1" s="1"/>
  <c r="AL213" i="1"/>
  <c r="AM212" i="1"/>
  <c r="AQ212" i="1" s="1"/>
  <c r="AL212" i="1"/>
  <c r="AM211" i="1"/>
  <c r="AQ211" i="1" s="1"/>
  <c r="AL211" i="1"/>
  <c r="AM199" i="1"/>
  <c r="AQ199" i="1" s="1"/>
  <c r="AL199" i="1"/>
  <c r="AM198" i="1"/>
  <c r="AQ198" i="1" s="1"/>
  <c r="AL198" i="1"/>
  <c r="AM196" i="1"/>
  <c r="AQ196" i="1" s="1"/>
  <c r="AL196" i="1"/>
  <c r="AM195" i="1"/>
  <c r="AQ195" i="1" s="1"/>
  <c r="AL195" i="1"/>
  <c r="AM194" i="1"/>
  <c r="AQ194" i="1" s="1"/>
  <c r="AL194" i="1"/>
  <c r="AM190" i="1"/>
  <c r="AQ190" i="1" s="1"/>
  <c r="AL190" i="1"/>
  <c r="AM189" i="1"/>
  <c r="AQ189" i="1" s="1"/>
  <c r="AL189" i="1"/>
  <c r="AM188" i="1"/>
  <c r="AQ188" i="1" s="1"/>
  <c r="AL188" i="1"/>
  <c r="AM187" i="1"/>
  <c r="AQ187" i="1" s="1"/>
  <c r="AL187" i="1"/>
  <c r="AM186" i="1"/>
  <c r="AQ186" i="1" s="1"/>
  <c r="AL186" i="1"/>
  <c r="AM185" i="1"/>
  <c r="AQ185" i="1" s="1"/>
  <c r="AL185" i="1"/>
  <c r="AM184" i="1"/>
  <c r="AQ184" i="1" s="1"/>
  <c r="AL184" i="1"/>
  <c r="AM183" i="1"/>
  <c r="AQ183" i="1" s="1"/>
  <c r="AL183" i="1"/>
  <c r="AM182" i="1"/>
  <c r="AQ182" i="1" s="1"/>
  <c r="AL182" i="1"/>
  <c r="AM181" i="1"/>
  <c r="AQ181" i="1" s="1"/>
  <c r="AL181" i="1"/>
  <c r="AM180" i="1"/>
  <c r="AQ180" i="1" s="1"/>
  <c r="AL180" i="1"/>
  <c r="AM179" i="1"/>
  <c r="AQ179" i="1" s="1"/>
  <c r="AL179" i="1"/>
  <c r="AM178" i="1"/>
  <c r="AQ178" i="1" s="1"/>
  <c r="AL178" i="1"/>
  <c r="AM174" i="1"/>
  <c r="AQ174" i="1" s="1"/>
  <c r="AL174" i="1"/>
  <c r="AM173" i="1"/>
  <c r="AQ173" i="1" s="1"/>
  <c r="AL173" i="1"/>
  <c r="AM172" i="1"/>
  <c r="AQ172" i="1" s="1"/>
  <c r="AL172" i="1"/>
  <c r="AM171" i="1"/>
  <c r="AQ171" i="1" s="1"/>
  <c r="AL171" i="1"/>
  <c r="AM170" i="1"/>
  <c r="AQ170" i="1" s="1"/>
  <c r="AL170" i="1"/>
  <c r="AM169" i="1"/>
  <c r="AQ169" i="1" s="1"/>
  <c r="AL169" i="1"/>
  <c r="AM168" i="1"/>
  <c r="AQ168" i="1" s="1"/>
  <c r="AL168" i="1"/>
  <c r="AM167" i="1"/>
  <c r="AQ167" i="1" s="1"/>
  <c r="AL167" i="1"/>
  <c r="AM166" i="1"/>
  <c r="AQ166" i="1" s="1"/>
  <c r="AL166" i="1"/>
  <c r="AM165" i="1"/>
  <c r="AQ165" i="1" s="1"/>
  <c r="AL165" i="1"/>
  <c r="AM164" i="1"/>
  <c r="AQ164" i="1" s="1"/>
  <c r="AL164" i="1"/>
  <c r="AM163" i="1"/>
  <c r="AQ163" i="1" s="1"/>
  <c r="AL163" i="1"/>
  <c r="AM162" i="1"/>
  <c r="AQ162" i="1" s="1"/>
  <c r="AL162" i="1"/>
  <c r="AM161" i="1"/>
  <c r="AQ161" i="1" s="1"/>
  <c r="AL161" i="1"/>
  <c r="AM160" i="1"/>
  <c r="AQ160" i="1" s="1"/>
  <c r="AL160" i="1"/>
  <c r="AM158" i="1"/>
  <c r="AQ158" i="1" s="1"/>
  <c r="AL158" i="1"/>
  <c r="AM157" i="1"/>
  <c r="AQ157" i="1" s="1"/>
  <c r="AL157" i="1"/>
  <c r="AM156" i="1"/>
  <c r="AQ156" i="1" s="1"/>
  <c r="AL156" i="1"/>
  <c r="AM155" i="1"/>
  <c r="AQ155" i="1" s="1"/>
  <c r="AL155" i="1"/>
  <c r="AM154" i="1"/>
  <c r="AQ154" i="1" s="1"/>
  <c r="AL154" i="1"/>
  <c r="AM152" i="1"/>
  <c r="AQ152" i="1" s="1"/>
  <c r="AL152" i="1"/>
  <c r="AM148" i="1"/>
  <c r="AQ148" i="1" s="1"/>
  <c r="AL148" i="1"/>
  <c r="AM147" i="1"/>
  <c r="AQ147" i="1" s="1"/>
  <c r="AL147" i="1"/>
  <c r="AM146" i="1"/>
  <c r="AQ146" i="1" s="1"/>
  <c r="AL146" i="1"/>
  <c r="AM145" i="1"/>
  <c r="AQ145" i="1" s="1"/>
  <c r="AL145" i="1"/>
  <c r="AM144" i="1"/>
  <c r="AQ144" i="1" s="1"/>
  <c r="AL144" i="1"/>
  <c r="AM143" i="1"/>
  <c r="AQ143" i="1" s="1"/>
  <c r="AL143" i="1"/>
  <c r="AM142" i="1"/>
  <c r="AQ142" i="1" s="1"/>
  <c r="AL142" i="1"/>
  <c r="AM141" i="1"/>
  <c r="AQ141" i="1" s="1"/>
  <c r="AL141" i="1"/>
  <c r="AM140" i="1"/>
  <c r="AQ140" i="1" s="1"/>
  <c r="AL140" i="1"/>
  <c r="AM138" i="1"/>
  <c r="AQ138" i="1" s="1"/>
  <c r="AL138" i="1"/>
  <c r="AM137" i="1"/>
  <c r="AQ137" i="1" s="1"/>
  <c r="AL137" i="1"/>
  <c r="AM136" i="1"/>
  <c r="AQ136" i="1" s="1"/>
  <c r="AL136" i="1"/>
  <c r="AM135" i="1"/>
  <c r="AQ135" i="1" s="1"/>
  <c r="AL135" i="1"/>
  <c r="AM134" i="1"/>
  <c r="AQ134" i="1" s="1"/>
  <c r="AL134" i="1"/>
  <c r="AM133" i="1"/>
  <c r="AQ133" i="1" s="1"/>
  <c r="AL133" i="1"/>
  <c r="AM132" i="1"/>
  <c r="AQ132" i="1" s="1"/>
  <c r="AL132" i="1"/>
  <c r="AM131" i="1"/>
  <c r="AQ131" i="1" s="1"/>
  <c r="AL131" i="1"/>
  <c r="AM129" i="1"/>
  <c r="AQ129" i="1" s="1"/>
  <c r="AL129" i="1"/>
  <c r="AM128" i="1"/>
  <c r="AQ128" i="1" s="1"/>
  <c r="AL128" i="1"/>
  <c r="AM127" i="1"/>
  <c r="AQ127" i="1" s="1"/>
  <c r="AL127" i="1"/>
  <c r="AM125" i="1"/>
  <c r="AQ125" i="1" s="1"/>
  <c r="AL125" i="1"/>
  <c r="AM121" i="1"/>
  <c r="AQ121" i="1" s="1"/>
  <c r="AM120" i="1"/>
  <c r="AQ120" i="1" s="1"/>
  <c r="AL120" i="1"/>
  <c r="AM119" i="1"/>
  <c r="AQ119" i="1" s="1"/>
  <c r="AL119" i="1"/>
  <c r="AM118" i="1"/>
  <c r="AQ118" i="1" s="1"/>
  <c r="AL118" i="1"/>
  <c r="AM117" i="1"/>
  <c r="AQ117" i="1" s="1"/>
  <c r="AM116" i="1"/>
  <c r="AQ116" i="1" s="1"/>
  <c r="AL116" i="1"/>
  <c r="AM115" i="1"/>
  <c r="AQ115" i="1" s="1"/>
  <c r="AL115" i="1"/>
  <c r="AM114" i="1"/>
  <c r="AQ114" i="1" s="1"/>
  <c r="AL114" i="1"/>
  <c r="AM113" i="1"/>
  <c r="AQ113" i="1" s="1"/>
  <c r="AL113" i="1"/>
  <c r="AM112" i="1"/>
  <c r="AQ112" i="1" s="1"/>
  <c r="AL112" i="1"/>
  <c r="AM111" i="1"/>
  <c r="AQ111" i="1" s="1"/>
  <c r="AL111" i="1"/>
  <c r="AM110" i="1"/>
  <c r="AQ110" i="1" s="1"/>
  <c r="AL110" i="1"/>
  <c r="AM109" i="1"/>
  <c r="AQ109" i="1" s="1"/>
  <c r="AL109" i="1"/>
  <c r="AM108" i="1"/>
  <c r="AQ108" i="1" s="1"/>
  <c r="AL108" i="1"/>
  <c r="AM107" i="1"/>
  <c r="AQ107" i="1" s="1"/>
  <c r="AL107" i="1"/>
  <c r="AM106" i="1"/>
  <c r="AQ106" i="1" s="1"/>
  <c r="AL106" i="1"/>
  <c r="AM105" i="1"/>
  <c r="AQ105" i="1" s="1"/>
  <c r="AL105" i="1"/>
  <c r="AM104" i="1"/>
  <c r="AQ104" i="1" s="1"/>
  <c r="AM103" i="1"/>
  <c r="AQ103" i="1" s="1"/>
  <c r="AL103" i="1"/>
  <c r="AM102" i="1"/>
  <c r="AQ102" i="1" s="1"/>
  <c r="AL102" i="1"/>
  <c r="AM101" i="1"/>
  <c r="AQ101" i="1" s="1"/>
  <c r="AL101" i="1"/>
  <c r="AM93" i="1"/>
  <c r="AQ93" i="1" s="1"/>
  <c r="AL93" i="1"/>
  <c r="AM92" i="1"/>
  <c r="AQ92" i="1" s="1"/>
  <c r="AL92" i="1"/>
  <c r="AM91" i="1"/>
  <c r="AQ91" i="1" s="1"/>
  <c r="AL91" i="1"/>
  <c r="AM90" i="1"/>
  <c r="AQ90" i="1" s="1"/>
  <c r="AL90" i="1"/>
  <c r="AM85" i="1"/>
  <c r="AQ85" i="1" s="1"/>
  <c r="AL85" i="1"/>
  <c r="AM84" i="1"/>
  <c r="AQ84" i="1" s="1"/>
  <c r="AL84" i="1"/>
  <c r="AM79" i="1"/>
  <c r="AQ79" i="1" s="1"/>
  <c r="AL79" i="1"/>
  <c r="AM78" i="1"/>
  <c r="AQ78" i="1" s="1"/>
  <c r="AL78" i="1"/>
  <c r="AM73" i="1"/>
  <c r="AQ73" i="1" s="1"/>
  <c r="AL73" i="1"/>
  <c r="AM72" i="1"/>
  <c r="AQ72" i="1" s="1"/>
  <c r="AL72" i="1"/>
  <c r="AM71" i="1"/>
  <c r="AQ71" i="1" s="1"/>
  <c r="AL71" i="1"/>
  <c r="AM55" i="1"/>
  <c r="AQ55" i="1" s="1"/>
  <c r="AL55" i="1"/>
  <c r="AM54" i="1"/>
  <c r="AQ54" i="1" s="1"/>
  <c r="AL54" i="1"/>
  <c r="AM53" i="1"/>
  <c r="AQ53" i="1" s="1"/>
  <c r="AL53" i="1"/>
  <c r="AM52" i="1"/>
  <c r="AQ52" i="1" s="1"/>
  <c r="AL52" i="1"/>
  <c r="AM51" i="1"/>
  <c r="AQ51" i="1" s="1"/>
  <c r="AL51" i="1"/>
  <c r="AM50" i="1"/>
  <c r="AQ50" i="1" s="1"/>
  <c r="AL50" i="1"/>
  <c r="AM49" i="1"/>
  <c r="AQ49" i="1" s="1"/>
  <c r="AL49" i="1"/>
  <c r="AM48" i="1"/>
  <c r="AQ48" i="1" s="1"/>
  <c r="AL48" i="1"/>
  <c r="AM47" i="1"/>
  <c r="AQ47" i="1" s="1"/>
  <c r="AL47" i="1"/>
  <c r="AM42" i="1"/>
  <c r="AQ42" i="1" s="1"/>
  <c r="AL42" i="1"/>
  <c r="AM41" i="1"/>
  <c r="AQ41" i="1" s="1"/>
  <c r="AL41" i="1"/>
  <c r="AM40" i="1"/>
  <c r="AQ40" i="1" s="1"/>
  <c r="AL40" i="1"/>
  <c r="AM39" i="1"/>
  <c r="AQ39" i="1" s="1"/>
  <c r="AL39" i="1"/>
  <c r="AM38" i="1"/>
  <c r="AQ38" i="1" s="1"/>
  <c r="AL38" i="1"/>
  <c r="AM37" i="1"/>
  <c r="AQ37" i="1" s="1"/>
  <c r="AL37" i="1"/>
  <c r="AM32" i="1"/>
  <c r="AQ32" i="1" s="1"/>
  <c r="AL32" i="1"/>
  <c r="AM31" i="1"/>
  <c r="AQ31" i="1" s="1"/>
  <c r="AL31" i="1"/>
  <c r="AM30" i="1"/>
  <c r="AQ30" i="1" s="1"/>
  <c r="AL30" i="1"/>
  <c r="AM29" i="1"/>
  <c r="AQ29" i="1" s="1"/>
  <c r="AL29" i="1"/>
  <c r="AM28" i="1"/>
  <c r="AQ28" i="1" s="1"/>
  <c r="AL28" i="1"/>
  <c r="AM27" i="1"/>
  <c r="AQ27" i="1" s="1"/>
  <c r="AL27" i="1"/>
  <c r="AM26" i="1"/>
  <c r="AQ26" i="1" s="1"/>
  <c r="AL26" i="1"/>
  <c r="AM25" i="1"/>
  <c r="AQ25" i="1" s="1"/>
  <c r="AM24" i="1"/>
  <c r="AQ24" i="1" s="1"/>
  <c r="AL24" i="1"/>
  <c r="AM23" i="1"/>
  <c r="AQ23" i="1" s="1"/>
  <c r="AM22" i="1"/>
  <c r="AQ22" i="1" s="1"/>
  <c r="AL22" i="1"/>
  <c r="AL14" i="1"/>
  <c r="AM14" i="1"/>
  <c r="AQ14" i="1" s="1"/>
  <c r="AL15" i="1"/>
  <c r="AM15" i="1"/>
  <c r="AQ15" i="1" s="1"/>
  <c r="AL16" i="1"/>
  <c r="AM16" i="1"/>
  <c r="AQ16" i="1" s="1"/>
  <c r="AL17" i="1"/>
  <c r="AM17" i="1"/>
  <c r="AQ17" i="1" s="1"/>
  <c r="AM13" i="1"/>
  <c r="AQ13" i="1" s="1"/>
  <c r="AL13" i="1"/>
  <c r="AK317" i="1"/>
  <c r="AJ317" i="1"/>
  <c r="AK285" i="1"/>
  <c r="AJ285" i="1"/>
  <c r="AK263" i="1"/>
  <c r="AJ263" i="1"/>
  <c r="AK250" i="1"/>
  <c r="AJ250" i="1"/>
  <c r="AK201" i="1"/>
  <c r="AJ201" i="1"/>
  <c r="AK192" i="1"/>
  <c r="AJ192" i="1"/>
  <c r="AK176" i="1"/>
  <c r="AJ176" i="1"/>
  <c r="AK150" i="1"/>
  <c r="AJ150" i="1"/>
  <c r="AK123" i="1"/>
  <c r="AJ123" i="1"/>
  <c r="AK95" i="1"/>
  <c r="AJ95" i="1"/>
  <c r="AK87" i="1"/>
  <c r="AJ87" i="1"/>
  <c r="AK81" i="1"/>
  <c r="AJ81" i="1"/>
  <c r="AK75" i="1"/>
  <c r="AJ75" i="1"/>
  <c r="AK68" i="1"/>
  <c r="AJ68" i="1"/>
  <c r="AK57" i="1"/>
  <c r="AJ57" i="1"/>
  <c r="AK44" i="1"/>
  <c r="AJ44" i="1"/>
  <c r="AK34" i="1"/>
  <c r="AJ34" i="1"/>
  <c r="AK19" i="1"/>
  <c r="AJ19" i="1"/>
  <c r="AK287" i="1" l="1"/>
  <c r="AJ287" i="1"/>
  <c r="AJ9" i="1"/>
  <c r="AK9" i="1"/>
  <c r="AJ97" i="1"/>
  <c r="AK97" i="1"/>
  <c r="AJ203" i="1"/>
  <c r="AK203" i="1"/>
  <c r="AH317" i="1"/>
  <c r="AG317" i="1"/>
  <c r="AH285" i="1"/>
  <c r="AG285" i="1"/>
  <c r="AH263" i="1"/>
  <c r="AG263" i="1"/>
  <c r="AH250" i="1"/>
  <c r="AG250" i="1"/>
  <c r="AH201" i="1"/>
  <c r="AG201" i="1"/>
  <c r="AH192" i="1"/>
  <c r="AG192" i="1"/>
  <c r="AH176" i="1"/>
  <c r="AG176" i="1"/>
  <c r="AH150" i="1"/>
  <c r="AG150" i="1"/>
  <c r="AH123" i="1"/>
  <c r="AG123" i="1"/>
  <c r="AH95" i="1"/>
  <c r="AG95" i="1"/>
  <c r="AH87" i="1"/>
  <c r="AG87" i="1"/>
  <c r="AH81" i="1"/>
  <c r="AG81" i="1"/>
  <c r="AH75" i="1"/>
  <c r="AG75" i="1"/>
  <c r="AH68" i="1"/>
  <c r="AG68" i="1"/>
  <c r="AH57" i="1"/>
  <c r="AG57" i="1"/>
  <c r="AH44" i="1"/>
  <c r="AG44" i="1"/>
  <c r="AH34" i="1"/>
  <c r="AG34" i="1"/>
  <c r="AH19" i="1"/>
  <c r="AG19" i="1"/>
  <c r="AH7" i="1"/>
  <c r="AG7" i="1"/>
  <c r="AH6" i="1"/>
  <c r="AG6" i="1"/>
  <c r="AD123" i="1"/>
  <c r="AE317" i="1"/>
  <c r="AD317" i="1"/>
  <c r="AE285" i="1"/>
  <c r="AD285" i="1"/>
  <c r="AE263" i="1"/>
  <c r="AD263" i="1"/>
  <c r="AE250" i="1"/>
  <c r="AD250" i="1"/>
  <c r="AE201" i="1"/>
  <c r="AD201" i="1"/>
  <c r="AE192" i="1"/>
  <c r="AD192" i="1"/>
  <c r="AE176" i="1"/>
  <c r="AD176" i="1"/>
  <c r="AE150" i="1"/>
  <c r="AD150" i="1"/>
  <c r="AE123" i="1"/>
  <c r="AE95" i="1"/>
  <c r="AD95" i="1"/>
  <c r="AE87" i="1"/>
  <c r="AD87" i="1"/>
  <c r="AE81" i="1"/>
  <c r="AD81" i="1"/>
  <c r="AE75" i="1"/>
  <c r="AD75" i="1"/>
  <c r="AE68" i="1"/>
  <c r="AD68" i="1"/>
  <c r="AE57" i="1"/>
  <c r="AD57" i="1"/>
  <c r="AE44" i="1"/>
  <c r="AD44" i="1"/>
  <c r="AE34" i="1"/>
  <c r="AD34" i="1"/>
  <c r="AE19" i="1"/>
  <c r="AD19" i="1"/>
  <c r="AE7" i="1"/>
  <c r="AD7" i="1"/>
  <c r="AE6" i="1"/>
  <c r="AD6" i="1"/>
  <c r="AK319" i="1" l="1"/>
  <c r="AJ319" i="1"/>
  <c r="AJ322" i="1" s="1"/>
  <c r="AH9" i="1"/>
  <c r="AG287" i="1"/>
  <c r="AG9" i="1"/>
  <c r="AG97" i="1"/>
  <c r="AH97" i="1"/>
  <c r="AH203" i="1"/>
  <c r="AG203" i="1"/>
  <c r="AH287" i="1"/>
  <c r="AE9" i="1"/>
  <c r="AE287" i="1"/>
  <c r="AD9" i="1"/>
  <c r="AD287" i="1"/>
  <c r="AD203" i="1"/>
  <c r="AE203" i="1"/>
  <c r="AD97" i="1"/>
  <c r="AE97" i="1"/>
  <c r="AK322" i="1" l="1"/>
  <c r="AG319" i="1"/>
  <c r="AG322" i="1" s="1"/>
  <c r="AH319" i="1"/>
  <c r="AH322" i="1" s="1"/>
  <c r="AE319" i="1"/>
  <c r="AE322" i="1" s="1"/>
  <c r="AD319" i="1"/>
  <c r="AD322" i="1" s="1"/>
  <c r="AB317" i="1"/>
  <c r="AA317" i="1"/>
  <c r="AB285" i="1"/>
  <c r="AA285" i="1"/>
  <c r="AB263" i="1"/>
  <c r="AA263" i="1"/>
  <c r="AB250" i="1"/>
  <c r="AA250" i="1"/>
  <c r="AB201" i="1"/>
  <c r="AA201" i="1"/>
  <c r="AB192" i="1"/>
  <c r="AA192" i="1"/>
  <c r="AB176" i="1"/>
  <c r="AA176" i="1"/>
  <c r="AB150" i="1"/>
  <c r="AA150" i="1"/>
  <c r="AB123" i="1"/>
  <c r="AA123" i="1"/>
  <c r="AB95" i="1"/>
  <c r="AA95" i="1"/>
  <c r="AB87" i="1"/>
  <c r="AA87" i="1"/>
  <c r="AB81" i="1"/>
  <c r="AA81" i="1"/>
  <c r="AB75" i="1"/>
  <c r="AA75" i="1"/>
  <c r="AB68" i="1"/>
  <c r="AA68" i="1"/>
  <c r="AB57" i="1"/>
  <c r="AA57" i="1"/>
  <c r="AB44" i="1"/>
  <c r="AA44" i="1"/>
  <c r="AB34" i="1"/>
  <c r="AA34" i="1"/>
  <c r="AB19" i="1"/>
  <c r="AA19" i="1"/>
  <c r="AB7" i="1"/>
  <c r="AA7" i="1"/>
  <c r="AB6" i="1"/>
  <c r="AA6" i="1"/>
  <c r="C285" i="1"/>
  <c r="X250" i="1"/>
  <c r="Y317" i="1"/>
  <c r="X317" i="1"/>
  <c r="Y285" i="1"/>
  <c r="X285" i="1"/>
  <c r="Y263" i="1"/>
  <c r="X263" i="1"/>
  <c r="Y250" i="1"/>
  <c r="Y201" i="1"/>
  <c r="X201" i="1"/>
  <c r="Y192" i="1"/>
  <c r="X192" i="1"/>
  <c r="Y176" i="1"/>
  <c r="X176" i="1"/>
  <c r="Y150" i="1"/>
  <c r="X150" i="1"/>
  <c r="Y123" i="1"/>
  <c r="X123" i="1"/>
  <c r="Y95" i="1"/>
  <c r="X95" i="1"/>
  <c r="Y87" i="1"/>
  <c r="X87" i="1"/>
  <c r="Y81" i="1"/>
  <c r="X81" i="1"/>
  <c r="Y75" i="1"/>
  <c r="X75" i="1"/>
  <c r="Y68" i="1"/>
  <c r="X68" i="1"/>
  <c r="Y57" i="1"/>
  <c r="X57" i="1"/>
  <c r="Y44" i="1"/>
  <c r="X44" i="1"/>
  <c r="Y34" i="1"/>
  <c r="X34" i="1"/>
  <c r="Y19" i="1"/>
  <c r="X19" i="1"/>
  <c r="Y7" i="1"/>
  <c r="X7" i="1"/>
  <c r="Y6" i="1"/>
  <c r="X6" i="1"/>
  <c r="AL104" i="1"/>
  <c r="U201" i="1"/>
  <c r="AL285" i="1" l="1"/>
  <c r="AM285" i="1"/>
  <c r="AQ285" i="1" s="1"/>
  <c r="AA287" i="1"/>
  <c r="AA203" i="1"/>
  <c r="AB287" i="1"/>
  <c r="AB203" i="1"/>
  <c r="AA97" i="1"/>
  <c r="AB97" i="1"/>
  <c r="AB9" i="1"/>
  <c r="AA9" i="1"/>
  <c r="AL44" i="1"/>
  <c r="Y9" i="1"/>
  <c r="Y287" i="1"/>
  <c r="X287" i="1"/>
  <c r="X203" i="1"/>
  <c r="Y203" i="1"/>
  <c r="X97" i="1"/>
  <c r="Y97" i="1"/>
  <c r="X9" i="1"/>
  <c r="V317" i="1"/>
  <c r="U317" i="1"/>
  <c r="V285" i="1"/>
  <c r="U285" i="1"/>
  <c r="V263" i="1"/>
  <c r="U263" i="1"/>
  <c r="V250" i="1"/>
  <c r="U250" i="1"/>
  <c r="V201" i="1"/>
  <c r="V192" i="1"/>
  <c r="U192" i="1"/>
  <c r="V176" i="1"/>
  <c r="U176" i="1"/>
  <c r="V150" i="1"/>
  <c r="U150" i="1"/>
  <c r="V123" i="1"/>
  <c r="U123" i="1"/>
  <c r="V95" i="1"/>
  <c r="U95" i="1"/>
  <c r="V87" i="1"/>
  <c r="U87" i="1"/>
  <c r="V81" i="1"/>
  <c r="U81" i="1"/>
  <c r="V75" i="1"/>
  <c r="U75" i="1"/>
  <c r="V68" i="1"/>
  <c r="U68" i="1"/>
  <c r="V57" i="1"/>
  <c r="U57" i="1"/>
  <c r="V44" i="1"/>
  <c r="U44" i="1"/>
  <c r="V34" i="1"/>
  <c r="U34" i="1"/>
  <c r="V19" i="1"/>
  <c r="U19" i="1"/>
  <c r="V7" i="1"/>
  <c r="U7" i="1"/>
  <c r="V6" i="1"/>
  <c r="U6" i="1"/>
  <c r="AL117" i="1"/>
  <c r="S285" i="1"/>
  <c r="R285" i="1"/>
  <c r="S176" i="1"/>
  <c r="R176" i="1"/>
  <c r="S317" i="1"/>
  <c r="R317" i="1"/>
  <c r="S263" i="1"/>
  <c r="R263" i="1"/>
  <c r="S250" i="1"/>
  <c r="R250" i="1"/>
  <c r="S201" i="1"/>
  <c r="R201" i="1"/>
  <c r="S192" i="1"/>
  <c r="R192" i="1"/>
  <c r="S150" i="1"/>
  <c r="R150" i="1"/>
  <c r="S123" i="1"/>
  <c r="S95" i="1"/>
  <c r="R95" i="1"/>
  <c r="S87" i="1"/>
  <c r="R87" i="1"/>
  <c r="S81" i="1"/>
  <c r="R81" i="1"/>
  <c r="S75" i="1"/>
  <c r="R75" i="1"/>
  <c r="S68" i="1"/>
  <c r="R68" i="1"/>
  <c r="S57" i="1"/>
  <c r="R57" i="1"/>
  <c r="S44" i="1"/>
  <c r="R44" i="1"/>
  <c r="S34" i="1"/>
  <c r="R34" i="1"/>
  <c r="S19" i="1"/>
  <c r="R19" i="1"/>
  <c r="S7" i="1"/>
  <c r="R7" i="1"/>
  <c r="S6" i="1"/>
  <c r="R6" i="1"/>
  <c r="P317" i="1"/>
  <c r="O317" i="1"/>
  <c r="P285" i="1"/>
  <c r="O285" i="1"/>
  <c r="P263" i="1"/>
  <c r="O263" i="1"/>
  <c r="P250" i="1"/>
  <c r="O250" i="1"/>
  <c r="P201" i="1"/>
  <c r="O201" i="1"/>
  <c r="P192" i="1"/>
  <c r="O192" i="1"/>
  <c r="P176" i="1"/>
  <c r="O176" i="1"/>
  <c r="P150" i="1"/>
  <c r="O150" i="1"/>
  <c r="P123" i="1"/>
  <c r="O123" i="1"/>
  <c r="P95" i="1"/>
  <c r="O95" i="1"/>
  <c r="P87" i="1"/>
  <c r="O87" i="1"/>
  <c r="P81" i="1"/>
  <c r="O81" i="1"/>
  <c r="P75" i="1"/>
  <c r="O75" i="1"/>
  <c r="P68" i="1"/>
  <c r="O68" i="1"/>
  <c r="P57" i="1"/>
  <c r="O57" i="1"/>
  <c r="P44" i="1"/>
  <c r="O44" i="1"/>
  <c r="P34" i="1"/>
  <c r="O34" i="1"/>
  <c r="P19" i="1"/>
  <c r="O19" i="1"/>
  <c r="P7" i="1"/>
  <c r="O7" i="1"/>
  <c r="P6" i="1"/>
  <c r="O6" i="1"/>
  <c r="M317" i="1"/>
  <c r="L317" i="1"/>
  <c r="M263" i="1"/>
  <c r="L263" i="1"/>
  <c r="M250" i="1"/>
  <c r="L250" i="1"/>
  <c r="M201" i="1"/>
  <c r="L201" i="1"/>
  <c r="M192" i="1"/>
  <c r="L192" i="1"/>
  <c r="M150" i="1"/>
  <c r="L150" i="1"/>
  <c r="M123" i="1"/>
  <c r="L123" i="1"/>
  <c r="M95" i="1"/>
  <c r="L95" i="1"/>
  <c r="M87" i="1"/>
  <c r="L87" i="1"/>
  <c r="M81" i="1"/>
  <c r="L81" i="1"/>
  <c r="M75" i="1"/>
  <c r="L75" i="1"/>
  <c r="M68" i="1"/>
  <c r="L68" i="1"/>
  <c r="M57" i="1"/>
  <c r="L57" i="1"/>
  <c r="M44" i="1"/>
  <c r="L44" i="1"/>
  <c r="M34" i="1"/>
  <c r="L34" i="1"/>
  <c r="M19" i="1"/>
  <c r="L19" i="1"/>
  <c r="M7" i="1"/>
  <c r="L7" i="1"/>
  <c r="M6" i="1"/>
  <c r="L6" i="1"/>
  <c r="AA319" i="1" l="1"/>
  <c r="AA322" i="1" s="1"/>
  <c r="AB319" i="1"/>
  <c r="AB322" i="1" s="1"/>
  <c r="R123" i="1"/>
  <c r="R203" i="1" s="1"/>
  <c r="V9" i="1"/>
  <c r="Y319" i="1"/>
  <c r="Y322" i="1" s="1"/>
  <c r="X319" i="1"/>
  <c r="X322" i="1" s="1"/>
  <c r="U9" i="1"/>
  <c r="V97" i="1"/>
  <c r="U97" i="1"/>
  <c r="V203" i="1"/>
  <c r="U203" i="1"/>
  <c r="U287" i="1"/>
  <c r="V287" i="1"/>
  <c r="S9" i="1"/>
  <c r="AL176" i="1"/>
  <c r="AM176" i="1"/>
  <c r="AQ176" i="1" s="1"/>
  <c r="R287" i="1"/>
  <c r="R9" i="1"/>
  <c r="S97" i="1"/>
  <c r="R97" i="1"/>
  <c r="S203" i="1"/>
  <c r="S287" i="1"/>
  <c r="L287" i="1"/>
  <c r="P287" i="1"/>
  <c r="O287" i="1"/>
  <c r="M287" i="1"/>
  <c r="L203" i="1"/>
  <c r="P203" i="1"/>
  <c r="O203" i="1"/>
  <c r="M203" i="1"/>
  <c r="O9" i="1"/>
  <c r="P9" i="1"/>
  <c r="O97" i="1"/>
  <c r="L9" i="1"/>
  <c r="P97" i="1"/>
  <c r="M9" i="1"/>
  <c r="M97" i="1"/>
  <c r="L97" i="1"/>
  <c r="U319" i="1" l="1"/>
  <c r="U322" i="1" s="1"/>
  <c r="V319" i="1"/>
  <c r="V322" i="1" s="1"/>
  <c r="R319" i="1"/>
  <c r="R322" i="1" s="1"/>
  <c r="S319" i="1"/>
  <c r="S322" i="1" s="1"/>
  <c r="O319" i="1"/>
  <c r="O322" i="1" s="1"/>
  <c r="P319" i="1"/>
  <c r="P322" i="1" s="1"/>
  <c r="M319" i="1"/>
  <c r="M322" i="1" s="1"/>
  <c r="L319" i="1"/>
  <c r="L322" i="1" s="1"/>
  <c r="J317" i="1" l="1"/>
  <c r="I317" i="1"/>
  <c r="J263" i="1"/>
  <c r="I263" i="1"/>
  <c r="J250" i="1"/>
  <c r="I250" i="1"/>
  <c r="J201" i="1"/>
  <c r="I201" i="1"/>
  <c r="J192" i="1"/>
  <c r="I192" i="1"/>
  <c r="J150" i="1"/>
  <c r="I150" i="1"/>
  <c r="J123" i="1"/>
  <c r="I123" i="1"/>
  <c r="J95" i="1"/>
  <c r="I95" i="1"/>
  <c r="J87" i="1"/>
  <c r="I87" i="1"/>
  <c r="J81" i="1"/>
  <c r="I81" i="1"/>
  <c r="J75" i="1"/>
  <c r="I75" i="1"/>
  <c r="J68" i="1"/>
  <c r="I68" i="1"/>
  <c r="J57" i="1"/>
  <c r="I57" i="1"/>
  <c r="J44" i="1"/>
  <c r="I44" i="1"/>
  <c r="J34" i="1"/>
  <c r="I34" i="1"/>
  <c r="J19" i="1"/>
  <c r="I19" i="1"/>
  <c r="J7" i="1"/>
  <c r="I7" i="1"/>
  <c r="J6" i="1"/>
  <c r="I6" i="1"/>
  <c r="AL25" i="1"/>
  <c r="J203" i="1" l="1"/>
  <c r="I287" i="1"/>
  <c r="J287" i="1"/>
  <c r="I203" i="1"/>
  <c r="J9" i="1"/>
  <c r="I97" i="1"/>
  <c r="J97" i="1"/>
  <c r="I9" i="1"/>
  <c r="C123" i="1"/>
  <c r="AL23" i="1"/>
  <c r="G317" i="1"/>
  <c r="F317" i="1"/>
  <c r="D317" i="1"/>
  <c r="C317" i="1"/>
  <c r="G263" i="1"/>
  <c r="F263" i="1"/>
  <c r="D263" i="1"/>
  <c r="C263" i="1"/>
  <c r="G250" i="1"/>
  <c r="F250" i="1"/>
  <c r="D250" i="1"/>
  <c r="C250" i="1"/>
  <c r="G201" i="1"/>
  <c r="F201" i="1"/>
  <c r="D201" i="1"/>
  <c r="C201" i="1"/>
  <c r="AO201" i="1"/>
  <c r="G192" i="1"/>
  <c r="F192" i="1"/>
  <c r="D192" i="1"/>
  <c r="C192" i="1"/>
  <c r="G150" i="1"/>
  <c r="F150" i="1"/>
  <c r="D150" i="1"/>
  <c r="C150" i="1"/>
  <c r="G123" i="1"/>
  <c r="F123" i="1"/>
  <c r="D123" i="1"/>
  <c r="G95" i="1"/>
  <c r="F95" i="1"/>
  <c r="D95" i="1"/>
  <c r="C95" i="1"/>
  <c r="G87" i="1"/>
  <c r="F87" i="1"/>
  <c r="D87" i="1"/>
  <c r="C87" i="1"/>
  <c r="G81" i="1"/>
  <c r="F81" i="1"/>
  <c r="D81" i="1"/>
  <c r="C81" i="1"/>
  <c r="G75" i="1"/>
  <c r="F75" i="1"/>
  <c r="D75" i="1"/>
  <c r="C75" i="1"/>
  <c r="G68" i="1"/>
  <c r="F68" i="1"/>
  <c r="D68" i="1"/>
  <c r="C68" i="1"/>
  <c r="G57" i="1"/>
  <c r="F57" i="1"/>
  <c r="D57" i="1"/>
  <c r="C57" i="1"/>
  <c r="G44" i="1"/>
  <c r="F44" i="1"/>
  <c r="D44" i="1"/>
  <c r="C44" i="1"/>
  <c r="G34" i="1"/>
  <c r="F34" i="1"/>
  <c r="D34" i="1"/>
  <c r="G19" i="1"/>
  <c r="F19" i="1"/>
  <c r="D19" i="1"/>
  <c r="C19" i="1"/>
  <c r="G7" i="1"/>
  <c r="G6" i="1"/>
  <c r="F7" i="1"/>
  <c r="F6" i="1"/>
  <c r="D7" i="1"/>
  <c r="D6" i="1"/>
  <c r="C7" i="1"/>
  <c r="C6" i="1"/>
  <c r="AO6" i="1"/>
  <c r="AO7" i="1"/>
  <c r="AO19" i="1"/>
  <c r="AO44" i="1"/>
  <c r="AO68" i="1"/>
  <c r="AO75" i="1"/>
  <c r="AO81" i="1"/>
  <c r="AO87" i="1"/>
  <c r="AO95" i="1"/>
  <c r="AO102" i="1"/>
  <c r="AO113" i="1"/>
  <c r="AO192" i="1"/>
  <c r="AO263" i="1"/>
  <c r="AO317" i="1"/>
  <c r="AM5" i="1" l="1"/>
  <c r="AL5" i="1"/>
  <c r="AL6" i="1"/>
  <c r="AL7" i="1"/>
  <c r="AM6" i="1"/>
  <c r="AM7" i="1"/>
  <c r="F203" i="1"/>
  <c r="AO34" i="1"/>
  <c r="D203" i="1"/>
  <c r="C287" i="1"/>
  <c r="D287" i="1"/>
  <c r="F287" i="1"/>
  <c r="G203" i="1"/>
  <c r="G287" i="1"/>
  <c r="C203" i="1"/>
  <c r="C34" i="1"/>
  <c r="C97" i="1" s="1"/>
  <c r="J319" i="1"/>
  <c r="J322" i="1" s="1"/>
  <c r="I319" i="1"/>
  <c r="I322" i="1" s="1"/>
  <c r="AM317" i="1"/>
  <c r="AQ317" i="1" s="1"/>
  <c r="F9" i="1"/>
  <c r="AM87" i="1"/>
  <c r="AQ87" i="1" s="1"/>
  <c r="AL68" i="1"/>
  <c r="AM250" i="1"/>
  <c r="AQ250" i="1" s="1"/>
  <c r="C9" i="1"/>
  <c r="AM81" i="1"/>
  <c r="AQ81" i="1" s="1"/>
  <c r="AM263" i="1"/>
  <c r="AQ263" i="1" s="1"/>
  <c r="AL317" i="1"/>
  <c r="AL263" i="1"/>
  <c r="AL95" i="1"/>
  <c r="AM95" i="1"/>
  <c r="AQ95" i="1" s="1"/>
  <c r="D9" i="1"/>
  <c r="AL250" i="1"/>
  <c r="AL87" i="1"/>
  <c r="AL81" i="1"/>
  <c r="AM44" i="1"/>
  <c r="AQ44" i="1" s="1"/>
  <c r="AL34" i="1"/>
  <c r="AL57" i="1"/>
  <c r="AM34" i="1"/>
  <c r="AQ34" i="1" s="1"/>
  <c r="AM57" i="1"/>
  <c r="AQ57" i="1" s="1"/>
  <c r="AM150" i="1"/>
  <c r="AQ150" i="1" s="1"/>
  <c r="AL19" i="1"/>
  <c r="AL192" i="1"/>
  <c r="G9" i="1"/>
  <c r="F97" i="1"/>
  <c r="AM192" i="1"/>
  <c r="AQ192" i="1" s="1"/>
  <c r="AL75" i="1"/>
  <c r="G97" i="1"/>
  <c r="AL201" i="1"/>
  <c r="AL150" i="1"/>
  <c r="AM75" i="1"/>
  <c r="AQ75" i="1" s="1"/>
  <c r="AM201" i="1"/>
  <c r="AQ201" i="1" s="1"/>
  <c r="AL123" i="1"/>
  <c r="AM68" i="1"/>
  <c r="AQ68" i="1" s="1"/>
  <c r="AM123" i="1"/>
  <c r="AQ123" i="1" s="1"/>
  <c r="AO150" i="1"/>
  <c r="AO57" i="1"/>
  <c r="AM19" i="1"/>
  <c r="AQ19" i="1" s="1"/>
  <c r="D97" i="1"/>
  <c r="AO250" i="1"/>
  <c r="AO123" i="1"/>
  <c r="AO9" i="1"/>
  <c r="AO287" i="1"/>
  <c r="AO97" i="1" l="1"/>
  <c r="AO203" i="1"/>
  <c r="AO319" i="1" s="1"/>
  <c r="AL287" i="1"/>
  <c r="AM287" i="1"/>
  <c r="AQ287" i="1" s="1"/>
  <c r="AM203" i="1"/>
  <c r="AQ203" i="1" s="1"/>
  <c r="AL203" i="1"/>
  <c r="F319" i="1"/>
  <c r="F322" i="1" s="1"/>
  <c r="D319" i="1"/>
  <c r="D322" i="1" s="1"/>
  <c r="AL9" i="1"/>
  <c r="G319" i="1"/>
  <c r="G322" i="1" s="1"/>
  <c r="C319" i="1"/>
  <c r="C322" i="1" s="1"/>
  <c r="AM9" i="1"/>
  <c r="AL97" i="1"/>
  <c r="AM97" i="1"/>
  <c r="AQ97" i="1" s="1"/>
  <c r="AO322" i="1" l="1"/>
  <c r="AM319" i="1"/>
  <c r="AL319" i="1"/>
  <c r="AM322" i="1" l="1"/>
  <c r="AQ322" i="1" s="1"/>
  <c r="AQ319" i="1"/>
  <c r="AL32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Sheena Hall</author>
  </authors>
  <commentList>
    <comment ref="AO206" authorId="0" shapeId="0" xr:uid="{B2A97191-4496-4E37-AED1-9B944F6E922A}">
      <text>
        <r>
          <rPr>
            <b/>
            <sz val="9"/>
            <color indexed="81"/>
            <rFont val="Tahoma"/>
            <family val="2"/>
          </rPr>
          <t>Sheena Hall:</t>
        </r>
        <r>
          <rPr>
            <sz val="9"/>
            <color indexed="81"/>
            <rFont val="Tahoma"/>
            <family val="2"/>
          </rPr>
          <t xml:space="preserve">
Originally reduced to removed excess OT.  Raised so not decrease year to year.</t>
        </r>
      </text>
    </comment>
  </commentList>
</comments>
</file>

<file path=xl/sharedStrings.xml><?xml version="1.0" encoding="utf-8"?>
<sst xmlns="http://schemas.openxmlformats.org/spreadsheetml/2006/main" count="890" uniqueCount="531">
  <si>
    <t>NET INCOME (LOSS)</t>
  </si>
  <si>
    <t>Group Total [7200] Expenditures</t>
  </si>
  <si>
    <t>All Funds Presented</t>
  </si>
  <si>
    <t>Subtotal - Beach Safety</t>
  </si>
  <si>
    <t/>
  </si>
  <si>
    <t>Equip / Asset Purchase</t>
  </si>
  <si>
    <t>Equipment Maintenance</t>
  </si>
  <si>
    <t>6081900</t>
  </si>
  <si>
    <t>Donation Purchases</t>
  </si>
  <si>
    <t>Misc</t>
  </si>
  <si>
    <t>6081700</t>
  </si>
  <si>
    <t>Printing</t>
  </si>
  <si>
    <t>6081600</t>
  </si>
  <si>
    <t>Supplies</t>
  </si>
  <si>
    <t>6081500</t>
  </si>
  <si>
    <t>Training</t>
  </si>
  <si>
    <t>6081400</t>
  </si>
  <si>
    <t>Dues Publications &amp; Subscriptions</t>
  </si>
  <si>
    <t>6081300</t>
  </si>
  <si>
    <t>Insurance</t>
  </si>
  <si>
    <t>6081200</t>
  </si>
  <si>
    <t>Auto Maintenance &amp; Repair</t>
  </si>
  <si>
    <t>6080610</t>
  </si>
  <si>
    <t>Gas</t>
  </si>
  <si>
    <t>6080600</t>
  </si>
  <si>
    <t>Building Maintenance</t>
  </si>
  <si>
    <t>6080530</t>
  </si>
  <si>
    <t>Cleaning</t>
  </si>
  <si>
    <t>6080510</t>
  </si>
  <si>
    <t>Utilities</t>
  </si>
  <si>
    <t>6080500</t>
  </si>
  <si>
    <t>Seasonal Employee - Workers Comp</t>
  </si>
  <si>
    <t>Seasonal Employee - Uniforms</t>
  </si>
  <si>
    <t>Seasonal Employee - Payroll Taxes</t>
  </si>
  <si>
    <t>Seasonal Employee - Salary &amp; Wages</t>
  </si>
  <si>
    <t>Year Round Employee - Workers Comp</t>
  </si>
  <si>
    <t>6080160</t>
  </si>
  <si>
    <t>Year Round Employee - Employee Benefits</t>
  </si>
  <si>
    <t>6080130</t>
  </si>
  <si>
    <t>Year Round Employee - Payroll Taxes</t>
  </si>
  <si>
    <t>6080110</t>
  </si>
  <si>
    <t>Year Round Employee - Salary &amp; Wages</t>
  </si>
  <si>
    <t>6080100</t>
  </si>
  <si>
    <t>Beach Safety</t>
  </si>
  <si>
    <t>Subgroup : [7200.04]</t>
  </si>
  <si>
    <t>Subtotal - Streets</t>
  </si>
  <si>
    <t>Streets / Maintenance</t>
  </si>
  <si>
    <t>Equipment / Asset Purchase</t>
  </si>
  <si>
    <t>6041800</t>
  </si>
  <si>
    <t>6041700</t>
  </si>
  <si>
    <t>6041500</t>
  </si>
  <si>
    <t>Auto Maintenance &amp; Repairs</t>
  </si>
  <si>
    <t>6040610</t>
  </si>
  <si>
    <t>6040600</t>
  </si>
  <si>
    <t>6040530</t>
  </si>
  <si>
    <t>6040500</t>
  </si>
  <si>
    <t>6040160</t>
  </si>
  <si>
    <t>Year Round Employee - Uniforms</t>
  </si>
  <si>
    <t>6040150</t>
  </si>
  <si>
    <t>Year Round Employee - Pension Plan</t>
  </si>
  <si>
    <t>6040140</t>
  </si>
  <si>
    <t>6040130</t>
  </si>
  <si>
    <t>6040110</t>
  </si>
  <si>
    <t>6040100</t>
  </si>
  <si>
    <t>Town Wide Expenses</t>
  </si>
  <si>
    <t>Storm Water / Street Flooding</t>
  </si>
  <si>
    <t>6012800</t>
  </si>
  <si>
    <t>Town Hall Property Expenses</t>
  </si>
  <si>
    <t>6012700</t>
  </si>
  <si>
    <t>Street Sweeping / Snow Removal</t>
  </si>
  <si>
    <t>6012500</t>
  </si>
  <si>
    <t>Parking Meter / Permit Expenses</t>
  </si>
  <si>
    <t>6012400</t>
  </si>
  <si>
    <t>Street Signs / Lights</t>
  </si>
  <si>
    <t>6012300</t>
  </si>
  <si>
    <t>Trash</t>
  </si>
  <si>
    <t>6012200</t>
  </si>
  <si>
    <t>Bayard Avenue Operating</t>
  </si>
  <si>
    <t>6012000</t>
  </si>
  <si>
    <t>Streets</t>
  </si>
  <si>
    <t>Subgroup : [7200.03]</t>
  </si>
  <si>
    <t>Subtotal - Public Safety</t>
  </si>
  <si>
    <t>Public Safety</t>
  </si>
  <si>
    <t>Drug Testing</t>
  </si>
  <si>
    <t>6032000</t>
  </si>
  <si>
    <t>6031900</t>
  </si>
  <si>
    <t>6031800</t>
  </si>
  <si>
    <t>6031700</t>
  </si>
  <si>
    <t>K9 Program</t>
  </si>
  <si>
    <t>6031500</t>
  </si>
  <si>
    <t>Weapons / Ammunition</t>
  </si>
  <si>
    <t>Training - Seasonal Officers</t>
  </si>
  <si>
    <t>Training - Administrative Employees</t>
  </si>
  <si>
    <t xml:space="preserve">Training  - Year Round Officers </t>
  </si>
  <si>
    <t>6031400</t>
  </si>
  <si>
    <t>6031300</t>
  </si>
  <si>
    <t>6031200</t>
  </si>
  <si>
    <t>Professional Fees</t>
  </si>
  <si>
    <t>6031100</t>
  </si>
  <si>
    <t>6030610</t>
  </si>
  <si>
    <t>6030600</t>
  </si>
  <si>
    <t>Pest Control</t>
  </si>
  <si>
    <t>6030500</t>
  </si>
  <si>
    <t>6030360</t>
  </si>
  <si>
    <t>6030350</t>
  </si>
  <si>
    <t>6030310</t>
  </si>
  <si>
    <t>6030300</t>
  </si>
  <si>
    <t>Administrative Year Round - Workers Comp</t>
  </si>
  <si>
    <t>6030260</t>
  </si>
  <si>
    <t>Administrative Year Round - Uniforms</t>
  </si>
  <si>
    <t>Administrative Year Round - Pension Plan</t>
  </si>
  <si>
    <t>6030240</t>
  </si>
  <si>
    <t>Administrative Year Round - Employee Benefits</t>
  </si>
  <si>
    <t>6030230</t>
  </si>
  <si>
    <t>Administrative Year Round - Payroll Taxes</t>
  </si>
  <si>
    <t>6030210</t>
  </si>
  <si>
    <t>Administrative Year Round - Salary &amp; Wages</t>
  </si>
  <si>
    <t>6030200</t>
  </si>
  <si>
    <t>Year Round Officers - Workers Comp</t>
  </si>
  <si>
    <t>6030160</t>
  </si>
  <si>
    <t>Year Round Officers - Uniforms</t>
  </si>
  <si>
    <t>6030150</t>
  </si>
  <si>
    <t>Year Round Officers - Pension Plan</t>
  </si>
  <si>
    <t>6030140</t>
  </si>
  <si>
    <t>Year Round Officers - Employee Benefits</t>
  </si>
  <si>
    <t>6030130</t>
  </si>
  <si>
    <t>Year Round Officers - Payroll Taxes</t>
  </si>
  <si>
    <t>6030110</t>
  </si>
  <si>
    <t>Special Event Payroll</t>
  </si>
  <si>
    <t>6030105</t>
  </si>
  <si>
    <t>Year Round Officers - Salary &amp; Wages</t>
  </si>
  <si>
    <t>6030100</t>
  </si>
  <si>
    <t>Subtotal - General &amp; Administrative</t>
  </si>
  <si>
    <t xml:space="preserve"> </t>
  </si>
  <si>
    <t>Payroll Expenses</t>
  </si>
  <si>
    <t>Total Alderman Court Expenses</t>
  </si>
  <si>
    <t>6071700</t>
  </si>
  <si>
    <t>6071500</t>
  </si>
  <si>
    <t>6070160</t>
  </si>
  <si>
    <t>6070110</t>
  </si>
  <si>
    <t>6070100</t>
  </si>
  <si>
    <t>Total Building / Code Enforcement Expenses</t>
  </si>
  <si>
    <t>6061700</t>
  </si>
  <si>
    <t>6061500</t>
  </si>
  <si>
    <t>6061400</t>
  </si>
  <si>
    <t>6061300</t>
  </si>
  <si>
    <t>6060600</t>
  </si>
  <si>
    <t>Phone</t>
  </si>
  <si>
    <t>6060500</t>
  </si>
  <si>
    <t>6060160</t>
  </si>
  <si>
    <t>6060150</t>
  </si>
  <si>
    <t>6060140</t>
  </si>
  <si>
    <t>6060130</t>
  </si>
  <si>
    <t>6060110</t>
  </si>
  <si>
    <t>6060100</t>
  </si>
  <si>
    <t>Total Parking Enforcement Expenses</t>
  </si>
  <si>
    <t>6051900</t>
  </si>
  <si>
    <t>6051700</t>
  </si>
  <si>
    <t>6051500</t>
  </si>
  <si>
    <t>6051400</t>
  </si>
  <si>
    <t>6051100</t>
  </si>
  <si>
    <t>6050610</t>
  </si>
  <si>
    <t>6050600</t>
  </si>
  <si>
    <t>6050530</t>
  </si>
  <si>
    <t>6050510</t>
  </si>
  <si>
    <t>6050500</t>
  </si>
  <si>
    <t>6050360</t>
  </si>
  <si>
    <t>6050350</t>
  </si>
  <si>
    <t>6050310</t>
  </si>
  <si>
    <t>6050300</t>
  </si>
  <si>
    <t>6050160</t>
  </si>
  <si>
    <t>6050150</t>
  </si>
  <si>
    <t>6050130</t>
  </si>
  <si>
    <t>6050110</t>
  </si>
  <si>
    <t>6050100</t>
  </si>
  <si>
    <t>Total Administration Expenses</t>
  </si>
  <si>
    <t>6021700</t>
  </si>
  <si>
    <t>6021500</t>
  </si>
  <si>
    <t>6021400</t>
  </si>
  <si>
    <t>6021300</t>
  </si>
  <si>
    <t>6021200</t>
  </si>
  <si>
    <t>6021100</t>
  </si>
  <si>
    <t>Postage</t>
  </si>
  <si>
    <t>6021000</t>
  </si>
  <si>
    <t>Mileage Reimbursement</t>
  </si>
  <si>
    <t>6020605</t>
  </si>
  <si>
    <t>6020530</t>
  </si>
  <si>
    <t>6020520</t>
  </si>
  <si>
    <t>6020510</t>
  </si>
  <si>
    <t>6020500</t>
  </si>
  <si>
    <t>6020360</t>
  </si>
  <si>
    <t>6020310</t>
  </si>
  <si>
    <t>6020300</t>
  </si>
  <si>
    <t>6020160</t>
  </si>
  <si>
    <t>6020140</t>
  </si>
  <si>
    <t>6020130</t>
  </si>
  <si>
    <t>6020110</t>
  </si>
  <si>
    <t>6020100</t>
  </si>
  <si>
    <t>Total Town Wide Expenses</t>
  </si>
  <si>
    <t>Beautification</t>
  </si>
  <si>
    <t>6012100</t>
  </si>
  <si>
    <t>Compensated Absence Exp.</t>
  </si>
  <si>
    <t>6011500</t>
  </si>
  <si>
    <t>Legal Ads</t>
  </si>
  <si>
    <t>6011300</t>
  </si>
  <si>
    <t>Dues / Publications</t>
  </si>
  <si>
    <t>6011200</t>
  </si>
  <si>
    <t>6011150</t>
  </si>
  <si>
    <t>Employee Bonuses</t>
  </si>
  <si>
    <t>6011100</t>
  </si>
  <si>
    <t>IT - Hardware &amp; Supplies</t>
  </si>
  <si>
    <t>IT - Software &amp; Support</t>
  </si>
  <si>
    <t>6010900</t>
  </si>
  <si>
    <t>Donation / Sponsorship Purchases</t>
  </si>
  <si>
    <t>Beach &amp; Marketing Events</t>
  </si>
  <si>
    <t>6010800</t>
  </si>
  <si>
    <t>Comp Plan</t>
  </si>
  <si>
    <t>6010700</t>
  </si>
  <si>
    <t>Audit Fees</t>
  </si>
  <si>
    <t>6010600</t>
  </si>
  <si>
    <t>Legal Fees</t>
  </si>
  <si>
    <t>6010500</t>
  </si>
  <si>
    <t>Code Update</t>
  </si>
  <si>
    <t>6010400</t>
  </si>
  <si>
    <t>Donations</t>
  </si>
  <si>
    <t>6010300</t>
  </si>
  <si>
    <t>Election Expenses</t>
  </si>
  <si>
    <t>6010250</t>
  </si>
  <si>
    <t>Commissioner &amp; Committee Exp</t>
  </si>
  <si>
    <t>6010200</t>
  </si>
  <si>
    <t>Collection Agency Fees</t>
  </si>
  <si>
    <t>6010150</t>
  </si>
  <si>
    <t>Investment Fee</t>
  </si>
  <si>
    <t>6010140</t>
  </si>
  <si>
    <t>Bank Fees - Transfer Tax</t>
  </si>
  <si>
    <t>6010125</t>
  </si>
  <si>
    <t>Bank &amp; Credit Card Fees</t>
  </si>
  <si>
    <t>6010100</t>
  </si>
  <si>
    <t>General and Administrative</t>
  </si>
  <si>
    <t>Subgroup : [7200.01]</t>
  </si>
  <si>
    <t>Expenditures</t>
  </si>
  <si>
    <t>Group : [7200]</t>
  </si>
  <si>
    <t>Grand Total - Revenue</t>
  </si>
  <si>
    <t>Subtotal - Other Revenues</t>
  </si>
  <si>
    <t>Annual in Perpetuity</t>
  </si>
  <si>
    <t>4080200</t>
  </si>
  <si>
    <t>Town Hall Other</t>
  </si>
  <si>
    <t>4041000</t>
  </si>
  <si>
    <t>4040900</t>
  </si>
  <si>
    <t>Public Hearing Fees</t>
  </si>
  <si>
    <t>4040100</t>
  </si>
  <si>
    <t>Other Revenues</t>
  </si>
  <si>
    <t>Subgroup : [7100.09]</t>
  </si>
  <si>
    <t>Subtotal - Unrealized Gain (Loss) on Investments</t>
  </si>
  <si>
    <t>Realized Gain / Loss</t>
  </si>
  <si>
    <t>Unrealized Gain / Loss</t>
  </si>
  <si>
    <t>4050200</t>
  </si>
  <si>
    <t>Unrealized Gain (Loss) on Investments</t>
  </si>
  <si>
    <t>Subgroup : [7100.08]</t>
  </si>
  <si>
    <t>Subtotal - Investment Income</t>
  </si>
  <si>
    <t>Investment Income</t>
  </si>
  <si>
    <t>4050100</t>
  </si>
  <si>
    <t>Interest Income</t>
  </si>
  <si>
    <t>4040300</t>
  </si>
  <si>
    <t>Subgroup : [7100.07]</t>
  </si>
  <si>
    <t>Subtotal - Donations and Other Revenues: Beach Safety</t>
  </si>
  <si>
    <t>Donations - DBP Competition</t>
  </si>
  <si>
    <t>4070300</t>
  </si>
  <si>
    <t>Donations - Jr Lifeguard Prog</t>
  </si>
  <si>
    <t>4070200</t>
  </si>
  <si>
    <t>Donations - Beach Patrol</t>
  </si>
  <si>
    <t>4070100</t>
  </si>
  <si>
    <t>Donations and Other Revenues: Beach Safety</t>
  </si>
  <si>
    <t>Subgroup : [7100.06]</t>
  </si>
  <si>
    <t>Subtotal -  Donations and Other Revenues: Public Safety</t>
  </si>
  <si>
    <t>Pension State Funding</t>
  </si>
  <si>
    <t>4040800</t>
  </si>
  <si>
    <t>4040700</t>
  </si>
  <si>
    <t>Police Reports</t>
  </si>
  <si>
    <t>4040600</t>
  </si>
  <si>
    <t>Marketing Donations</t>
  </si>
  <si>
    <t>4040550</t>
  </si>
  <si>
    <t>4040500</t>
  </si>
  <si>
    <t>Donations and Other Revenues: Public Safety</t>
  </si>
  <si>
    <t>Subgroup : [7100.05]</t>
  </si>
  <si>
    <t>Subtotal - Intergovernmental Grants</t>
  </si>
  <si>
    <t>Police Department</t>
  </si>
  <si>
    <t>4070400</t>
  </si>
  <si>
    <t>Sustainable Energy Grant</t>
  </si>
  <si>
    <t>Violent Crimes</t>
  </si>
  <si>
    <t>Community Transportation Funds</t>
  </si>
  <si>
    <t>4060500</t>
  </si>
  <si>
    <t>SLEAF</t>
  </si>
  <si>
    <t>Municipal Street Aid</t>
  </si>
  <si>
    <t>4060300</t>
  </si>
  <si>
    <t>EDIE</t>
  </si>
  <si>
    <t>4060200</t>
  </si>
  <si>
    <t>SALLE</t>
  </si>
  <si>
    <t>4060100</t>
  </si>
  <si>
    <t>State 5G Funds</t>
  </si>
  <si>
    <t>Intergovernmental Grants</t>
  </si>
  <si>
    <t>Subgroup : [7100.04]</t>
  </si>
  <si>
    <t>Subtotal - Fines</t>
  </si>
  <si>
    <t>Fines - Other Courts</t>
  </si>
  <si>
    <t>4020700</t>
  </si>
  <si>
    <t>Delinquent Civil Summons</t>
  </si>
  <si>
    <t>4020600</t>
  </si>
  <si>
    <t>Traffic Fines</t>
  </si>
  <si>
    <t>4020400</t>
  </si>
  <si>
    <t>Ordinance Fines &amp; Court Costs</t>
  </si>
  <si>
    <t>4020300</t>
  </si>
  <si>
    <t>Delinquent Parking Tickets</t>
  </si>
  <si>
    <t>4020150</t>
  </si>
  <si>
    <t>Parking Tickets</t>
  </si>
  <si>
    <t>4020100</t>
  </si>
  <si>
    <t>Fines</t>
  </si>
  <si>
    <t>Subgroup : [7100.03]</t>
  </si>
  <si>
    <t>Subtotal - Licenses, Permits &amp; Fees</t>
  </si>
  <si>
    <t>Dog Licenses</t>
  </si>
  <si>
    <t>4011100</t>
  </si>
  <si>
    <t>Beach Fire</t>
  </si>
  <si>
    <t>4010900</t>
  </si>
  <si>
    <t>Builing Permit Application Fees</t>
  </si>
  <si>
    <t>4010850</t>
  </si>
  <si>
    <t>Building</t>
  </si>
  <si>
    <t>4010800</t>
  </si>
  <si>
    <t>4010700</t>
  </si>
  <si>
    <t>Daily</t>
  </si>
  <si>
    <t>4010600</t>
  </si>
  <si>
    <t>Seasonal</t>
  </si>
  <si>
    <t>4010500</t>
  </si>
  <si>
    <t>Commerical Business</t>
  </si>
  <si>
    <t>4010300</t>
  </si>
  <si>
    <t>Commercial Rental License</t>
  </si>
  <si>
    <t>4010200</t>
  </si>
  <si>
    <t>Rental License</t>
  </si>
  <si>
    <t>4010100</t>
  </si>
  <si>
    <t>Business License Fines</t>
  </si>
  <si>
    <t>4010050</t>
  </si>
  <si>
    <t>Licenses, Permits, and Fees</t>
  </si>
  <si>
    <t>Subgroup : [7100.02]</t>
  </si>
  <si>
    <t>Subtotal - Taxes &amp; Assessments</t>
  </si>
  <si>
    <t>Beach Concession Contract</t>
  </si>
  <si>
    <t>4000400</t>
  </si>
  <si>
    <t>Cable TV Franchise</t>
  </si>
  <si>
    <t>4000300</t>
  </si>
  <si>
    <t>Hotel Tax</t>
  </si>
  <si>
    <t>4000250</t>
  </si>
  <si>
    <t>Accommodations Tax</t>
  </si>
  <si>
    <t>4000200</t>
  </si>
  <si>
    <t>Transfer Tax</t>
  </si>
  <si>
    <t>4000100</t>
  </si>
  <si>
    <t>Taxes and Assessments</t>
  </si>
  <si>
    <t>Subgroup : [7100.01]</t>
  </si>
  <si>
    <t>Revenue</t>
  </si>
  <si>
    <t>Group : [7100]</t>
  </si>
  <si>
    <t>Subtotal - Equity</t>
  </si>
  <si>
    <t>Rainy Day Fund</t>
  </si>
  <si>
    <t>3200800</t>
  </si>
  <si>
    <t>Capital Improvements - Town Hall</t>
  </si>
  <si>
    <t>Street &amp; Infrastructure</t>
  </si>
  <si>
    <t>3200100</t>
  </si>
  <si>
    <t>Net Position</t>
  </si>
  <si>
    <t>Group : [6100]</t>
  </si>
  <si>
    <t>Description</t>
  </si>
  <si>
    <t>Account</t>
  </si>
  <si>
    <t>April Budget</t>
  </si>
  <si>
    <t>May Budget</t>
  </si>
  <si>
    <t>Year To Date Actual</t>
  </si>
  <si>
    <t>Year To Date Budget</t>
  </si>
  <si>
    <t>6081800</t>
  </si>
  <si>
    <t>June Budget</t>
  </si>
  <si>
    <t>July Budget</t>
  </si>
  <si>
    <t>Town Street Projects</t>
  </si>
  <si>
    <t>August Budget</t>
  </si>
  <si>
    <t>Equipment / Asset - Depreciable</t>
  </si>
  <si>
    <t>September Budget</t>
  </si>
  <si>
    <t>October Budget</t>
  </si>
  <si>
    <t>November Budget</t>
  </si>
  <si>
    <t>Electric Vehicle Charging</t>
  </si>
  <si>
    <t>December Budget</t>
  </si>
  <si>
    <t>New Hire Fees</t>
  </si>
  <si>
    <t>January Budget</t>
  </si>
  <si>
    <t>February Budget</t>
  </si>
  <si>
    <t>March Budget</t>
  </si>
  <si>
    <t>Town Hall Donations</t>
  </si>
  <si>
    <t>FY2026 Budget</t>
  </si>
  <si>
    <t>Year Round Employee - Overtime</t>
  </si>
  <si>
    <t>Seasonal Employee - Overtime</t>
  </si>
  <si>
    <t>Dues &amp; Publications</t>
  </si>
  <si>
    <t>Year Round Officers - Overtime</t>
  </si>
  <si>
    <t>Year Round Officers - Special Duty 1 - Pay Jobs</t>
  </si>
  <si>
    <t>Year Round Officers - Special Duty 2 - Additional Coverage</t>
  </si>
  <si>
    <t>Year Round Officers - Grant OT</t>
  </si>
  <si>
    <t>Administrative Year Round - Overtime</t>
  </si>
  <si>
    <t>Police Extra Duty - Pay Jobs</t>
  </si>
  <si>
    <t>Police Grant Duty</t>
  </si>
  <si>
    <t>UNAUDITED</t>
  </si>
  <si>
    <t>Monthly</t>
  </si>
  <si>
    <t>Annual FY26</t>
  </si>
  <si>
    <t>Budget</t>
  </si>
  <si>
    <t>$OverBud</t>
  </si>
  <si>
    <t>% of Budget</t>
  </si>
  <si>
    <t>% of  YTD Budget</t>
  </si>
  <si>
    <t>Annual Budget - Amended</t>
  </si>
  <si>
    <t>% of Annual Budget</t>
  </si>
  <si>
    <t>Accommodation Tax</t>
  </si>
  <si>
    <t>Business Licenses</t>
  </si>
  <si>
    <t>Parking Permits &amp; Meters</t>
  </si>
  <si>
    <t>Building Permits</t>
  </si>
  <si>
    <t>Total Fines</t>
  </si>
  <si>
    <t>All Other Revenue</t>
  </si>
  <si>
    <t>Total Revenue</t>
  </si>
  <si>
    <t>Allocations</t>
  </si>
  <si>
    <t>Net Revenues</t>
  </si>
  <si>
    <t>Expenses</t>
  </si>
  <si>
    <t>Annual Budget</t>
  </si>
  <si>
    <t xml:space="preserve">Town Administrative Expenses </t>
  </si>
  <si>
    <t>Town Operating Expenses</t>
  </si>
  <si>
    <t>Total Town Expenses</t>
  </si>
  <si>
    <t>Admin Employee Expenses</t>
  </si>
  <si>
    <t>Seasonal Admin Employee Expenses</t>
  </si>
  <si>
    <t>All Other Admin Expense</t>
  </si>
  <si>
    <t>Police Employee Expenses</t>
  </si>
  <si>
    <t>Police Admin Employee Expenses</t>
  </si>
  <si>
    <t>Seasonal Police Employee Expenses</t>
  </si>
  <si>
    <t>All Other Police Expenses</t>
  </si>
  <si>
    <t>Total Police Expenses</t>
  </si>
  <si>
    <t>Maintenance Employee Expenses</t>
  </si>
  <si>
    <t>Seasonal Maintenance Employee Expenses</t>
  </si>
  <si>
    <t>All Other Maintenance Expenses</t>
  </si>
  <si>
    <t>Total Maintenance Expenses</t>
  </si>
  <si>
    <t>Parking Enforcement Employee Expenses</t>
  </si>
  <si>
    <t>Seasonal Parking Employee Expenses</t>
  </si>
  <si>
    <t>All Other Parking Enforcement Expenses</t>
  </si>
  <si>
    <t>Total Code Enforcement Expenses</t>
  </si>
  <si>
    <t>Total BuildingOfficial Expenses</t>
  </si>
  <si>
    <t>Lifeguard Employee Expenses</t>
  </si>
  <si>
    <t>Seasonal Lifeguard Employee Expenses</t>
  </si>
  <si>
    <t>All Other Lifeguard &amp; LSS Expense</t>
  </si>
  <si>
    <t>Total Lifeguard &amp; LSS Expenses</t>
  </si>
  <si>
    <t>Total Expense</t>
  </si>
  <si>
    <t>Net Operating Budget Performance</t>
  </si>
  <si>
    <t>Set Asides:</t>
  </si>
  <si>
    <t>Transfer to Streets / Infrastructure</t>
  </si>
  <si>
    <t>3% Transfer Tax</t>
  </si>
  <si>
    <t>20% Building Permits</t>
  </si>
  <si>
    <t>5% Daily &amp; Seasonal Permits</t>
  </si>
  <si>
    <t>Total to Streets / Infrastructure</t>
  </si>
  <si>
    <t>Capital Improvements</t>
  </si>
  <si>
    <t>Hotel Tax (50%)</t>
  </si>
  <si>
    <t>Total for Captial Improvements</t>
  </si>
  <si>
    <t>Net Operations</t>
  </si>
  <si>
    <t>Tranfer Tax - to Rainy Day</t>
  </si>
  <si>
    <t>Building Permints - to Streets &amp; Infrastructure</t>
  </si>
  <si>
    <t>Hotel Tax - to Capital Improvements - Town Hall</t>
  </si>
  <si>
    <t>Annual FY25</t>
  </si>
  <si>
    <t>Hourly Parking</t>
  </si>
  <si>
    <t>Rental Expense</t>
  </si>
  <si>
    <t>03.2026</t>
  </si>
  <si>
    <t>02.2026</t>
  </si>
  <si>
    <t>01.2026</t>
  </si>
  <si>
    <t>12.2025</t>
  </si>
  <si>
    <t>11.2025</t>
  </si>
  <si>
    <t>10.2025</t>
  </si>
  <si>
    <t>09.2025</t>
  </si>
  <si>
    <t>08.2025</t>
  </si>
  <si>
    <t>07.2025</t>
  </si>
  <si>
    <t>06.2025</t>
  </si>
  <si>
    <t>05.2025</t>
  </si>
  <si>
    <t>04.2025</t>
  </si>
  <si>
    <t>Ending Balance</t>
  </si>
  <si>
    <t>Subtractions</t>
  </si>
  <si>
    <t>Additions</t>
  </si>
  <si>
    <t>Beginning Balance</t>
  </si>
  <si>
    <t>Date</t>
  </si>
  <si>
    <t>Beach Safety Fund</t>
  </si>
  <si>
    <t>Public Safety Fund</t>
  </si>
  <si>
    <t>Streets &amp; Infrastructure</t>
  </si>
  <si>
    <t>a total of those funds that are not allocated elsewhere.</t>
  </si>
  <si>
    <t>Unassigned Fund balance will fluctuate throughout the year as this is just</t>
  </si>
  <si>
    <t>Unassigned</t>
  </si>
  <si>
    <t>Rainy Day</t>
  </si>
  <si>
    <t>Difference</t>
  </si>
  <si>
    <t>Current</t>
  </si>
  <si>
    <t>Required</t>
  </si>
  <si>
    <t>Unassigned Fund</t>
  </si>
  <si>
    <t>Grant Duty is not really budgetable, but is fully reimbursed</t>
  </si>
  <si>
    <t>NOTES:</t>
  </si>
  <si>
    <t>Budgeted</t>
  </si>
  <si>
    <t>Actual</t>
  </si>
  <si>
    <t>Category</t>
  </si>
  <si>
    <t>May</t>
  </si>
  <si>
    <t>April</t>
  </si>
  <si>
    <t>Reimbursements</t>
  </si>
  <si>
    <t>Police - Seasonal OT</t>
  </si>
  <si>
    <t>Police Admin - OT</t>
  </si>
  <si>
    <t>Police- Grant OT</t>
  </si>
  <si>
    <t>Police- Additional Coverage</t>
  </si>
  <si>
    <t>Police- Pay Jobs</t>
  </si>
  <si>
    <t>Police - OT</t>
  </si>
  <si>
    <t>Administration</t>
  </si>
  <si>
    <t>Department</t>
  </si>
  <si>
    <t>Overtime</t>
  </si>
  <si>
    <t>June</t>
  </si>
  <si>
    <t>Parking Enforcement - Seasonal OT</t>
  </si>
  <si>
    <t>Streets / Maintenance - OT</t>
  </si>
  <si>
    <t>Parking Enforcement - OT</t>
  </si>
  <si>
    <t>Beach Patrol - Seasonal OT</t>
  </si>
  <si>
    <t>Billed businesses for May &amp; June coverage 07.06.25</t>
  </si>
  <si>
    <t>Beach Patrol OT was not budgeted until end of season, however more coverage has been used to make sure beaches fully protected</t>
  </si>
  <si>
    <t>April 2025</t>
  </si>
  <si>
    <t>May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</si>
  <si>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</si>
  <si>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</si>
  <si>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</si>
  <si>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</si>
  <si>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</si>
  <si>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</si>
  <si>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</si>
  <si>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January 2026</t>
  </si>
  <si>
    <t>February 2026</t>
  </si>
  <si>
    <t>March 2026</t>
  </si>
  <si>
    <t>General Fund Financial Overview: July 2025 - FULL DATA</t>
  </si>
  <si>
    <t>Actual April 2025 - July 2025</t>
  </si>
  <si>
    <t>Budgeted April 2025 - July 2025</t>
  </si>
  <si>
    <t>General Fund Financial Overview: July 2025 - OPERATING</t>
  </si>
  <si>
    <t>July</t>
  </si>
  <si>
    <t>July Pay jobs will be billed in August</t>
  </si>
  <si>
    <t>Total Overtime</t>
  </si>
  <si>
    <t>YTD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</si>
</sst>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\-yy;@"/>
  </numFmts>
  <fonts count="2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10"/>
      <color rgb="FF0000FF"/>
      <name val="Arial"/>
      <family val="2"/>
    </font>
    <font>
      <b/>
      <sz val="8"/>
      <color rgb="FF0000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ptos Narrow"/>
      <family val="2"/>
      <scheme val="minor"/>
    </font>
    <font>
      <b/>
      <sz val="10"/>
      <color indexed="9"/>
      <name val="Arial"/>
      <family val="2"/>
    </font>
    <font>
      <b/>
      <sz val="8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name val="Aptos Narrow"/>
      <family val="2"/>
      <scheme val="minor"/>
    </font>
    <font>
      <b/>
      <sz val="8"/>
      <name val="Aptos Narrow"/>
      <family val="2"/>
      <scheme val="minor"/>
    </font>
    <font>
      <b/>
      <sz val="9"/>
      <color theme="1"/>
      <name val="Arial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u/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5">
    <xf numFmtId="0" fontId="0" fillId="0" borderId="0"/>
    <xf numFmtId="43" fontId="1" fillId="0" borderId="0" applyFont="0" applyFill="0" applyBorder="0" applyAlignment="0" applyProtection="0"/>
    <xf numFmtId="40" fontId="3" fillId="0" borderId="1">
      <alignment horizontal="right"/>
    </xf>
    <xf numFmtId="0" fontId="5" fillId="0" borderId="0">
      <alignment horizontal="left"/>
    </xf>
    <xf numFmtId="0" fontId="5" fillId="0" borderId="0">
      <alignment horizontal="left"/>
    </xf>
    <xf numFmtId="40" fontId="3" fillId="0" borderId="2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3" fillId="0" borderId="3">
      <alignment horizontal="right"/>
    </xf>
    <xf numFmtId="40" fontId="3" fillId="0" borderId="0">
      <alignment horizontal="left"/>
    </xf>
    <xf numFmtId="40" fontId="3" fillId="0" borderId="0">
      <alignment horizontal="left"/>
    </xf>
    <xf numFmtId="40" fontId="7" fillId="0" borderId="0">
      <alignment horizontal="right"/>
    </xf>
    <xf numFmtId="0" fontId="7" fillId="0" borderId="0">
      <alignment horizontal="left"/>
    </xf>
    <xf numFmtId="0" fontId="7" fillId="0" borderId="0">
      <alignment horizontal="left"/>
    </xf>
    <xf numFmtId="40" fontId="9" fillId="2" borderId="0">
      <alignment horizontal="left"/>
    </xf>
    <xf numFmtId="40" fontId="9" fillId="2" borderId="0">
      <alignment horizontal="left"/>
    </xf>
    <xf numFmtId="40" fontId="12" fillId="3" borderId="0"/>
    <xf numFmtId="40" fontId="12" fillId="3" borderId="0"/>
    <xf numFmtId="0" fontId="3" fillId="4" borderId="0">
      <alignment horizontal="left"/>
    </xf>
    <xf numFmtId="0" fontId="3" fillId="4" borderId="0">
      <alignment horizontal="left"/>
    </xf>
    <xf numFmtId="0" fontId="12" fillId="3" borderId="0">
      <alignment horizontal="center" vertical="center"/>
    </xf>
    <xf numFmtId="40" fontId="12" fillId="3" borderId="0">
      <alignment horizontal="center" vertical="center"/>
    </xf>
    <xf numFmtId="40" fontId="12" fillId="3" borderId="0">
      <alignment horizontal="center" vertical="center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/>
    <xf numFmtId="0" fontId="2" fillId="0" borderId="0" xfId="0" applyFont="1" applyProtection="1">
      <protection locked="0"/>
    </xf>
    <xf numFmtId="0" fontId="6" fillId="0" borderId="0" xfId="3" quotePrefix="1" applyFont="1">
      <alignment horizontal="left"/>
    </xf>
    <xf numFmtId="0" fontId="6" fillId="0" borderId="0" xfId="4" applyFont="1">
      <alignment horizontal="left"/>
    </xf>
    <xf numFmtId="40" fontId="4" fillId="0" borderId="0" xfId="6" quotePrefix="1" applyFont="1">
      <alignment horizontal="left"/>
    </xf>
    <xf numFmtId="40" fontId="4" fillId="0" borderId="0" xfId="7" quotePrefix="1" applyFont="1">
      <alignment horizontal="left"/>
    </xf>
    <xf numFmtId="40" fontId="4" fillId="0" borderId="3" xfId="8" applyFont="1">
      <alignment horizontal="right"/>
    </xf>
    <xf numFmtId="40" fontId="4" fillId="0" borderId="0" xfId="9" quotePrefix="1" applyFont="1">
      <alignment horizontal="left"/>
    </xf>
    <xf numFmtId="40" fontId="4" fillId="0" borderId="0" xfId="10" quotePrefix="1" applyFont="1">
      <alignment horizontal="left"/>
    </xf>
    <xf numFmtId="40" fontId="8" fillId="0" borderId="0" xfId="11" applyFont="1">
      <alignment horizontal="right"/>
    </xf>
    <xf numFmtId="0" fontId="8" fillId="0" borderId="0" xfId="12" applyFont="1">
      <alignment horizontal="left"/>
    </xf>
    <xf numFmtId="0" fontId="8" fillId="0" borderId="0" xfId="13" applyFont="1">
      <alignment horizontal="left"/>
    </xf>
    <xf numFmtId="0" fontId="8" fillId="0" borderId="0" xfId="12" quotePrefix="1" applyFont="1">
      <alignment horizontal="left"/>
    </xf>
    <xf numFmtId="0" fontId="8" fillId="0" borderId="0" xfId="13" quotePrefix="1" applyFont="1">
      <alignment horizontal="left"/>
    </xf>
    <xf numFmtId="40" fontId="10" fillId="2" borderId="0" xfId="14" quotePrefix="1" applyFont="1">
      <alignment horizontal="left"/>
    </xf>
    <xf numFmtId="40" fontId="10" fillId="2" borderId="0" xfId="15" quotePrefix="1" applyFont="1">
      <alignment horizontal="left"/>
    </xf>
    <xf numFmtId="0" fontId="4" fillId="0" borderId="0" xfId="12" quotePrefix="1" applyFont="1">
      <alignment horizontal="left"/>
    </xf>
    <xf numFmtId="0" fontId="4" fillId="0" borderId="0" xfId="13" quotePrefix="1" applyFont="1">
      <alignment horizontal="left"/>
    </xf>
    <xf numFmtId="0" fontId="11" fillId="0" borderId="0" xfId="0" applyFont="1"/>
    <xf numFmtId="43" fontId="8" fillId="0" borderId="0" xfId="1" applyFont="1" applyAlignment="1">
      <alignment horizontal="right"/>
    </xf>
    <xf numFmtId="40" fontId="13" fillId="3" borderId="0" xfId="16" quotePrefix="1" applyFont="1"/>
    <xf numFmtId="40" fontId="13" fillId="3" borderId="0" xfId="17" quotePrefix="1" applyFont="1"/>
    <xf numFmtId="0" fontId="2" fillId="0" borderId="0" xfId="0" applyFont="1" applyAlignment="1">
      <alignment horizontal="center"/>
    </xf>
    <xf numFmtId="0" fontId="4" fillId="0" borderId="0" xfId="18" quotePrefix="1" applyFont="1" applyFill="1" applyAlignment="1">
      <alignment horizontal="center"/>
    </xf>
    <xf numFmtId="0" fontId="4" fillId="0" borderId="0" xfId="19" quotePrefix="1" applyFont="1" applyFill="1" applyAlignment="1">
      <alignment horizontal="center"/>
    </xf>
    <xf numFmtId="40" fontId="13" fillId="3" borderId="0" xfId="21" quotePrefix="1" applyFont="1">
      <alignment horizontal="center" vertical="center"/>
    </xf>
    <xf numFmtId="40" fontId="8" fillId="0" borderId="0" xfId="12" quotePrefix="1" applyNumberFormat="1" applyFont="1" applyAlignment="1">
      <alignment horizontal="right"/>
    </xf>
    <xf numFmtId="43" fontId="8" fillId="0" borderId="0" xfId="1" quotePrefix="1" applyFont="1" applyAlignment="1">
      <alignment horizontal="right"/>
    </xf>
    <xf numFmtId="43" fontId="4" fillId="0" borderId="3" xfId="1" applyFont="1" applyBorder="1" applyAlignment="1">
      <alignment horizontal="right"/>
    </xf>
    <xf numFmtId="43" fontId="4" fillId="0" borderId="2" xfId="1" applyFont="1" applyBorder="1" applyAlignment="1">
      <alignment horizontal="right"/>
    </xf>
    <xf numFmtId="43" fontId="4" fillId="0" borderId="4" xfId="1" applyFont="1" applyBorder="1" applyAlignment="1">
      <alignment horizontal="right"/>
    </xf>
    <xf numFmtId="43" fontId="4" fillId="0" borderId="0" xfId="1" applyFont="1" applyAlignment="1">
      <alignment horizontal="right"/>
    </xf>
    <xf numFmtId="43" fontId="4" fillId="0" borderId="1" xfId="1" applyFont="1" applyBorder="1" applyAlignment="1">
      <alignment horizontal="right"/>
    </xf>
    <xf numFmtId="43" fontId="4" fillId="0" borderId="0" xfId="1" quotePrefix="1" applyFont="1" applyAlignment="1">
      <alignment horizontal="right"/>
    </xf>
    <xf numFmtId="43" fontId="2" fillId="0" borderId="0" xfId="1" applyFont="1" applyAlignment="1">
      <alignment horizontal="right"/>
    </xf>
    <xf numFmtId="43" fontId="10" fillId="2" borderId="0" xfId="1" quotePrefix="1" applyFont="1" applyFill="1" applyAlignment="1">
      <alignment horizontal="right"/>
    </xf>
    <xf numFmtId="43" fontId="13" fillId="3" borderId="0" xfId="1" quotePrefix="1" applyFont="1" applyFill="1" applyAlignment="1">
      <alignment horizontal="right"/>
    </xf>
    <xf numFmtId="43" fontId="6" fillId="0" borderId="0" xfId="1" quotePrefix="1" applyFont="1" applyAlignment="1">
      <alignment horizontal="right"/>
    </xf>
    <xf numFmtId="43" fontId="2" fillId="0" borderId="0" xfId="1" applyFont="1" applyAlignment="1" applyProtection="1">
      <alignment horizontal="right"/>
      <protection locked="0"/>
    </xf>
    <xf numFmtId="43" fontId="4" fillId="0" borderId="4" xfId="1" applyFont="1" applyFill="1" applyBorder="1" applyAlignment="1">
      <alignment horizontal="right"/>
    </xf>
    <xf numFmtId="43" fontId="4" fillId="0" borderId="3" xfId="1" applyFont="1" applyFill="1" applyBorder="1" applyAlignment="1">
      <alignment horizontal="right"/>
    </xf>
    <xf numFmtId="43" fontId="4" fillId="0" borderId="2" xfId="1" applyFont="1" applyFill="1" applyBorder="1" applyAlignment="1">
      <alignment horizontal="right"/>
    </xf>
    <xf numFmtId="43" fontId="4" fillId="5" borderId="3" xfId="1" applyFont="1" applyFill="1" applyBorder="1" applyAlignment="1">
      <alignment horizontal="right"/>
    </xf>
    <xf numFmtId="43" fontId="8" fillId="5" borderId="0" xfId="1" quotePrefix="1" applyFont="1" applyFill="1" applyAlignment="1">
      <alignment horizontal="right"/>
    </xf>
    <xf numFmtId="43" fontId="8" fillId="0" borderId="0" xfId="1" quotePrefix="1" applyFont="1" applyFill="1" applyAlignment="1">
      <alignment horizontal="right"/>
    </xf>
    <xf numFmtId="0" fontId="16" fillId="0" borderId="0" xfId="0" applyFont="1"/>
    <xf numFmtId="40" fontId="16" fillId="0" borderId="0" xfId="0" applyNumberFormat="1" applyFont="1"/>
    <xf numFmtId="40" fontId="4" fillId="3" borderId="0" xfId="16" quotePrefix="1" applyFont="1"/>
    <xf numFmtId="40" fontId="4" fillId="2" borderId="0" xfId="14" quotePrefix="1" applyFont="1">
      <alignment horizontal="left"/>
    </xf>
    <xf numFmtId="43" fontId="16" fillId="0" borderId="0" xfId="1" applyFont="1" applyAlignment="1">
      <alignment horizontal="right"/>
    </xf>
    <xf numFmtId="43" fontId="4" fillId="2" borderId="0" xfId="1" quotePrefix="1" applyFont="1" applyFill="1" applyAlignment="1">
      <alignment horizontal="right"/>
    </xf>
    <xf numFmtId="43" fontId="4" fillId="3" borderId="0" xfId="1" quotePrefix="1" applyFont="1" applyFill="1" applyAlignment="1">
      <alignment horizontal="right"/>
    </xf>
    <xf numFmtId="0" fontId="17" fillId="0" borderId="0" xfId="0" applyFont="1"/>
    <xf numFmtId="43" fontId="16" fillId="0" borderId="0" xfId="1" applyFont="1" applyAlignment="1" applyProtection="1">
      <alignment horizontal="right"/>
      <protection locked="0"/>
    </xf>
    <xf numFmtId="0" fontId="16" fillId="0" borderId="0" xfId="0" applyFont="1" applyProtection="1">
      <protection locked="0"/>
    </xf>
    <xf numFmtId="43" fontId="4" fillId="0" borderId="0" xfId="1" quotePrefix="1" applyFont="1" applyFill="1" applyAlignment="1">
      <alignment horizontal="center"/>
    </xf>
    <xf numFmtId="43" fontId="13" fillId="3" borderId="0" xfId="1" quotePrefix="1" applyFont="1" applyFill="1"/>
    <xf numFmtId="43" fontId="8" fillId="0" borderId="0" xfId="1" quotePrefix="1" applyFont="1" applyAlignment="1">
      <alignment horizontal="left"/>
    </xf>
    <xf numFmtId="43" fontId="2" fillId="0" borderId="0" xfId="1" applyFont="1"/>
    <xf numFmtId="43" fontId="10" fillId="2" borderId="0" xfId="1" quotePrefix="1" applyFont="1" applyFill="1" applyAlignment="1">
      <alignment horizontal="left"/>
    </xf>
    <xf numFmtId="43" fontId="2" fillId="0" borderId="0" xfId="1" applyFont="1" applyProtection="1">
      <protection locked="0"/>
    </xf>
    <xf numFmtId="0" fontId="18" fillId="0" borderId="0" xfId="0" applyFont="1"/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right"/>
    </xf>
    <xf numFmtId="0" fontId="20" fillId="0" borderId="0" xfId="0" applyFont="1"/>
    <xf numFmtId="0" fontId="21" fillId="0" borderId="0" xfId="0" applyFont="1"/>
    <xf numFmtId="164" fontId="20" fillId="0" borderId="0" xfId="1" applyNumberFormat="1" applyFont="1"/>
    <xf numFmtId="165" fontId="18" fillId="0" borderId="5" xfId="0" quotePrefix="1" applyNumberFormat="1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164" fontId="18" fillId="0" borderId="5" xfId="1" applyNumberFormat="1" applyFont="1" applyBorder="1" applyAlignment="1">
      <alignment horizontal="center"/>
    </xf>
    <xf numFmtId="0" fontId="18" fillId="0" borderId="5" xfId="0" applyFont="1" applyBorder="1" applyAlignment="1">
      <alignment horizontal="center" wrapText="1"/>
    </xf>
    <xf numFmtId="0" fontId="22" fillId="0" borderId="0" xfId="0" applyFont="1" applyAlignment="1">
      <alignment horizontal="center"/>
    </xf>
    <xf numFmtId="16" fontId="18" fillId="0" borderId="5" xfId="0" applyNumberFormat="1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164" fontId="20" fillId="0" borderId="6" xfId="1" applyNumberFormat="1" applyFont="1" applyBorder="1"/>
    <xf numFmtId="9" fontId="20" fillId="0" borderId="0" xfId="23" applyFont="1" applyAlignment="1">
      <alignment horizontal="center"/>
    </xf>
    <xf numFmtId="164" fontId="18" fillId="6" borderId="6" xfId="1" applyNumberFormat="1" applyFont="1" applyFill="1" applyBorder="1"/>
    <xf numFmtId="0" fontId="18" fillId="6" borderId="0" xfId="0" applyFont="1" applyFill="1"/>
    <xf numFmtId="164" fontId="20" fillId="0" borderId="0" xfId="0" applyNumberFormat="1" applyFont="1"/>
    <xf numFmtId="0" fontId="20" fillId="0" borderId="0" xfId="0" applyFont="1" applyAlignment="1">
      <alignment horizontal="center"/>
    </xf>
    <xf numFmtId="0" fontId="23" fillId="0" borderId="0" xfId="0" applyFont="1"/>
    <xf numFmtId="165" fontId="22" fillId="0" borderId="0" xfId="0" quotePrefix="1" applyNumberFormat="1" applyFont="1" applyAlignment="1">
      <alignment horizontal="center"/>
    </xf>
    <xf numFmtId="0" fontId="22" fillId="0" borderId="0" xfId="0" applyFont="1"/>
    <xf numFmtId="164" fontId="18" fillId="0" borderId="5" xfId="1" applyNumberFormat="1" applyFont="1" applyBorder="1"/>
    <xf numFmtId="9" fontId="18" fillId="0" borderId="0" xfId="23" applyFont="1" applyAlignment="1">
      <alignment horizontal="center"/>
    </xf>
    <xf numFmtId="16" fontId="18" fillId="0" borderId="5" xfId="0" quotePrefix="1" applyNumberFormat="1" applyFont="1" applyBorder="1" applyAlignment="1">
      <alignment horizontal="center" wrapText="1"/>
    </xf>
    <xf numFmtId="164" fontId="18" fillId="7" borderId="6" xfId="1" applyNumberFormat="1" applyFont="1" applyFill="1" applyBorder="1"/>
    <xf numFmtId="9" fontId="20" fillId="0" borderId="0" xfId="23" applyFont="1" applyBorder="1" applyAlignment="1">
      <alignment horizontal="center"/>
    </xf>
    <xf numFmtId="164" fontId="18" fillId="0" borderId="0" xfId="1" applyNumberFormat="1" applyFont="1"/>
    <xf numFmtId="9" fontId="20" fillId="0" borderId="0" xfId="23" applyFont="1"/>
    <xf numFmtId="164" fontId="18" fillId="0" borderId="0" xfId="1" applyNumberFormat="1" applyFont="1" applyFill="1" applyBorder="1"/>
    <xf numFmtId="3" fontId="18" fillId="0" borderId="0" xfId="0" applyNumberFormat="1" applyFont="1"/>
    <xf numFmtId="0" fontId="24" fillId="0" borderId="0" xfId="0" applyFont="1"/>
    <xf numFmtId="164" fontId="24" fillId="0" borderId="0" xfId="1" applyNumberFormat="1" applyFont="1" applyFill="1"/>
    <xf numFmtId="0" fontId="24" fillId="0" borderId="0" xfId="0" applyFont="1" applyAlignment="1">
      <alignment wrapText="1"/>
    </xf>
    <xf numFmtId="164" fontId="24" fillId="0" borderId="0" xfId="1" applyNumberFormat="1" applyFont="1"/>
    <xf numFmtId="0" fontId="24" fillId="8" borderId="0" xfId="0" applyFont="1" applyFill="1"/>
    <xf numFmtId="0" fontId="24" fillId="8" borderId="0" xfId="0" applyFont="1" applyFill="1" applyAlignment="1">
      <alignment wrapText="1"/>
    </xf>
    <xf numFmtId="164" fontId="24" fillId="8" borderId="0" xfId="1" applyNumberFormat="1" applyFont="1" applyFill="1"/>
    <xf numFmtId="164" fontId="24" fillId="0" borderId="0" xfId="1" applyNumberFormat="1" applyFont="1" applyFill="1" applyAlignment="1">
      <alignment vertical="top"/>
    </xf>
    <xf numFmtId="49" fontId="24" fillId="0" borderId="0" xfId="1" applyNumberFormat="1" applyFont="1" applyAlignment="1">
      <alignment wrapText="1"/>
    </xf>
    <xf numFmtId="49" fontId="24" fillId="0" borderId="0" xfId="1" applyNumberFormat="1" applyFont="1" applyAlignment="1"/>
    <xf numFmtId="164" fontId="24" fillId="8" borderId="0" xfId="0" applyNumberFormat="1" applyFont="1" applyFill="1"/>
    <xf numFmtId="9" fontId="24" fillId="0" borderId="0" xfId="23" applyFont="1"/>
    <xf numFmtId="164" fontId="23" fillId="0" borderId="0" xfId="1" applyNumberFormat="1" applyFont="1" applyFill="1"/>
    <xf numFmtId="164" fontId="23" fillId="0" borderId="0" xfId="0" applyNumberFormat="1" applyFont="1"/>
    <xf numFmtId="43" fontId="20" fillId="0" borderId="0" xfId="0" applyNumberFormat="1" applyFont="1"/>
    <xf numFmtId="9" fontId="20" fillId="0" borderId="0" xfId="0" applyNumberFormat="1" applyFont="1"/>
    <xf numFmtId="43" fontId="20" fillId="0" borderId="0" xfId="1" applyFont="1"/>
    <xf numFmtId="43" fontId="2" fillId="0" borderId="0" xfId="0" applyNumberFormat="1" applyFont="1"/>
    <xf numFmtId="43" fontId="0" fillId="0" borderId="0" xfId="0" applyNumberFormat="1"/>
    <xf numFmtId="43" fontId="0" fillId="0" borderId="0" xfId="24" applyFont="1" applyFill="1"/>
    <xf numFmtId="0" fontId="0" fillId="0" borderId="0" xfId="0" quotePrefix="1"/>
    <xf numFmtId="43" fontId="0" fillId="0" borderId="0" xfId="24" applyFont="1" applyFill="1" applyBorder="1"/>
    <xf numFmtId="0" fontId="0" fillId="0" borderId="0" xfId="0" applyAlignment="1">
      <alignment horizontal="right"/>
    </xf>
    <xf numFmtId="0" fontId="0" fillId="5" borderId="0" xfId="0" applyFill="1"/>
    <xf numFmtId="43" fontId="0" fillId="5" borderId="0" xfId="24" applyFont="1" applyFill="1" applyBorder="1"/>
    <xf numFmtId="43" fontId="0" fillId="0" borderId="0" xfId="1" applyFont="1"/>
    <xf numFmtId="43" fontId="0" fillId="0" borderId="5" xfId="1" applyFont="1" applyBorder="1"/>
    <xf numFmtId="0" fontId="0" fillId="0" borderId="5" xfId="0" applyBorder="1"/>
    <xf numFmtId="43" fontId="0" fillId="0" borderId="0" xfId="1" applyFont="1" applyAlignment="1">
      <alignment horizontal="center"/>
    </xf>
    <xf numFmtId="43" fontId="0" fillId="9" borderId="0" xfId="1" applyFont="1" applyFill="1"/>
    <xf numFmtId="43" fontId="0" fillId="9" borderId="5" xfId="1" applyFont="1" applyFill="1" applyBorder="1"/>
    <xf numFmtId="43" fontId="0" fillId="9" borderId="0" xfId="1" applyFont="1" applyFill="1" applyAlignment="1">
      <alignment horizontal="center"/>
    </xf>
    <xf numFmtId="0" fontId="0" fillId="0" borderId="0" xfId="0" applyAlignment="1">
      <alignment horizontal="center"/>
    </xf>
    <xf numFmtId="43" fontId="0" fillId="0" borderId="0" xfId="1" applyFont="1" applyAlignment="1"/>
    <xf numFmtId="43" fontId="0" fillId="0" borderId="0" xfId="1" applyFon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3" fillId="3" borderId="0" xfId="20" quotePrefix="1" applyFont="1" applyAlignment="1">
      <alignment horizontal="center" vertical="center" wrapText="1"/>
    </xf>
    <xf numFmtId="49" fontId="13" fillId="3" borderId="0" xfId="21" quotePrefix="1" applyNumberFormat="1" applyFont="1">
      <alignment horizontal="center" vertical="center"/>
    </xf>
    <xf numFmtId="40" fontId="13" fillId="3" borderId="0" xfId="21" quotePrefix="1" applyFont="1">
      <alignment horizontal="center" vertical="center"/>
    </xf>
    <xf numFmtId="40" fontId="13" fillId="3" borderId="0" xfId="21" quotePrefix="1" applyFont="1" applyAlignment="1">
      <alignment horizontal="center" vertical="center" wrapText="1"/>
    </xf>
    <xf numFmtId="40" fontId="13" fillId="3" borderId="0" xfId="22" quotePrefix="1" applyFont="1">
      <alignment horizontal="center" vertical="center"/>
    </xf>
    <xf numFmtId="43" fontId="13" fillId="3" borderId="0" xfId="1" quotePrefix="1" applyFont="1" applyFill="1" applyAlignment="1">
      <alignment horizontal="center" vertical="center"/>
    </xf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</cellXfs>
  <cellStyles count="25">
    <cellStyle name="AccountDetailRowBalanceCol" xfId="11" xr:uid="{F0EFD950-0799-4AE3-9B3C-DE85F433A3B7}"/>
    <cellStyle name="AccountDetailRowDescCol" xfId="12" xr:uid="{59AA16A1-36AB-4BF7-AF67-B1C535D132A0}"/>
    <cellStyle name="AccountDetailRowNameCol" xfId="13" xr:uid="{AA0C0079-6793-4610-B793-90ABAC1D1B04}"/>
    <cellStyle name="ColumnHeaderRowBalanceCol" xfId="20" xr:uid="{CF9A385E-7CE5-48B4-BA1C-511AA8676FAA}"/>
    <cellStyle name="ColumnHeaderRowDescCol" xfId="21" xr:uid="{E59EF6DD-8AFE-4008-9120-401B5C595C1E}"/>
    <cellStyle name="ColumnHeaderRowNameCol" xfId="22" xr:uid="{88CDA0A5-C266-453F-A025-E98A311EBE90}"/>
    <cellStyle name="Comma" xfId="1" builtinId="3"/>
    <cellStyle name="Comma 2" xfId="24" xr:uid="{B992CCD2-2B94-4DCC-A765-CB7D3D14315D}"/>
    <cellStyle name="FundSectionHeaderRowDescCol" xfId="18" xr:uid="{5E23C53C-7749-4C83-8E82-733D821FA9B8}"/>
    <cellStyle name="FundSectionHeaderRowNameCol" xfId="19" xr:uid="{14898610-A034-4CEF-9B8E-CEE79691A51F}"/>
    <cellStyle name="GroupSectionHeaderRowDescCol" xfId="16" xr:uid="{E3680AF3-E212-403E-A3A7-1F72145A548B}"/>
    <cellStyle name="GroupSectionHeaderRowNameCol" xfId="17" xr:uid="{6123A41A-3FDE-4339-BA27-C5FC45FF88E2}"/>
    <cellStyle name="NetIncomeLossRowBalanceCol" xfId="2" xr:uid="{C002DD23-CD9B-4299-A2E5-131E495D5027}"/>
    <cellStyle name="NetIncomeLossRowDescCol" xfId="3" xr:uid="{FC4B4E7F-E5BC-4613-9575-05D75AED1351}"/>
    <cellStyle name="NetIncomeLossRowNameCol" xfId="4" xr:uid="{084E2350-0404-4AA2-B0E8-FF52EC49E2D8}"/>
    <cellStyle name="Normal" xfId="0" builtinId="0"/>
    <cellStyle name="Percent" xfId="23" builtinId="5"/>
    <cellStyle name="SubgroupSectionHeaderRowDescCol" xfId="14" xr:uid="{5DF18AAB-28A0-41EE-91E3-71C4D558DA93}"/>
    <cellStyle name="SubgroupSectionHeaderRowNameCol" xfId="15" xr:uid="{AF48AD1D-FDD0-4BCF-BA84-D6BB99F0CB7B}"/>
    <cellStyle name="SubgroupSubtotalRowBalanceCol" xfId="8" xr:uid="{E7C6E6C0-768C-4162-94C2-3064F7A35FA6}"/>
    <cellStyle name="SubgroupSubtotalRowDescCol" xfId="9" xr:uid="{32E1578C-9172-44A2-BCE0-7C65215EDC8E}"/>
    <cellStyle name="SubgroupSubtotalRowNameCol" xfId="10" xr:uid="{3A1FFA09-2170-4BC6-AB1B-3FFB9E38D74C}"/>
    <cellStyle name="UnclassifiedTotalRowBalanceCol" xfId="5" xr:uid="{EA1D9782-0009-40C1-B956-14507EF7C3B9}"/>
    <cellStyle name="UnclassifiedTotalRowDescCol" xfId="6" xr:uid="{40475FA6-5092-4F1F-8814-6A4C9336A244}"/>
    <cellStyle name="UnclassifiedTotalRowNameCol" xfId="7" xr:uid="{381C3917-5574-4EDA-ADD2-20F8A3AAEA8E}"/>
  </cellStyles>
  <dxfs count="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CBE5-B4EE-458F-A95F-E5BB20C29F71}">
  <sheetPr>
    <pageSetUpPr fitToPage="1"/>
  </sheetPr>
  <dimension ref="A1:R84"/>
  <sheetViews>
    <sheetView topLeftCell="A53" zoomScale="130" zoomScaleNormal="130" workbookViewId="0">
      <selection activeCell="D87" sqref="D87"/>
    </sheetView>
  </sheetViews>
  <sheetFormatPr defaultColWidth="15.7109375" defaultRowHeight="12" x14ac:dyDescent="0.2"/>
  <cols>
    <col min="1" max="1" width="4.5703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 x14ac:dyDescent="0.2">
      <c r="B1" s="130" t="s">
        <v>526</v>
      </c>
      <c r="C1" s="130"/>
      <c r="D1" s="130"/>
      <c r="E1" s="130"/>
      <c r="F1" s="130"/>
      <c r="G1" s="130"/>
      <c r="H1" s="64"/>
      <c r="I1" s="129" t="s">
        <v>397</v>
      </c>
      <c r="J1" s="129"/>
      <c r="K1" s="129"/>
      <c r="L1" s="129"/>
      <c r="M1" s="129"/>
      <c r="N1" s="129"/>
      <c r="O1" s="129"/>
      <c r="P1" s="129"/>
    </row>
    <row r="2" spans="1:18" x14ac:dyDescent="0.2">
      <c r="B2" s="66"/>
    </row>
    <row r="3" spans="1:18" x14ac:dyDescent="0.2">
      <c r="B3" s="130" t="s">
        <v>398</v>
      </c>
      <c r="C3" s="130"/>
      <c r="D3" s="130"/>
      <c r="E3" s="130"/>
      <c r="I3" s="130" t="s">
        <v>456</v>
      </c>
      <c r="J3" s="130"/>
      <c r="K3" s="130"/>
      <c r="L3" s="130"/>
      <c r="M3" s="130"/>
      <c r="N3" s="130"/>
      <c r="O3" s="130"/>
      <c r="P3" s="130"/>
    </row>
    <row r="4" spans="1:18" s="62" customFormat="1" ht="36" x14ac:dyDescent="0.2">
      <c r="B4" s="68">
        <v>45869</v>
      </c>
      <c r="C4" s="69" t="s">
        <v>400</v>
      </c>
      <c r="D4" s="70" t="s">
        <v>401</v>
      </c>
      <c r="E4" s="71" t="s">
        <v>402</v>
      </c>
      <c r="F4" s="63"/>
      <c r="G4" s="72" t="s">
        <v>354</v>
      </c>
      <c r="H4" s="63"/>
      <c r="I4" s="73" t="s">
        <v>524</v>
      </c>
      <c r="J4" s="73" t="s">
        <v>524</v>
      </c>
      <c r="K4" s="70" t="s">
        <v>401</v>
      </c>
      <c r="L4" s="71" t="s">
        <v>403</v>
      </c>
      <c r="M4" s="74"/>
      <c r="N4" s="71" t="s">
        <v>416</v>
      </c>
      <c r="O4" s="70" t="s">
        <v>401</v>
      </c>
      <c r="P4" s="71" t="s">
        <v>405</v>
      </c>
    </row>
    <row r="6" spans="1:18" x14ac:dyDescent="0.2">
      <c r="B6" s="75">
        <v>62776.5</v>
      </c>
      <c r="C6" s="75">
        <v>63000</v>
      </c>
      <c r="D6" s="75">
        <f t="shared" ref="D6:D13" si="0">B6-C6</f>
        <v>-223.5</v>
      </c>
      <c r="E6" s="76">
        <f>+B6/C6</f>
        <v>0.99645238095238098</v>
      </c>
      <c r="G6" s="65" t="s">
        <v>350</v>
      </c>
      <c r="H6" s="65" t="s">
        <v>133</v>
      </c>
      <c r="I6" s="75">
        <v>357969</v>
      </c>
      <c r="J6" s="75">
        <v>217000</v>
      </c>
      <c r="K6" s="75">
        <f t="shared" ref="K6:K13" si="1">I6-J6</f>
        <v>140969</v>
      </c>
      <c r="L6" s="76">
        <f t="shared" ref="L6:L14" si="2">+I6/J6</f>
        <v>1.6496267281105992</v>
      </c>
      <c r="M6" s="76"/>
      <c r="N6" s="75">
        <v>700000</v>
      </c>
      <c r="O6" s="75">
        <f t="shared" ref="O6:O13" si="3">I6-N6</f>
        <v>-342031</v>
      </c>
      <c r="P6" s="76">
        <f t="shared" ref="P6:P14" si="4">+I6/N6</f>
        <v>0.51138428571428574</v>
      </c>
    </row>
    <row r="7" spans="1:18" x14ac:dyDescent="0.2">
      <c r="B7" s="75">
        <v>2714.45</v>
      </c>
      <c r="C7" s="75">
        <v>0</v>
      </c>
      <c r="D7" s="75">
        <f t="shared" si="0"/>
        <v>2714.45</v>
      </c>
      <c r="E7" s="76"/>
      <c r="G7" s="65" t="s">
        <v>406</v>
      </c>
      <c r="I7" s="75">
        <v>75426.06</v>
      </c>
      <c r="J7" s="75">
        <v>66000</v>
      </c>
      <c r="K7" s="75">
        <f t="shared" si="1"/>
        <v>9426.0599999999977</v>
      </c>
      <c r="L7" s="76">
        <f t="shared" si="2"/>
        <v>1.142819090909091</v>
      </c>
      <c r="M7" s="76"/>
      <c r="N7" s="75">
        <v>825000</v>
      </c>
      <c r="O7" s="75">
        <f t="shared" si="3"/>
        <v>-749573.94</v>
      </c>
      <c r="P7" s="76">
        <f t="shared" si="4"/>
        <v>9.1425527272727264E-2</v>
      </c>
    </row>
    <row r="8" spans="1:18" x14ac:dyDescent="0.2">
      <c r="B8" s="75">
        <v>78125.37</v>
      </c>
      <c r="C8" s="75">
        <v>52250</v>
      </c>
      <c r="D8" s="75">
        <f t="shared" si="0"/>
        <v>25875.369999999995</v>
      </c>
      <c r="E8" s="76">
        <f t="shared" ref="E8:E14" si="5">+B8/C8</f>
        <v>1.4952223923444976</v>
      </c>
      <c r="G8" s="65" t="s">
        <v>346</v>
      </c>
      <c r="I8" s="75">
        <v>134927.03</v>
      </c>
      <c r="J8" s="75">
        <v>104500</v>
      </c>
      <c r="K8" s="75">
        <f t="shared" si="1"/>
        <v>30427.03</v>
      </c>
      <c r="L8" s="76">
        <f t="shared" si="2"/>
        <v>1.2911677511961723</v>
      </c>
      <c r="M8" s="76"/>
      <c r="N8" s="75">
        <v>475000</v>
      </c>
      <c r="O8" s="75">
        <f t="shared" si="3"/>
        <v>-340072.97</v>
      </c>
      <c r="P8" s="76">
        <f t="shared" si="4"/>
        <v>0.28405690526315791</v>
      </c>
    </row>
    <row r="9" spans="1:18" x14ac:dyDescent="0.2">
      <c r="B9" s="75">
        <v>10677</v>
      </c>
      <c r="C9" s="75">
        <v>13350</v>
      </c>
      <c r="D9" s="75">
        <f t="shared" si="0"/>
        <v>-2673</v>
      </c>
      <c r="E9" s="76">
        <f t="shared" si="5"/>
        <v>0.7997752808988764</v>
      </c>
      <c r="G9" s="65" t="s">
        <v>407</v>
      </c>
      <c r="I9" s="75">
        <v>454364</v>
      </c>
      <c r="J9" s="75">
        <v>341950</v>
      </c>
      <c r="K9" s="75">
        <f t="shared" si="1"/>
        <v>112414</v>
      </c>
      <c r="L9" s="76">
        <f t="shared" si="2"/>
        <v>1.3287439684164351</v>
      </c>
      <c r="M9" s="76"/>
      <c r="N9" s="75">
        <v>445000</v>
      </c>
      <c r="O9" s="75">
        <f t="shared" si="3"/>
        <v>9364</v>
      </c>
      <c r="P9" s="76">
        <f t="shared" si="4"/>
        <v>1.0210426966292134</v>
      </c>
    </row>
    <row r="10" spans="1:18" x14ac:dyDescent="0.2">
      <c r="B10" s="75">
        <v>508957.18</v>
      </c>
      <c r="C10" s="75">
        <v>383250</v>
      </c>
      <c r="D10" s="75">
        <f t="shared" si="0"/>
        <v>125707.18</v>
      </c>
      <c r="E10" s="76">
        <f t="shared" si="5"/>
        <v>1.3280030789302022</v>
      </c>
      <c r="G10" s="65" t="s">
        <v>408</v>
      </c>
      <c r="I10" s="75">
        <v>1442850.38</v>
      </c>
      <c r="J10" s="75">
        <v>1243500</v>
      </c>
      <c r="K10" s="75">
        <f t="shared" si="1"/>
        <v>199350.37999999989</v>
      </c>
      <c r="L10" s="76">
        <f t="shared" si="2"/>
        <v>1.160313936469642</v>
      </c>
      <c r="M10" s="76"/>
      <c r="N10" s="75">
        <v>2010000</v>
      </c>
      <c r="O10" s="75">
        <f t="shared" si="3"/>
        <v>-567149.62000000011</v>
      </c>
      <c r="P10" s="76">
        <f t="shared" si="4"/>
        <v>0.71783600995024865</v>
      </c>
    </row>
    <row r="11" spans="1:18" x14ac:dyDescent="0.2">
      <c r="B11" s="75">
        <v>18852.46</v>
      </c>
      <c r="C11" s="75">
        <v>33806</v>
      </c>
      <c r="D11" s="75">
        <f t="shared" si="0"/>
        <v>-14953.54</v>
      </c>
      <c r="E11" s="76">
        <f t="shared" si="5"/>
        <v>0.55766609477607521</v>
      </c>
      <c r="G11" s="65" t="s">
        <v>409</v>
      </c>
      <c r="I11" s="75">
        <v>171503.58</v>
      </c>
      <c r="J11" s="75">
        <v>162276</v>
      </c>
      <c r="K11" s="75">
        <f t="shared" si="1"/>
        <v>9227.5799999999872</v>
      </c>
      <c r="L11" s="76">
        <f t="shared" si="2"/>
        <v>1.0568634918287361</v>
      </c>
      <c r="M11" s="76"/>
      <c r="N11" s="75">
        <v>600000</v>
      </c>
      <c r="O11" s="75">
        <f t="shared" si="3"/>
        <v>-428496.42000000004</v>
      </c>
      <c r="P11" s="76">
        <f t="shared" si="4"/>
        <v>0.28583929999999996</v>
      </c>
    </row>
    <row r="12" spans="1:18" x14ac:dyDescent="0.2">
      <c r="B12" s="75">
        <v>160210.34</v>
      </c>
      <c r="C12" s="75">
        <v>78968</v>
      </c>
      <c r="D12" s="75">
        <f t="shared" si="0"/>
        <v>81242.34</v>
      </c>
      <c r="E12" s="76">
        <f t="shared" si="5"/>
        <v>2.0288007800628103</v>
      </c>
      <c r="G12" s="65" t="s">
        <v>410</v>
      </c>
      <c r="I12" s="75">
        <v>299468</v>
      </c>
      <c r="J12" s="75">
        <v>176795</v>
      </c>
      <c r="K12" s="75">
        <f t="shared" si="1"/>
        <v>122673</v>
      </c>
      <c r="L12" s="76">
        <f t="shared" si="2"/>
        <v>1.6938714330156395</v>
      </c>
      <c r="M12" s="76"/>
      <c r="N12" s="75">
        <v>477000</v>
      </c>
      <c r="O12" s="75">
        <f t="shared" si="3"/>
        <v>-177532</v>
      </c>
      <c r="P12" s="76">
        <f t="shared" si="4"/>
        <v>0.62781551362683441</v>
      </c>
    </row>
    <row r="13" spans="1:18" x14ac:dyDescent="0.2">
      <c r="B13" s="75">
        <f>961536.51-842313</f>
        <v>119223.51000000001</v>
      </c>
      <c r="C13" s="75">
        <f>714904-624624</f>
        <v>90280</v>
      </c>
      <c r="D13" s="75">
        <f t="shared" si="0"/>
        <v>28943.510000000009</v>
      </c>
      <c r="E13" s="76">
        <f t="shared" si="5"/>
        <v>1.3205971422241916</v>
      </c>
      <c r="G13" s="65" t="s">
        <v>411</v>
      </c>
      <c r="I13" s="75">
        <f>3297705.62-2936508</f>
        <v>361197.62000000011</v>
      </c>
      <c r="J13" s="75">
        <f>2571299-2312021</f>
        <v>259278</v>
      </c>
      <c r="K13" s="75">
        <f t="shared" si="1"/>
        <v>101919.62000000011</v>
      </c>
      <c r="L13" s="76">
        <f t="shared" si="2"/>
        <v>1.3930901194856491</v>
      </c>
      <c r="M13" s="76"/>
      <c r="N13" s="75">
        <f>6192000-5532000</f>
        <v>660000</v>
      </c>
      <c r="O13" s="75">
        <f t="shared" si="3"/>
        <v>-298802.37999999989</v>
      </c>
      <c r="P13" s="76">
        <f t="shared" si="4"/>
        <v>0.54726912121212135</v>
      </c>
    </row>
    <row r="14" spans="1:18" x14ac:dyDescent="0.2">
      <c r="B14" s="77">
        <f>SUM(B6:B13)</f>
        <v>961536.80999999994</v>
      </c>
      <c r="C14" s="77">
        <f>SUM(C6:C13)</f>
        <v>714904</v>
      </c>
      <c r="D14" s="77">
        <f>SUM(D6:D13)</f>
        <v>246632.81</v>
      </c>
      <c r="E14" s="76">
        <f t="shared" si="5"/>
        <v>1.3449873129818828</v>
      </c>
      <c r="F14" s="62"/>
      <c r="G14" s="78" t="s">
        <v>412</v>
      </c>
      <c r="H14" s="62"/>
      <c r="I14" s="77">
        <f>SUM(I6:I13)</f>
        <v>3297705.67</v>
      </c>
      <c r="J14" s="77">
        <f>SUM(J6:J13)</f>
        <v>2571299</v>
      </c>
      <c r="K14" s="77">
        <f>SUM(K6:K13)</f>
        <v>726406.66999999993</v>
      </c>
      <c r="L14" s="76">
        <f t="shared" si="2"/>
        <v>1.282505717927009</v>
      </c>
      <c r="M14" s="76"/>
      <c r="N14" s="77">
        <f>SUM(N6:N13)</f>
        <v>6192000</v>
      </c>
      <c r="O14" s="77">
        <f>SUM(O6:O13)</f>
        <v>-2894294.33</v>
      </c>
      <c r="P14" s="76">
        <f t="shared" si="4"/>
        <v>0.53257520510335921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4.25" x14ac:dyDescent="0.2">
      <c r="A16" s="65"/>
      <c r="B16" s="67">
        <f>+B79</f>
        <v>45972.002</v>
      </c>
      <c r="C16" s="67">
        <f>+C79</f>
        <v>36036.199999999997</v>
      </c>
      <c r="D16" s="67">
        <f>+B16-C16</f>
        <v>9935.8020000000033</v>
      </c>
      <c r="E16" s="76"/>
      <c r="F16" s="65"/>
      <c r="G16" s="78" t="s">
        <v>413</v>
      </c>
      <c r="H16" s="65"/>
      <c r="I16" s="67">
        <f>+I79</f>
        <v>119662.681</v>
      </c>
      <c r="J16" s="67">
        <f>+J79</f>
        <v>95555.199999999997</v>
      </c>
      <c r="K16" s="67">
        <f>+I16-J16</f>
        <v>24107.481</v>
      </c>
      <c r="L16" s="80"/>
      <c r="N16" s="67">
        <f>+N79</f>
        <v>392500</v>
      </c>
    </row>
    <row r="17" spans="1:18" s="81" customFormat="1" ht="14.25" x14ac:dyDescent="0.2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 x14ac:dyDescent="0.2">
      <c r="A18" s="65"/>
      <c r="B18" s="77">
        <f>+B14-B16</f>
        <v>915564.80799999996</v>
      </c>
      <c r="C18" s="77">
        <f>+C14-C16</f>
        <v>678867.8</v>
      </c>
      <c r="D18" s="67"/>
      <c r="E18" s="76"/>
      <c r="F18" s="65"/>
      <c r="G18" s="78" t="s">
        <v>414</v>
      </c>
      <c r="H18" s="65"/>
      <c r="I18" s="77">
        <f>+I14-I16</f>
        <v>3178042.9890000001</v>
      </c>
      <c r="J18" s="77">
        <f>+J14-J16</f>
        <v>2475743.7999999998</v>
      </c>
      <c r="K18" s="67"/>
      <c r="L18" s="80"/>
      <c r="N18" s="77">
        <f>+N14-N16</f>
        <v>5799500</v>
      </c>
      <c r="O18" s="67"/>
    </row>
    <row r="19" spans="1:18" s="81" customFormat="1" ht="14.25" x14ac:dyDescent="0.2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 x14ac:dyDescent="0.2">
      <c r="B20" s="82">
        <f>+B4</f>
        <v>45869</v>
      </c>
      <c r="C20" s="83" t="s">
        <v>400</v>
      </c>
      <c r="D20" s="84" t="s">
        <v>401</v>
      </c>
      <c r="E20" s="85"/>
      <c r="G20" s="72" t="s">
        <v>415</v>
      </c>
      <c r="I20" s="86" t="str">
        <f>I4</f>
        <v>Actual April 2025 - July 2025</v>
      </c>
      <c r="J20" s="71" t="str">
        <f>J4</f>
        <v>Actual April 2025 - July 2025</v>
      </c>
      <c r="K20" s="70" t="s">
        <v>401</v>
      </c>
      <c r="L20" s="71" t="s">
        <v>402</v>
      </c>
      <c r="M20" s="74"/>
      <c r="N20" s="71" t="s">
        <v>416</v>
      </c>
      <c r="O20" s="70" t="s">
        <v>401</v>
      </c>
      <c r="P20" s="71" t="s">
        <v>405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37093.870000000003</v>
      </c>
      <c r="C22" s="75">
        <v>53902</v>
      </c>
      <c r="D22" s="75">
        <f>B22-C22</f>
        <v>-16808.129999999997</v>
      </c>
      <c r="E22" s="76">
        <f>+B22/C22</f>
        <v>0.68817242402879308</v>
      </c>
      <c r="G22" s="65" t="s">
        <v>417</v>
      </c>
      <c r="I22" s="75">
        <v>119836</v>
      </c>
      <c r="J22" s="75">
        <v>127779</v>
      </c>
      <c r="K22" s="75">
        <f>I22-J22</f>
        <v>-7943</v>
      </c>
      <c r="L22" s="76">
        <f>+I22/J22</f>
        <v>0.93783798589752621</v>
      </c>
      <c r="M22" s="76"/>
      <c r="N22" s="75">
        <v>373000</v>
      </c>
      <c r="O22" s="75">
        <f>I22-N22</f>
        <v>-253164</v>
      </c>
      <c r="P22" s="76">
        <f>+I22/N22</f>
        <v>0.32127613941018768</v>
      </c>
      <c r="R22" s="79"/>
    </row>
    <row r="23" spans="1:18" x14ac:dyDescent="0.2">
      <c r="B23" s="75">
        <v>19799.38</v>
      </c>
      <c r="C23" s="75">
        <v>9000</v>
      </c>
      <c r="D23" s="75">
        <f>B23-C23</f>
        <v>10799.380000000001</v>
      </c>
      <c r="E23" s="76">
        <f>+B23/C23</f>
        <v>2.1999311111111113</v>
      </c>
      <c r="G23" s="65" t="s">
        <v>418</v>
      </c>
      <c r="I23" s="75">
        <v>57222.09</v>
      </c>
      <c r="J23" s="75">
        <v>36001</v>
      </c>
      <c r="K23" s="75">
        <f>I23-J23</f>
        <v>21221.089999999997</v>
      </c>
      <c r="L23" s="76">
        <f>+I23/J23</f>
        <v>1.5894583483792115</v>
      </c>
      <c r="M23" s="76"/>
      <c r="N23" s="75">
        <v>108000</v>
      </c>
      <c r="O23" s="75">
        <f>I23-N23</f>
        <v>-50777.91</v>
      </c>
      <c r="P23" s="76">
        <f>+I23/N23</f>
        <v>0.52983416666666661</v>
      </c>
      <c r="R23" s="79"/>
    </row>
    <row r="24" spans="1:18" s="62" customFormat="1" x14ac:dyDescent="0.2">
      <c r="B24" s="87">
        <f>SUM(B22:B23)</f>
        <v>56893.25</v>
      </c>
      <c r="C24" s="87">
        <f>SUM(C22:C23)</f>
        <v>62902</v>
      </c>
      <c r="D24" s="87">
        <f>+B24-C24</f>
        <v>-6008.75</v>
      </c>
      <c r="E24" s="76">
        <f>+B24/C24</f>
        <v>0.9044744205271692</v>
      </c>
      <c r="G24" s="62" t="s">
        <v>419</v>
      </c>
      <c r="I24" s="87">
        <f>SUM(I22:I23)</f>
        <v>177058.09</v>
      </c>
      <c r="J24" s="87">
        <f>SUM(J22:J23)</f>
        <v>163780</v>
      </c>
      <c r="K24" s="87">
        <f>SUM(K22:K23)</f>
        <v>13278.089999999997</v>
      </c>
      <c r="L24" s="76">
        <f>+I24/J24</f>
        <v>1.0810727195017706</v>
      </c>
      <c r="M24" s="76"/>
      <c r="N24" s="87">
        <f>SUM(N22:N23)</f>
        <v>481000</v>
      </c>
      <c r="O24" s="87">
        <f>SUM(O22:O23)</f>
        <v>-303941.91000000003</v>
      </c>
      <c r="P24" s="76">
        <f>+I24/N24</f>
        <v>0.36810413721413721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59836.84</v>
      </c>
      <c r="C26" s="75">
        <v>58130</v>
      </c>
      <c r="D26" s="75">
        <f>B26-C26</f>
        <v>1706.8399999999965</v>
      </c>
      <c r="E26" s="76">
        <f>+B26/C26</f>
        <v>1.0293624634440048</v>
      </c>
      <c r="G26" s="65" t="s">
        <v>420</v>
      </c>
      <c r="I26" s="75">
        <v>191623.99</v>
      </c>
      <c r="J26" s="75">
        <v>181851</v>
      </c>
      <c r="K26" s="75">
        <f>I26-J26</f>
        <v>9772.9899999999907</v>
      </c>
      <c r="L26" s="76">
        <f>+I26/J26</f>
        <v>1.053741744615097</v>
      </c>
      <c r="M26" s="76"/>
      <c r="N26" s="75">
        <v>528658</v>
      </c>
      <c r="O26" s="75">
        <f>I26-N26</f>
        <v>-337034.01</v>
      </c>
      <c r="P26" s="76">
        <f>+I26/N26</f>
        <v>0.36247250585444651</v>
      </c>
      <c r="R26" s="79"/>
    </row>
    <row r="27" spans="1:18" x14ac:dyDescent="0.2">
      <c r="B27" s="75">
        <v>2000.3</v>
      </c>
      <c r="C27" s="75">
        <v>1489</v>
      </c>
      <c r="D27" s="75">
        <f>B27-C27</f>
        <v>511.29999999999995</v>
      </c>
      <c r="E27" s="76">
        <f>+B27/C27</f>
        <v>1.3433848220282067</v>
      </c>
      <c r="G27" s="65" t="s">
        <v>421</v>
      </c>
      <c r="I27" s="75">
        <v>3713.41</v>
      </c>
      <c r="J27" s="75">
        <v>3475</v>
      </c>
      <c r="K27" s="75">
        <f>I27-J27</f>
        <v>238.40999999999985</v>
      </c>
      <c r="L27" s="76">
        <f>+I27/J27</f>
        <v>1.0686071942446043</v>
      </c>
      <c r="M27" s="76"/>
      <c r="N27" s="75">
        <v>5465</v>
      </c>
      <c r="O27" s="75">
        <f>I27-N27</f>
        <v>-1751.5900000000001</v>
      </c>
      <c r="P27" s="76">
        <f>+I27/N27</f>
        <v>0.67948947849954255</v>
      </c>
      <c r="R27" s="79"/>
    </row>
    <row r="28" spans="1:18" x14ac:dyDescent="0.2">
      <c r="B28" s="75">
        <f>79366.61-61837</f>
        <v>17529.61</v>
      </c>
      <c r="C28" s="75">
        <f>77077-59619</f>
        <v>17458</v>
      </c>
      <c r="D28" s="75">
        <f>B28-C28</f>
        <v>71.610000000000582</v>
      </c>
      <c r="E28" s="76">
        <f>+B28/C28</f>
        <v>1.0041018444266239</v>
      </c>
      <c r="G28" s="65" t="s">
        <v>422</v>
      </c>
      <c r="I28" s="75">
        <f>269005.67-195337</f>
        <v>73668.669999999984</v>
      </c>
      <c r="J28" s="75">
        <f>255657-185326</f>
        <v>70331</v>
      </c>
      <c r="K28" s="75">
        <f>I28-J28</f>
        <v>3337.6699999999837</v>
      </c>
      <c r="L28" s="76">
        <f>+I28/J28</f>
        <v>1.0474565980861923</v>
      </c>
      <c r="M28" s="76"/>
      <c r="N28" s="75">
        <f>744123-534123</f>
        <v>210000</v>
      </c>
      <c r="O28" s="75">
        <f>I28-N28</f>
        <v>-136331.33000000002</v>
      </c>
      <c r="P28" s="76">
        <f>+I28/N28</f>
        <v>0.35080319047619041</v>
      </c>
      <c r="R28" s="79"/>
    </row>
    <row r="29" spans="1:18" s="62" customFormat="1" x14ac:dyDescent="0.2">
      <c r="B29" s="87">
        <f>SUM(B26:B28)</f>
        <v>79366.75</v>
      </c>
      <c r="C29" s="87">
        <f>SUM(C26:C28)</f>
        <v>77077</v>
      </c>
      <c r="D29" s="87">
        <f>+B29-C29</f>
        <v>2289.75</v>
      </c>
      <c r="E29" s="76">
        <f>+B29/C29</f>
        <v>1.0297073056813317</v>
      </c>
      <c r="G29" s="62" t="s">
        <v>175</v>
      </c>
      <c r="I29" s="87">
        <f>SUM(I26:I28)</f>
        <v>269006.06999999995</v>
      </c>
      <c r="J29" s="87">
        <f>SUM(J26:J28)</f>
        <v>255657</v>
      </c>
      <c r="K29" s="87">
        <f>SUM(K26:K28)</f>
        <v>13349.069999999974</v>
      </c>
      <c r="L29" s="76">
        <f>+I29/J29</f>
        <v>1.0522147643131226</v>
      </c>
      <c r="M29" s="76"/>
      <c r="N29" s="87">
        <f>SUM(N26:N28)</f>
        <v>744123</v>
      </c>
      <c r="O29" s="87">
        <f>SUM(O26:O28)</f>
        <v>-475116.93000000005</v>
      </c>
      <c r="P29" s="76">
        <f>+I29/N29</f>
        <v>0.36150753302881372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133</v>
      </c>
      <c r="B31" s="75">
        <v>258301.08</v>
      </c>
      <c r="C31" s="75">
        <v>227974</v>
      </c>
      <c r="D31" s="75">
        <f>B31-C31</f>
        <v>30327.079999999987</v>
      </c>
      <c r="E31" s="76">
        <f>+B31/C31</f>
        <v>1.1330286787089756</v>
      </c>
      <c r="G31" s="65" t="s">
        <v>423</v>
      </c>
      <c r="I31" s="75">
        <v>764226.61</v>
      </c>
      <c r="J31" s="75">
        <v>727592</v>
      </c>
      <c r="K31" s="75">
        <f>I31-J31</f>
        <v>36634.609999999986</v>
      </c>
      <c r="L31" s="76">
        <f>+I31/J31</f>
        <v>1.0503504848871346</v>
      </c>
      <c r="M31" s="76"/>
      <c r="N31" s="75">
        <v>2093228</v>
      </c>
      <c r="O31" s="75">
        <f>I31-N31</f>
        <v>-1329001.3900000001</v>
      </c>
      <c r="P31" s="76">
        <f>+I31/N31</f>
        <v>0.36509477706203053</v>
      </c>
      <c r="R31" s="79"/>
    </row>
    <row r="32" spans="1:18" x14ac:dyDescent="0.2">
      <c r="B32" s="75">
        <v>66679.17</v>
      </c>
      <c r="C32" s="75">
        <v>56103</v>
      </c>
      <c r="D32" s="75">
        <f>B32-C32</f>
        <v>10576.169999999998</v>
      </c>
      <c r="E32" s="76">
        <f>+B32/C32</f>
        <v>1.188513448478691</v>
      </c>
      <c r="G32" s="65" t="s">
        <v>424</v>
      </c>
      <c r="I32" s="75">
        <v>207949.83</v>
      </c>
      <c r="J32" s="75">
        <v>184773</v>
      </c>
      <c r="K32" s="75">
        <f>I32-J32</f>
        <v>23176.829999999987</v>
      </c>
      <c r="L32" s="76">
        <f>+I32/J32</f>
        <v>1.1254340731600396</v>
      </c>
      <c r="M32" s="76"/>
      <c r="N32" s="75">
        <v>539457</v>
      </c>
      <c r="O32" s="75">
        <f>I32-N32</f>
        <v>-331507.17000000004</v>
      </c>
      <c r="P32" s="76">
        <f>+I32/N32</f>
        <v>0.38547989923200549</v>
      </c>
      <c r="R32" s="79"/>
    </row>
    <row r="33" spans="2:18" x14ac:dyDescent="0.2">
      <c r="B33" s="75">
        <v>60138.53</v>
      </c>
      <c r="C33" s="75">
        <v>50717</v>
      </c>
      <c r="D33" s="75">
        <f>B33-C33</f>
        <v>9421.5299999999988</v>
      </c>
      <c r="E33" s="76">
        <f>+B33/C33</f>
        <v>1.185766705443934</v>
      </c>
      <c r="G33" s="65" t="s">
        <v>425</v>
      </c>
      <c r="I33" s="75">
        <v>143873.23000000001</v>
      </c>
      <c r="J33" s="75">
        <v>123855</v>
      </c>
      <c r="K33" s="75">
        <f>I33-J33</f>
        <v>20018.23000000001</v>
      </c>
      <c r="L33" s="76">
        <f>+I33/J33</f>
        <v>1.1616263372492028</v>
      </c>
      <c r="M33" s="76"/>
      <c r="N33" s="75">
        <v>233127</v>
      </c>
      <c r="O33" s="75">
        <f>I33-N33</f>
        <v>-89253.76999999999</v>
      </c>
      <c r="P33" s="76">
        <f>+I33/N33</f>
        <v>0.61714528990636008</v>
      </c>
      <c r="R33" s="79"/>
    </row>
    <row r="34" spans="2:18" x14ac:dyDescent="0.2">
      <c r="B34" s="75">
        <f>441858.78-385119</f>
        <v>56739.780000000028</v>
      </c>
      <c r="C34" s="75">
        <f>371790-334794</f>
        <v>36996</v>
      </c>
      <c r="D34" s="75">
        <f>B34-C34</f>
        <v>19743.780000000028</v>
      </c>
      <c r="E34" s="76">
        <f>+B34/C34</f>
        <v>1.533673370094065</v>
      </c>
      <c r="G34" s="65" t="s">
        <v>426</v>
      </c>
      <c r="I34" s="75">
        <f>1314936.25-1116050</f>
        <v>198886.25</v>
      </c>
      <c r="J34" s="75">
        <f>1184216-1036220</f>
        <v>147996</v>
      </c>
      <c r="K34" s="75">
        <f>I34-J34</f>
        <v>50890.25</v>
      </c>
      <c r="L34" s="76">
        <f>+I34/J34</f>
        <v>1.3438623341171383</v>
      </c>
      <c r="M34" s="76"/>
      <c r="N34" s="75">
        <f>3309812-2865812</f>
        <v>444000</v>
      </c>
      <c r="O34" s="75">
        <f>I34-N34</f>
        <v>-245113.75</v>
      </c>
      <c r="P34" s="76">
        <f>+I34/N34</f>
        <v>0.4479420045045045</v>
      </c>
      <c r="R34" s="79"/>
    </row>
    <row r="35" spans="2:18" s="62" customFormat="1" x14ac:dyDescent="0.2">
      <c r="B35" s="87">
        <f>SUM(B31:B34)</f>
        <v>441858.56000000006</v>
      </c>
      <c r="C35" s="87">
        <f>SUM(C31:C34)</f>
        <v>371790</v>
      </c>
      <c r="D35" s="87">
        <f>+B35-C35</f>
        <v>70068.560000000056</v>
      </c>
      <c r="E35" s="76">
        <f>+B35/C35</f>
        <v>1.1884627343392777</v>
      </c>
      <c r="G35" s="62" t="s">
        <v>427</v>
      </c>
      <c r="I35" s="87">
        <f>SUM(I31:I34)</f>
        <v>1314935.92</v>
      </c>
      <c r="J35" s="87">
        <f>SUM(J31:J34)</f>
        <v>1184216</v>
      </c>
      <c r="K35" s="87">
        <f>SUM(K31:K34)</f>
        <v>130719.91999999998</v>
      </c>
      <c r="L35" s="76">
        <f>+I35/J35</f>
        <v>1.1103851999972978</v>
      </c>
      <c r="M35" s="76"/>
      <c r="N35" s="87">
        <f>SUM(N31:N34)</f>
        <v>3309812</v>
      </c>
      <c r="O35" s="87">
        <f>SUM(O31:O34)</f>
        <v>-1994876.08</v>
      </c>
      <c r="P35" s="76">
        <f>+I35/N35</f>
        <v>0.39728417203152322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20864.900000000001</v>
      </c>
      <c r="C37" s="75">
        <v>21063</v>
      </c>
      <c r="D37" s="75">
        <f>B37-C37</f>
        <v>-198.09999999999854</v>
      </c>
      <c r="E37" s="76">
        <f>+B37/C37</f>
        <v>0.99059488202060497</v>
      </c>
      <c r="G37" s="65" t="s">
        <v>428</v>
      </c>
      <c r="I37" s="75">
        <v>68594.47</v>
      </c>
      <c r="J37" s="75">
        <v>70607</v>
      </c>
      <c r="K37" s="75">
        <f>I37-J37</f>
        <v>-2012.5299999999988</v>
      </c>
      <c r="L37" s="76">
        <f>+I37/J37</f>
        <v>0.97149673545115922</v>
      </c>
      <c r="M37" s="76"/>
      <c r="N37" s="75">
        <v>206600</v>
      </c>
      <c r="O37" s="75">
        <f>I37-N37</f>
        <v>-138005.53</v>
      </c>
      <c r="P37" s="76">
        <f>+I37/N37</f>
        <v>0.33201582768635046</v>
      </c>
      <c r="R37" s="79"/>
    </row>
    <row r="38" spans="2:18" x14ac:dyDescent="0.2">
      <c r="B38" s="75">
        <v>2236.39</v>
      </c>
      <c r="C38" s="75">
        <v>3036</v>
      </c>
      <c r="D38" s="75">
        <f>B38-C38</f>
        <v>-799.61000000000013</v>
      </c>
      <c r="E38" s="76">
        <f>+B38/C38</f>
        <v>0.73662384716732543</v>
      </c>
      <c r="G38" s="65" t="s">
        <v>429</v>
      </c>
      <c r="I38" s="75">
        <v>6396.13</v>
      </c>
      <c r="J38" s="75">
        <v>7108</v>
      </c>
      <c r="K38" s="75">
        <f>I38-J38</f>
        <v>-711.86999999999989</v>
      </c>
      <c r="L38" s="76">
        <f>+I38/J38</f>
        <v>0.89984946539110866</v>
      </c>
      <c r="M38" s="76"/>
      <c r="N38" s="75">
        <v>11308</v>
      </c>
      <c r="O38" s="75">
        <f>I38-N38</f>
        <v>-4911.87</v>
      </c>
      <c r="P38" s="76">
        <f>+I38/N38</f>
        <v>0.56562875840113191</v>
      </c>
      <c r="R38" s="79"/>
    </row>
    <row r="39" spans="2:18" x14ac:dyDescent="0.2">
      <c r="B39" s="75">
        <f>24930.75-23101</f>
        <v>1829.75</v>
      </c>
      <c r="C39" s="75">
        <f>26237-24099</f>
        <v>2138</v>
      </c>
      <c r="D39" s="75">
        <f>B39-C39</f>
        <v>-308.25</v>
      </c>
      <c r="E39" s="76">
        <f>+B39/C39</f>
        <v>0.85582319925163708</v>
      </c>
      <c r="G39" s="65" t="s">
        <v>430</v>
      </c>
      <c r="I39" s="75">
        <f>79494.53-74991</f>
        <v>4503.5299999999988</v>
      </c>
      <c r="J39" s="75">
        <f>86268-77715</f>
        <v>8553</v>
      </c>
      <c r="K39" s="75">
        <f>I39-J39</f>
        <v>-4049.4700000000012</v>
      </c>
      <c r="L39" s="76">
        <f>+I39/J39</f>
        <v>0.52654390272419016</v>
      </c>
      <c r="M39" s="76"/>
      <c r="N39" s="75">
        <f>243558-217908</f>
        <v>25650</v>
      </c>
      <c r="O39" s="75">
        <f>I39-N39</f>
        <v>-21146.47</v>
      </c>
      <c r="P39" s="76">
        <f>+I39/N39</f>
        <v>0.17557621832358669</v>
      </c>
      <c r="R39" s="79"/>
    </row>
    <row r="40" spans="2:18" s="62" customFormat="1" x14ac:dyDescent="0.2">
      <c r="B40" s="87">
        <f>SUM(B37:B39)</f>
        <v>24931.040000000001</v>
      </c>
      <c r="C40" s="87">
        <f>SUM(C37:C39)</f>
        <v>26237</v>
      </c>
      <c r="D40" s="87">
        <f>SUM(D37:D39)</f>
        <v>-1305.9599999999987</v>
      </c>
      <c r="E40" s="76">
        <f>+B40/C40</f>
        <v>0.95022449212943561</v>
      </c>
      <c r="G40" s="62" t="s">
        <v>431</v>
      </c>
      <c r="I40" s="87">
        <f>SUM(I37:I39)</f>
        <v>79494.13</v>
      </c>
      <c r="J40" s="87">
        <f>SUM(J37:J39)</f>
        <v>86268</v>
      </c>
      <c r="K40" s="87">
        <f>SUM(K37:K39)</f>
        <v>-6773.87</v>
      </c>
      <c r="L40" s="76">
        <f>+I40/J40</f>
        <v>0.92147876385218164</v>
      </c>
      <c r="M40" s="76"/>
      <c r="N40" s="87">
        <f>SUM(N37:N39)</f>
        <v>243558</v>
      </c>
      <c r="O40" s="87">
        <f>SUM(O37:O39)</f>
        <v>-164063.87</v>
      </c>
      <c r="P40" s="76">
        <f>+I40/N40</f>
        <v>0.32638685651877586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15695.27</v>
      </c>
      <c r="C42" s="75">
        <v>13409</v>
      </c>
      <c r="D42" s="75">
        <f>B42-C42</f>
        <v>2286.2700000000004</v>
      </c>
      <c r="E42" s="76">
        <f>+B42/C42</f>
        <v>1.1705026474755762</v>
      </c>
      <c r="G42" s="65" t="s">
        <v>432</v>
      </c>
      <c r="I42" s="75">
        <v>48481.57</v>
      </c>
      <c r="J42" s="75">
        <v>44515</v>
      </c>
      <c r="K42" s="75">
        <f>I42-J42</f>
        <v>3966.5699999999997</v>
      </c>
      <c r="L42" s="76">
        <f>+I42/J42</f>
        <v>1.0891063686397844</v>
      </c>
      <c r="M42" s="76"/>
      <c r="N42" s="75">
        <v>129330</v>
      </c>
      <c r="O42" s="75">
        <f>I42-N42</f>
        <v>-80848.429999999993</v>
      </c>
      <c r="P42" s="76">
        <f>+I42/N42</f>
        <v>0.37486716152478156</v>
      </c>
      <c r="R42" s="79"/>
    </row>
    <row r="43" spans="2:18" x14ac:dyDescent="0.2">
      <c r="B43" s="75">
        <v>44008.2</v>
      </c>
      <c r="C43" s="75">
        <v>34807</v>
      </c>
      <c r="D43" s="75">
        <f>B43-C43</f>
        <v>9201.1999999999971</v>
      </c>
      <c r="E43" s="76">
        <f>+B43/C43</f>
        <v>1.2643491251759702</v>
      </c>
      <c r="G43" s="65" t="s">
        <v>433</v>
      </c>
      <c r="I43" s="75">
        <v>72387.44</v>
      </c>
      <c r="J43" s="75">
        <v>61076</v>
      </c>
      <c r="K43" s="75">
        <f>I43-J43</f>
        <v>11311.440000000002</v>
      </c>
      <c r="L43" s="76">
        <f>+I43/J43</f>
        <v>1.1852026982775559</v>
      </c>
      <c r="M43" s="76"/>
      <c r="N43" s="75">
        <v>107695</v>
      </c>
      <c r="O43" s="75">
        <f>I43-N43</f>
        <v>-35307.56</v>
      </c>
      <c r="P43" s="76">
        <f>+I43/N43</f>
        <v>0.67215228190723808</v>
      </c>
      <c r="R43" s="79"/>
    </row>
    <row r="44" spans="2:18" x14ac:dyDescent="0.2">
      <c r="B44" s="75">
        <f>60682.48-59703</f>
        <v>979.4800000000032</v>
      </c>
      <c r="C44" s="75">
        <f>49858-48216</f>
        <v>1642</v>
      </c>
      <c r="D44" s="75">
        <f>B44-C44</f>
        <v>-662.5199999999968</v>
      </c>
      <c r="E44" s="76">
        <f>+B44/C44</f>
        <v>0.59651644336175591</v>
      </c>
      <c r="G44" s="65" t="s">
        <v>434</v>
      </c>
      <c r="I44" s="75">
        <f>128764.24-120869</f>
        <v>7895.2400000000052</v>
      </c>
      <c r="J44" s="75">
        <f>113607-105591</f>
        <v>8016</v>
      </c>
      <c r="K44" s="75">
        <f>I44-J44</f>
        <v>-120.75999999999476</v>
      </c>
      <c r="L44" s="76">
        <f>+I44/J44</f>
        <v>0.98493512974051967</v>
      </c>
      <c r="M44" s="76"/>
      <c r="N44" s="75">
        <f>258025-237025</f>
        <v>21000</v>
      </c>
      <c r="O44" s="75">
        <f>I44-N44</f>
        <v>-13104.759999999995</v>
      </c>
      <c r="P44" s="76">
        <f>+I44/N44</f>
        <v>0.37596380952380976</v>
      </c>
      <c r="R44" s="79"/>
    </row>
    <row r="45" spans="2:18" s="62" customFormat="1" x14ac:dyDescent="0.2">
      <c r="B45" s="87">
        <f>SUM(B42:B44)</f>
        <v>60682.950000000004</v>
      </c>
      <c r="C45" s="87">
        <f>SUM(C42:C44)</f>
        <v>49858</v>
      </c>
      <c r="D45" s="87">
        <f>+B45-C45</f>
        <v>10824.950000000004</v>
      </c>
      <c r="E45" s="76">
        <f>+B45/C45</f>
        <v>1.2171156083276506</v>
      </c>
      <c r="G45" s="62" t="s">
        <v>155</v>
      </c>
      <c r="I45" s="87">
        <f>SUM(I42:I44)</f>
        <v>128764.25000000001</v>
      </c>
      <c r="J45" s="87">
        <f>SUM(J42:J44)</f>
        <v>113607</v>
      </c>
      <c r="K45" s="87">
        <f>SUM(K42:K44)</f>
        <v>15157.250000000007</v>
      </c>
      <c r="L45" s="76">
        <f>+I45/J45</f>
        <v>1.1334182752823332</v>
      </c>
      <c r="M45" s="76"/>
      <c r="N45" s="87">
        <f>SUM(N42:N44)</f>
        <v>258025</v>
      </c>
      <c r="O45" s="87">
        <f>SUM(O42:O44)</f>
        <v>-129260.74999999999</v>
      </c>
      <c r="P45" s="76">
        <f>+I45/N45</f>
        <v>0.4990378839259762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x14ac:dyDescent="0.2">
      <c r="B47" s="87">
        <v>15789.91</v>
      </c>
      <c r="C47" s="87">
        <v>16835</v>
      </c>
      <c r="D47" s="87">
        <f>+B47-C47</f>
        <v>-1045.0900000000001</v>
      </c>
      <c r="E47" s="76">
        <f>+B47/C47</f>
        <v>0.93792159192159197</v>
      </c>
      <c r="G47" s="62" t="s">
        <v>436</v>
      </c>
      <c r="I47" s="87">
        <v>52386.83</v>
      </c>
      <c r="J47" s="87">
        <v>52923</v>
      </c>
      <c r="K47" s="87">
        <f>I47-J47</f>
        <v>-536.16999999999825</v>
      </c>
      <c r="L47" s="76">
        <f>+I47/J47</f>
        <v>0.98986886608846814</v>
      </c>
      <c r="M47" s="76"/>
      <c r="N47" s="87">
        <v>153474</v>
      </c>
      <c r="O47" s="87">
        <f>I47-N47</f>
        <v>-101087.17</v>
      </c>
      <c r="P47" s="76">
        <f>+I47/N47</f>
        <v>0.34134009669390258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x14ac:dyDescent="0.2">
      <c r="B49" s="87">
        <v>5237.8999999999996</v>
      </c>
      <c r="C49" s="87">
        <v>3787</v>
      </c>
      <c r="D49" s="87">
        <f>+B49-C49</f>
        <v>1450.8999999999996</v>
      </c>
      <c r="E49" s="76">
        <f>+B49/C49</f>
        <v>1.3831264853445999</v>
      </c>
      <c r="G49" s="62" t="s">
        <v>135</v>
      </c>
      <c r="I49" s="87">
        <v>14941.83</v>
      </c>
      <c r="J49" s="87">
        <v>11500</v>
      </c>
      <c r="K49" s="87">
        <f>I49-J49</f>
        <v>3441.83</v>
      </c>
      <c r="L49" s="76">
        <f>+I49/J49</f>
        <v>1.2992895652173913</v>
      </c>
      <c r="M49" s="76"/>
      <c r="N49" s="87">
        <v>33277</v>
      </c>
      <c r="O49" s="87">
        <f>I49-N49</f>
        <v>-18335.169999999998</v>
      </c>
      <c r="P49" s="76">
        <f>+I49/N49</f>
        <v>0.44901373320912341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3350</v>
      </c>
      <c r="C51" s="75">
        <v>2558</v>
      </c>
      <c r="D51" s="75">
        <f>B51-C51</f>
        <v>792</v>
      </c>
      <c r="E51" s="76">
        <f>+B51/C51</f>
        <v>1.3096168881939014</v>
      </c>
      <c r="G51" s="65" t="s">
        <v>437</v>
      </c>
      <c r="I51" s="75">
        <v>10154.09</v>
      </c>
      <c r="J51" s="75">
        <v>9901</v>
      </c>
      <c r="K51" s="75">
        <f>I51-J51</f>
        <v>253.09000000000015</v>
      </c>
      <c r="L51" s="76">
        <f>+I51/J51</f>
        <v>1.0255620644379355</v>
      </c>
      <c r="M51" s="76"/>
      <c r="N51" s="75">
        <v>29585</v>
      </c>
      <c r="O51" s="75">
        <f>I51-N51</f>
        <v>-19430.91</v>
      </c>
      <c r="P51" s="76">
        <f>+I51/N51</f>
        <v>0.34321750887273955</v>
      </c>
      <c r="R51" s="79"/>
    </row>
    <row r="52" spans="1:18" x14ac:dyDescent="0.2">
      <c r="B52" s="75">
        <v>259977.04</v>
      </c>
      <c r="C52" s="75">
        <v>163423</v>
      </c>
      <c r="D52" s="75">
        <f>B52-C52</f>
        <v>96554.040000000008</v>
      </c>
      <c r="E52" s="76">
        <f>+B52/C52</f>
        <v>1.5908228339952148</v>
      </c>
      <c r="G52" s="65" t="s">
        <v>438</v>
      </c>
      <c r="I52" s="75">
        <v>403206.64</v>
      </c>
      <c r="J52" s="75">
        <v>279483</v>
      </c>
      <c r="K52" s="75">
        <f>I52-J52</f>
        <v>123723.64000000001</v>
      </c>
      <c r="L52" s="76">
        <f>+I52/J52</f>
        <v>1.4426875337677068</v>
      </c>
      <c r="M52" s="76"/>
      <c r="N52" s="75">
        <v>509245</v>
      </c>
      <c r="O52" s="75">
        <f>I52-N52</f>
        <v>-106038.35999999999</v>
      </c>
      <c r="P52" s="76">
        <f>+I52/N52</f>
        <v>0.79177339001855696</v>
      </c>
      <c r="R52" s="79"/>
    </row>
    <row r="53" spans="1:18" x14ac:dyDescent="0.2">
      <c r="B53" s="75">
        <f>275381.21-263327</f>
        <v>12054.210000000021</v>
      </c>
      <c r="C53" s="75">
        <f>167547-165981</f>
        <v>1566</v>
      </c>
      <c r="D53" s="75">
        <f>B53-C53</f>
        <v>10488.210000000021</v>
      </c>
      <c r="E53" s="76">
        <f>+B53/C53</f>
        <v>7.6974521072797071</v>
      </c>
      <c r="G53" s="65" t="s">
        <v>439</v>
      </c>
      <c r="I53" s="75">
        <f>434041.51-413361</f>
        <v>20680.510000000009</v>
      </c>
      <c r="J53" s="75">
        <f>310901-289384</f>
        <v>21517</v>
      </c>
      <c r="K53" s="75">
        <f>I53-J53</f>
        <v>-836.48999999999069</v>
      </c>
      <c r="L53" s="76">
        <f>+I53/J53</f>
        <v>0.96112422735511505</v>
      </c>
      <c r="M53" s="76"/>
      <c r="N53" s="75">
        <f>575630-538830</f>
        <v>36800</v>
      </c>
      <c r="O53" s="75">
        <f>I53-N53</f>
        <v>-16119.489999999991</v>
      </c>
      <c r="P53" s="76">
        <f>+I53/N53</f>
        <v>0.56197038043478287</v>
      </c>
      <c r="R53" s="79"/>
    </row>
    <row r="54" spans="1:18" s="62" customFormat="1" x14ac:dyDescent="0.2">
      <c r="B54" s="87">
        <f>B53+B52+B51</f>
        <v>275381.25</v>
      </c>
      <c r="C54" s="87">
        <f>C53+C52+C51</f>
        <v>167547</v>
      </c>
      <c r="D54" s="87">
        <f>+B54-C54</f>
        <v>107834.25</v>
      </c>
      <c r="E54" s="76">
        <f>+B54/C54</f>
        <v>1.6436059732492971</v>
      </c>
      <c r="G54" s="62" t="s">
        <v>440</v>
      </c>
      <c r="I54" s="87">
        <f>I53+I52+I51</f>
        <v>434041.24000000005</v>
      </c>
      <c r="J54" s="87">
        <f>J53+J52+J51</f>
        <v>310901</v>
      </c>
      <c r="K54" s="87">
        <f>K53+K52+K51</f>
        <v>123140.24000000002</v>
      </c>
      <c r="L54" s="76">
        <f>+I54/J54</f>
        <v>1.3960754066406993</v>
      </c>
      <c r="M54" s="76"/>
      <c r="N54" s="87">
        <f>N53+N52+N51</f>
        <v>575630</v>
      </c>
      <c r="O54" s="87">
        <f>O53+O52+O51</f>
        <v>-141588.75999999998</v>
      </c>
      <c r="P54" s="76">
        <f>+I54/N54</f>
        <v>0.75402817782255971</v>
      </c>
      <c r="R54" s="79"/>
    </row>
    <row r="55" spans="1:18" s="81" customFormat="1" ht="14.25" x14ac:dyDescent="0.2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x14ac:dyDescent="0.2">
      <c r="B56" s="77">
        <f>+B54+B49+B47+B45+B40+B35+B29+B24</f>
        <v>960141.6100000001</v>
      </c>
      <c r="C56" s="77">
        <f>+C54+C49+C47+C45+C40+C35+C29+C24</f>
        <v>776033</v>
      </c>
      <c r="D56" s="77">
        <f>B56-C56</f>
        <v>184108.6100000001</v>
      </c>
      <c r="E56" s="76">
        <f>+B56/C56</f>
        <v>1.2372432744483806</v>
      </c>
      <c r="F56" s="62"/>
      <c r="G56" s="78" t="s">
        <v>441</v>
      </c>
      <c r="H56" s="62"/>
      <c r="I56" s="77">
        <f>+I54+I49+I47+I45+I40+I35+I29+I24</f>
        <v>2470628.36</v>
      </c>
      <c r="J56" s="77">
        <f>+J54+J49+J47+J45+J40+J35+J29+J24</f>
        <v>2178852</v>
      </c>
      <c r="K56" s="77">
        <f>I56-J56</f>
        <v>291776.35999999987</v>
      </c>
      <c r="L56" s="76">
        <f>+I56/J56</f>
        <v>1.1339128862355037</v>
      </c>
      <c r="M56" s="88"/>
      <c r="N56" s="77">
        <f>+N54+N49+N47+N45+N40+N35+N29+N24</f>
        <v>5798899</v>
      </c>
      <c r="O56" s="77">
        <f>I56-N56</f>
        <v>-3328270.64</v>
      </c>
      <c r="P56" s="76">
        <f>+I56/N56</f>
        <v>0.4260512831832387</v>
      </c>
      <c r="R56" s="79"/>
    </row>
    <row r="57" spans="1:18" s="81" customFormat="1" ht="14.25" x14ac:dyDescent="0.2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x14ac:dyDescent="0.2">
      <c r="B58" s="77">
        <f>+B18-B56</f>
        <v>-44576.802000000142</v>
      </c>
      <c r="C58" s="77">
        <f>+C18-C56</f>
        <v>-97165.199999999953</v>
      </c>
      <c r="D58" s="89"/>
      <c r="E58" s="90"/>
      <c r="F58" s="62"/>
      <c r="G58" s="78" t="s">
        <v>442</v>
      </c>
      <c r="H58" s="62"/>
      <c r="I58" s="77">
        <f>+I18-I56</f>
        <v>707414.62900000019</v>
      </c>
      <c r="J58" s="77">
        <f>+J18-J56</f>
        <v>296891.79999999981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 x14ac:dyDescent="0.2">
      <c r="A60" s="81"/>
      <c r="D60" s="94" t="s">
        <v>443</v>
      </c>
      <c r="F60" s="128" t="s">
        <v>444</v>
      </c>
      <c r="G60" s="128"/>
      <c r="H60" s="128"/>
      <c r="I60" s="128"/>
      <c r="J60" s="128"/>
      <c r="K60" s="128"/>
      <c r="L60" s="128"/>
      <c r="M60" s="128"/>
      <c r="N60" s="128"/>
    </row>
    <row r="61" spans="1:18" s="93" customFormat="1" ht="11.25" hidden="1" x14ac:dyDescent="0.2">
      <c r="C61" s="94"/>
      <c r="G61" s="95" t="s">
        <v>445</v>
      </c>
      <c r="I61" s="96">
        <f>-I6*0.03</f>
        <v>-10739.07</v>
      </c>
      <c r="J61" s="96">
        <f>-J6*0.03</f>
        <v>-6510</v>
      </c>
      <c r="L61" s="93" t="s">
        <v>445</v>
      </c>
      <c r="N61" s="96">
        <v>-23100</v>
      </c>
    </row>
    <row r="62" spans="1:18" s="93" customFormat="1" ht="11.25" hidden="1" x14ac:dyDescent="0.2">
      <c r="B62" s="94"/>
      <c r="C62" s="94"/>
      <c r="D62" s="94"/>
      <c r="G62" s="95" t="s">
        <v>446</v>
      </c>
      <c r="I62" s="96">
        <f>-0.2*I11</f>
        <v>-34300.716</v>
      </c>
      <c r="J62" s="96">
        <f>-0.2*J11</f>
        <v>-32455.200000000001</v>
      </c>
      <c r="L62" s="93" t="s">
        <v>446</v>
      </c>
      <c r="N62" s="96">
        <v>-38500</v>
      </c>
    </row>
    <row r="63" spans="1:18" s="93" customFormat="1" ht="11.25" hidden="1" x14ac:dyDescent="0.2">
      <c r="B63" s="94"/>
      <c r="C63" s="94"/>
      <c r="D63" s="94"/>
      <c r="G63" s="95" t="s">
        <v>447</v>
      </c>
      <c r="I63" s="96">
        <f>995729*-0.05</f>
        <v>-49786.450000000004</v>
      </c>
      <c r="J63" s="96">
        <f>-0.05*(755000)</f>
        <v>-37750</v>
      </c>
      <c r="L63" s="93" t="s">
        <v>447</v>
      </c>
      <c r="N63" s="96">
        <v>-37750</v>
      </c>
    </row>
    <row r="64" spans="1:18" s="93" customFormat="1" ht="11.25" hidden="1" x14ac:dyDescent="0.2">
      <c r="B64" s="94"/>
      <c r="C64" s="94"/>
      <c r="D64" s="94"/>
      <c r="F64" s="97" t="s">
        <v>448</v>
      </c>
      <c r="G64" s="98"/>
      <c r="H64" s="97"/>
      <c r="I64" s="99">
        <f>-SUM(I61:I63)</f>
        <v>94826.236000000004</v>
      </c>
      <c r="J64" s="99">
        <f>-SUM(J61:J63)</f>
        <v>76715.199999999997</v>
      </c>
      <c r="K64" s="97"/>
      <c r="L64" s="97"/>
      <c r="M64" s="97"/>
      <c r="N64" s="99">
        <v>99350</v>
      </c>
    </row>
    <row r="65" spans="1:15" s="93" customFormat="1" ht="11.25" hidden="1" x14ac:dyDescent="0.2">
      <c r="B65" s="94"/>
      <c r="C65" s="94"/>
      <c r="D65" s="94"/>
      <c r="G65" s="95"/>
      <c r="I65" s="96"/>
      <c r="J65" s="96"/>
    </row>
    <row r="66" spans="1:15" s="81" customFormat="1" ht="14.25" hidden="1" x14ac:dyDescent="0.2">
      <c r="A66" s="93"/>
      <c r="B66" s="93"/>
      <c r="C66" s="93"/>
      <c r="D66" s="94"/>
      <c r="E66" s="93"/>
      <c r="F66" s="128" t="s">
        <v>449</v>
      </c>
      <c r="G66" s="128"/>
      <c r="H66" s="128"/>
      <c r="I66" s="128"/>
      <c r="J66" s="128"/>
      <c r="K66" s="128"/>
      <c r="L66" s="128"/>
      <c r="M66" s="128"/>
      <c r="N66" s="128"/>
    </row>
    <row r="67" spans="1:15" s="81" customFormat="1" ht="14.25" hidden="1" x14ac:dyDescent="0.2">
      <c r="A67" s="93"/>
      <c r="B67" s="93"/>
      <c r="C67" s="93"/>
      <c r="D67" s="100"/>
      <c r="E67" s="93"/>
      <c r="F67" s="93"/>
      <c r="G67" s="101" t="s">
        <v>450</v>
      </c>
      <c r="H67" s="93"/>
      <c r="I67" s="96">
        <f>-I8*0.5</f>
        <v>-67463.514999999999</v>
      </c>
      <c r="J67" s="96">
        <f>-J8*0.5</f>
        <v>-52250</v>
      </c>
      <c r="K67" s="93"/>
      <c r="L67" s="102" t="s">
        <v>450</v>
      </c>
      <c r="N67" s="96">
        <v>-50000</v>
      </c>
    </row>
    <row r="68" spans="1:15" s="93" customFormat="1" ht="11.25" hidden="1" x14ac:dyDescent="0.2">
      <c r="F68" s="97" t="s">
        <v>451</v>
      </c>
      <c r="G68" s="97"/>
      <c r="H68" s="97"/>
      <c r="I68" s="103">
        <f>-I67</f>
        <v>67463.514999999999</v>
      </c>
      <c r="J68" s="103">
        <f>-J67</f>
        <v>52250</v>
      </c>
      <c r="K68" s="97"/>
      <c r="L68" s="97"/>
      <c r="M68" s="97"/>
      <c r="N68" s="103">
        <v>50000</v>
      </c>
    </row>
    <row r="69" spans="1:15" s="93" customFormat="1" ht="11.25" hidden="1" x14ac:dyDescent="0.2">
      <c r="D69" s="94"/>
      <c r="G69" s="95"/>
      <c r="L69" s="104"/>
    </row>
    <row r="70" spans="1:15" s="93" customFormat="1" ht="14.25" hidden="1" x14ac:dyDescent="0.2">
      <c r="D70" s="94"/>
      <c r="G70" s="81"/>
      <c r="K70" s="96"/>
      <c r="N70" s="81"/>
    </row>
    <row r="71" spans="1:15" s="93" customFormat="1" hidden="1" x14ac:dyDescent="0.2">
      <c r="D71" s="94"/>
      <c r="G71" s="78" t="s">
        <v>452</v>
      </c>
      <c r="I71" s="77">
        <f>+I58-I64-I68</f>
        <v>545124.87800000014</v>
      </c>
      <c r="J71" s="77">
        <f>+J58-J64-J68</f>
        <v>167926.5999999998</v>
      </c>
      <c r="K71" s="96"/>
      <c r="N71" s="77">
        <v>-114634</v>
      </c>
    </row>
    <row r="72" spans="1:15" s="93" customFormat="1" ht="14.25" hidden="1" x14ac:dyDescent="0.2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 x14ac:dyDescent="0.2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+B6*F75</f>
        <v>3138.8250000000003</v>
      </c>
      <c r="C75" s="67">
        <f>+F75*C6</f>
        <v>3150</v>
      </c>
      <c r="D75" s="65"/>
      <c r="F75" s="108">
        <v>0.05</v>
      </c>
      <c r="G75" s="65" t="s">
        <v>453</v>
      </c>
      <c r="H75" s="108"/>
      <c r="I75" s="67">
        <f>+F75*I6</f>
        <v>17898.45</v>
      </c>
      <c r="J75" s="67">
        <f>+F75*J6</f>
        <v>10850</v>
      </c>
      <c r="K75" s="65"/>
      <c r="N75" s="67">
        <f>+F75*N6</f>
        <v>35000</v>
      </c>
      <c r="O75" s="109"/>
    </row>
    <row r="76" spans="1:15" x14ac:dyDescent="0.2">
      <c r="B76" s="67">
        <f>+F76*B11</f>
        <v>3770.4920000000002</v>
      </c>
      <c r="C76" s="67">
        <f>+F76*C11</f>
        <v>6761.2000000000007</v>
      </c>
      <c r="D76" s="65"/>
      <c r="F76" s="108">
        <v>0.2</v>
      </c>
      <c r="G76" s="65" t="s">
        <v>454</v>
      </c>
      <c r="H76" s="108"/>
      <c r="I76" s="67">
        <f>+F76*I11</f>
        <v>34300.716</v>
      </c>
      <c r="J76" s="67">
        <f>+F76*J11</f>
        <v>32455.200000000001</v>
      </c>
      <c r="K76" s="65"/>
      <c r="N76" s="67">
        <f>+F76*N11</f>
        <v>120000</v>
      </c>
      <c r="O76" s="109"/>
    </row>
    <row r="77" spans="1:15" x14ac:dyDescent="0.2">
      <c r="B77" s="67">
        <f>+F77*B8</f>
        <v>39062.684999999998</v>
      </c>
      <c r="C77" s="67">
        <f>+F77*C8</f>
        <v>26125</v>
      </c>
      <c r="D77" s="65"/>
      <c r="F77" s="108">
        <v>0.5</v>
      </c>
      <c r="G77" s="65" t="s">
        <v>455</v>
      </c>
      <c r="H77" s="108"/>
      <c r="I77" s="67">
        <f>+F77*I8</f>
        <v>67463.514999999999</v>
      </c>
      <c r="J77" s="67">
        <f>+F77*J8</f>
        <v>52250</v>
      </c>
      <c r="K77" s="65"/>
      <c r="N77" s="67">
        <f>+F77*N8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45972.002</v>
      </c>
      <c r="C79" s="67">
        <f>SUM(C75:C78)</f>
        <v>36036.199999999997</v>
      </c>
      <c r="D79" s="65"/>
      <c r="I79" s="67">
        <f>SUM(I75:I78)</f>
        <v>119662.681</v>
      </c>
      <c r="J79" s="67">
        <f>SUM(J75:J78)</f>
        <v>95555.199999999997</v>
      </c>
      <c r="K79" s="65"/>
      <c r="N79" s="67">
        <f>SUM(N75:N78)</f>
        <v>392500</v>
      </c>
      <c r="O79" s="109"/>
    </row>
    <row r="84" spans="2:14" x14ac:dyDescent="0.2">
      <c r="B84" s="79"/>
      <c r="C84" s="79"/>
      <c r="I84" s="79"/>
      <c r="J84" s="79"/>
      <c r="N84" s="7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scale="67" orientation="landscape" r:id="rId1"/>
  <headerFooter>
    <oddHeader>&amp;L&amp;8&amp;D
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B88A8B-7914-45FC-92AA-9442CD9C072E}">
  <sheetPr>
    <pageSetUpPr fitToPage="1"/>
  </sheetPr>
  <dimension ref="A1:R79"/>
  <sheetViews>
    <sheetView topLeftCell="A51" zoomScale="130" zoomScaleNormal="130" workbookViewId="0">
      <selection activeCell="D81" sqref="D81"/>
    </sheetView>
  </sheetViews>
  <sheetFormatPr defaultColWidth="15.7109375" defaultRowHeight="12" x14ac:dyDescent="0.2"/>
  <cols>
    <col min="1" max="1" width="5.42578125" style="65" bestFit="1" customWidth="1"/>
    <col min="2" max="2" width="13" style="65" customWidth="1"/>
    <col min="3" max="3" width="11" style="65" bestFit="1" customWidth="1"/>
    <col min="4" max="4" width="12.85546875" style="67" bestFit="1" customWidth="1"/>
    <col min="5" max="5" width="8.42578125" style="65" bestFit="1" customWidth="1"/>
    <col min="6" max="6" width="4.42578125" style="65" customWidth="1"/>
    <col min="7" max="7" width="38" style="65" bestFit="1" customWidth="1"/>
    <col min="8" max="8" width="1.7109375" style="65" customWidth="1"/>
    <col min="9" max="9" width="14.140625" style="65" customWidth="1"/>
    <col min="10" max="10" width="14.7109375" style="65" bestFit="1" customWidth="1"/>
    <col min="11" max="11" width="14.28515625" style="67" bestFit="1" customWidth="1"/>
    <col min="12" max="12" width="10.7109375" style="65" bestFit="1" customWidth="1"/>
    <col min="13" max="13" width="2.7109375" style="65" customWidth="1"/>
    <col min="14" max="14" width="14.7109375" style="65" bestFit="1" customWidth="1"/>
    <col min="15" max="15" width="14.28515625" style="67" bestFit="1" customWidth="1"/>
    <col min="16" max="16" width="13.5703125" style="65" bestFit="1" customWidth="1"/>
    <col min="17" max="16384" width="15.7109375" style="65"/>
  </cols>
  <sheetData>
    <row r="1" spans="1:18" s="62" customFormat="1" x14ac:dyDescent="0.2">
      <c r="B1" s="130" t="s">
        <v>523</v>
      </c>
      <c r="C1" s="130"/>
      <c r="D1" s="130"/>
      <c r="E1" s="130"/>
      <c r="F1" s="130"/>
      <c r="G1" s="130"/>
      <c r="H1" s="64"/>
      <c r="I1" s="129" t="s">
        <v>397</v>
      </c>
      <c r="J1" s="129"/>
      <c r="K1" s="129"/>
      <c r="L1" s="129"/>
      <c r="M1" s="129"/>
      <c r="N1" s="129"/>
      <c r="O1" s="129"/>
      <c r="P1" s="129"/>
    </row>
    <row r="2" spans="1:18" x14ac:dyDescent="0.2">
      <c r="B2" s="66"/>
    </row>
    <row r="3" spans="1:18" x14ac:dyDescent="0.2">
      <c r="B3" s="130" t="s">
        <v>398</v>
      </c>
      <c r="C3" s="130"/>
      <c r="D3" s="130"/>
      <c r="E3" s="130"/>
      <c r="I3" s="130" t="s">
        <v>399</v>
      </c>
      <c r="J3" s="130"/>
      <c r="K3" s="130"/>
      <c r="L3" s="130"/>
      <c r="M3" s="130"/>
      <c r="N3" s="130"/>
      <c r="O3" s="130"/>
      <c r="P3" s="130"/>
    </row>
    <row r="4" spans="1:18" s="62" customFormat="1" ht="36" x14ac:dyDescent="0.2">
      <c r="B4" s="68">
        <v>45869</v>
      </c>
      <c r="C4" s="69" t="s">
        <v>400</v>
      </c>
      <c r="D4" s="70" t="s">
        <v>401</v>
      </c>
      <c r="E4" s="71" t="s">
        <v>402</v>
      </c>
      <c r="F4" s="63"/>
      <c r="G4" s="72" t="s">
        <v>354</v>
      </c>
      <c r="H4" s="63"/>
      <c r="I4" s="73" t="s">
        <v>524</v>
      </c>
      <c r="J4" s="71" t="s">
        <v>525</v>
      </c>
      <c r="K4" s="70" t="s">
        <v>401</v>
      </c>
      <c r="L4" s="71" t="s">
        <v>403</v>
      </c>
      <c r="M4" s="74"/>
      <c r="N4" s="71" t="s">
        <v>404</v>
      </c>
      <c r="O4" s="70" t="s">
        <v>401</v>
      </c>
      <c r="P4" s="71" t="s">
        <v>405</v>
      </c>
    </row>
    <row r="6" spans="1:18" x14ac:dyDescent="0.2">
      <c r="B6" s="75">
        <v>62776.5</v>
      </c>
      <c r="C6" s="75">
        <v>63000</v>
      </c>
      <c r="D6" s="75">
        <f t="shared" ref="D6:D13" si="0">B6-C6</f>
        <v>-223.5</v>
      </c>
      <c r="E6" s="76">
        <f>+B6/C6</f>
        <v>0.99645238095238098</v>
      </c>
      <c r="G6" s="65" t="s">
        <v>350</v>
      </c>
      <c r="H6" s="65" t="s">
        <v>133</v>
      </c>
      <c r="I6" s="75">
        <v>357969</v>
      </c>
      <c r="J6" s="75">
        <v>217000</v>
      </c>
      <c r="K6" s="75">
        <f t="shared" ref="K6:K13" si="1">I6-J6</f>
        <v>140969</v>
      </c>
      <c r="L6" s="76">
        <f t="shared" ref="L6:L14" si="2">+I6/J6</f>
        <v>1.6496267281105992</v>
      </c>
      <c r="M6" s="76"/>
      <c r="N6" s="75">
        <v>700000</v>
      </c>
      <c r="O6" s="75">
        <f t="shared" ref="O6:O13" si="3">I6-N6</f>
        <v>-342031</v>
      </c>
      <c r="P6" s="76">
        <f t="shared" ref="P6:P14" si="4">+I6/N6</f>
        <v>0.51138428571428574</v>
      </c>
    </row>
    <row r="7" spans="1:18" x14ac:dyDescent="0.2">
      <c r="B7" s="75">
        <v>2714.45</v>
      </c>
      <c r="C7" s="75">
        <v>0</v>
      </c>
      <c r="D7" s="75">
        <f t="shared" si="0"/>
        <v>2714.45</v>
      </c>
      <c r="E7" s="76"/>
      <c r="G7" s="65" t="s">
        <v>406</v>
      </c>
      <c r="I7" s="75">
        <v>75426.06</v>
      </c>
      <c r="J7" s="75">
        <v>66000</v>
      </c>
      <c r="K7" s="75">
        <f t="shared" si="1"/>
        <v>9426.0599999999977</v>
      </c>
      <c r="L7" s="76">
        <f t="shared" si="2"/>
        <v>1.142819090909091</v>
      </c>
      <c r="M7" s="76"/>
      <c r="N7" s="75">
        <v>825000</v>
      </c>
      <c r="O7" s="75">
        <f t="shared" si="3"/>
        <v>-749573.94</v>
      </c>
      <c r="P7" s="76">
        <f t="shared" si="4"/>
        <v>9.1425527272727264E-2</v>
      </c>
    </row>
    <row r="8" spans="1:18" x14ac:dyDescent="0.2">
      <c r="B8" s="75">
        <v>78125.37</v>
      </c>
      <c r="C8" s="75">
        <v>52250</v>
      </c>
      <c r="D8" s="75">
        <f t="shared" si="0"/>
        <v>25875.369999999995</v>
      </c>
      <c r="E8" s="76">
        <f t="shared" ref="E8:E14" si="5">+B8/C8</f>
        <v>1.4952223923444976</v>
      </c>
      <c r="G8" s="65" t="s">
        <v>346</v>
      </c>
      <c r="I8" s="75">
        <v>134927.03</v>
      </c>
      <c r="J8" s="75">
        <v>104500</v>
      </c>
      <c r="K8" s="75">
        <f t="shared" si="1"/>
        <v>30427.03</v>
      </c>
      <c r="L8" s="76">
        <f t="shared" si="2"/>
        <v>1.2911677511961723</v>
      </c>
      <c r="M8" s="76"/>
      <c r="N8" s="75">
        <v>475000</v>
      </c>
      <c r="O8" s="75">
        <f t="shared" si="3"/>
        <v>-340072.97</v>
      </c>
      <c r="P8" s="76">
        <f t="shared" si="4"/>
        <v>0.28405690526315791</v>
      </c>
    </row>
    <row r="9" spans="1:18" x14ac:dyDescent="0.2">
      <c r="B9" s="75">
        <v>10677</v>
      </c>
      <c r="C9" s="75">
        <v>13350</v>
      </c>
      <c r="D9" s="75">
        <f t="shared" si="0"/>
        <v>-2673</v>
      </c>
      <c r="E9" s="76">
        <f t="shared" si="5"/>
        <v>0.7997752808988764</v>
      </c>
      <c r="G9" s="65" t="s">
        <v>407</v>
      </c>
      <c r="I9" s="75">
        <v>454364</v>
      </c>
      <c r="J9" s="75">
        <v>341950</v>
      </c>
      <c r="K9" s="75">
        <f t="shared" si="1"/>
        <v>112414</v>
      </c>
      <c r="L9" s="76">
        <f t="shared" si="2"/>
        <v>1.3287439684164351</v>
      </c>
      <c r="M9" s="76"/>
      <c r="N9" s="75">
        <v>445000</v>
      </c>
      <c r="O9" s="75">
        <f t="shared" si="3"/>
        <v>9364</v>
      </c>
      <c r="P9" s="76">
        <f t="shared" si="4"/>
        <v>1.0210426966292134</v>
      </c>
    </row>
    <row r="10" spans="1:18" x14ac:dyDescent="0.2">
      <c r="B10" s="75">
        <v>508957.18</v>
      </c>
      <c r="C10" s="75">
        <v>383250</v>
      </c>
      <c r="D10" s="75">
        <f t="shared" si="0"/>
        <v>125707.18</v>
      </c>
      <c r="E10" s="76">
        <f t="shared" si="5"/>
        <v>1.3280030789302022</v>
      </c>
      <c r="G10" s="65" t="s">
        <v>408</v>
      </c>
      <c r="I10" s="75">
        <v>1442850.38</v>
      </c>
      <c r="J10" s="75">
        <v>1243500</v>
      </c>
      <c r="K10" s="75">
        <f t="shared" si="1"/>
        <v>199350.37999999989</v>
      </c>
      <c r="L10" s="76">
        <f t="shared" si="2"/>
        <v>1.160313936469642</v>
      </c>
      <c r="M10" s="76"/>
      <c r="N10" s="75">
        <v>2010000</v>
      </c>
      <c r="O10" s="75">
        <f t="shared" si="3"/>
        <v>-567149.62000000011</v>
      </c>
      <c r="P10" s="76">
        <f t="shared" si="4"/>
        <v>0.71783600995024865</v>
      </c>
    </row>
    <row r="11" spans="1:18" x14ac:dyDescent="0.2">
      <c r="B11" s="75">
        <v>18852.46</v>
      </c>
      <c r="C11" s="75">
        <v>33806</v>
      </c>
      <c r="D11" s="75">
        <f t="shared" si="0"/>
        <v>-14953.54</v>
      </c>
      <c r="E11" s="76">
        <f t="shared" si="5"/>
        <v>0.55766609477607521</v>
      </c>
      <c r="G11" s="65" t="s">
        <v>409</v>
      </c>
      <c r="I11" s="75">
        <v>171503.58</v>
      </c>
      <c r="J11" s="75">
        <v>162276</v>
      </c>
      <c r="K11" s="75">
        <f t="shared" si="1"/>
        <v>9227.5799999999872</v>
      </c>
      <c r="L11" s="76">
        <f t="shared" si="2"/>
        <v>1.0568634918287361</v>
      </c>
      <c r="M11" s="76"/>
      <c r="N11" s="75">
        <v>600000</v>
      </c>
      <c r="O11" s="75">
        <f t="shared" si="3"/>
        <v>-428496.42000000004</v>
      </c>
      <c r="P11" s="76">
        <f t="shared" si="4"/>
        <v>0.28583929999999996</v>
      </c>
    </row>
    <row r="12" spans="1:18" x14ac:dyDescent="0.2">
      <c r="B12" s="75">
        <v>161940.34</v>
      </c>
      <c r="C12" s="75">
        <v>78968</v>
      </c>
      <c r="D12" s="75">
        <f t="shared" si="0"/>
        <v>82972.34</v>
      </c>
      <c r="E12" s="76">
        <f t="shared" si="5"/>
        <v>2.0507083882078816</v>
      </c>
      <c r="G12" s="65" t="s">
        <v>410</v>
      </c>
      <c r="I12" s="75">
        <v>303026.08</v>
      </c>
      <c r="J12" s="75">
        <v>176795</v>
      </c>
      <c r="K12" s="75">
        <f t="shared" si="1"/>
        <v>126231.08000000002</v>
      </c>
      <c r="L12" s="76">
        <f t="shared" si="2"/>
        <v>1.7139968890522923</v>
      </c>
      <c r="M12" s="76"/>
      <c r="N12" s="75">
        <v>477000</v>
      </c>
      <c r="O12" s="75">
        <f t="shared" si="3"/>
        <v>-173973.91999999998</v>
      </c>
      <c r="P12" s="76">
        <f t="shared" si="4"/>
        <v>0.63527480083857446</v>
      </c>
    </row>
    <row r="13" spans="1:18" x14ac:dyDescent="0.2">
      <c r="B13" s="75">
        <f>1130942.52-844043</f>
        <v>286899.52</v>
      </c>
      <c r="C13" s="75">
        <f>714904-624624</f>
        <v>90280</v>
      </c>
      <c r="D13" s="75">
        <f t="shared" si="0"/>
        <v>196619.52000000002</v>
      </c>
      <c r="E13" s="76">
        <f t="shared" si="5"/>
        <v>3.1778856889676566</v>
      </c>
      <c r="G13" s="65" t="s">
        <v>411</v>
      </c>
      <c r="I13" s="75">
        <f>3531680.12-2940066</f>
        <v>591614.12000000011</v>
      </c>
      <c r="J13" s="75">
        <f>2571299-2312021</f>
        <v>259278</v>
      </c>
      <c r="K13" s="75">
        <f t="shared" si="1"/>
        <v>332336.12000000011</v>
      </c>
      <c r="L13" s="76">
        <f t="shared" si="2"/>
        <v>2.2817752373899833</v>
      </c>
      <c r="M13" s="76"/>
      <c r="N13" s="75">
        <f>6192000-5532000</f>
        <v>660000</v>
      </c>
      <c r="O13" s="75">
        <f t="shared" si="3"/>
        <v>-68385.879999999888</v>
      </c>
      <c r="P13" s="76">
        <f t="shared" si="4"/>
        <v>0.89638503030303052</v>
      </c>
    </row>
    <row r="14" spans="1:18" x14ac:dyDescent="0.2">
      <c r="B14" s="77">
        <f>SUM(B6:B13)</f>
        <v>1130942.8199999998</v>
      </c>
      <c r="C14" s="77">
        <f>SUM(C6:C13)</f>
        <v>714904</v>
      </c>
      <c r="D14" s="77">
        <f>SUM(D6:D13)</f>
        <v>416038.82</v>
      </c>
      <c r="E14" s="76">
        <f t="shared" si="5"/>
        <v>1.5819506115506414</v>
      </c>
      <c r="F14" s="62"/>
      <c r="G14" s="78" t="s">
        <v>412</v>
      </c>
      <c r="H14" s="62"/>
      <c r="I14" s="77">
        <f>SUM(I6:I13)</f>
        <v>3531680.25</v>
      </c>
      <c r="J14" s="77">
        <f>SUM(J6:J13)</f>
        <v>2571299</v>
      </c>
      <c r="K14" s="77">
        <f>SUM(K6:K13)</f>
        <v>960381.25</v>
      </c>
      <c r="L14" s="76">
        <f t="shared" si="2"/>
        <v>1.3735004174932592</v>
      </c>
      <c r="M14" s="76"/>
      <c r="N14" s="77">
        <f>SUM(N6:N13)</f>
        <v>6192000</v>
      </c>
      <c r="O14" s="77">
        <f>SUM(O6:O13)</f>
        <v>-2660319.75</v>
      </c>
      <c r="P14" s="76">
        <f t="shared" si="4"/>
        <v>0.5703617974806201</v>
      </c>
      <c r="R14" s="79"/>
    </row>
    <row r="15" spans="1:18" x14ac:dyDescent="0.2">
      <c r="E15" s="76"/>
      <c r="L15" s="80"/>
      <c r="M15" s="80"/>
      <c r="P15" s="80"/>
      <c r="R15" s="79"/>
    </row>
    <row r="16" spans="1:18" s="81" customFormat="1" ht="14.25" x14ac:dyDescent="0.2">
      <c r="A16" s="65"/>
      <c r="B16" s="67">
        <f>+B79</f>
        <v>45972.002</v>
      </c>
      <c r="C16" s="67">
        <f>+C79</f>
        <v>36036.199999999997</v>
      </c>
      <c r="D16" s="67">
        <f>+B16-C16</f>
        <v>9935.8020000000033</v>
      </c>
      <c r="E16" s="76"/>
      <c r="F16" s="65"/>
      <c r="G16" s="78" t="s">
        <v>413</v>
      </c>
      <c r="H16" s="65"/>
      <c r="I16" s="67">
        <f>+I79</f>
        <v>119662.681</v>
      </c>
      <c r="J16" s="67">
        <f>+J79</f>
        <v>95555.199999999997</v>
      </c>
      <c r="K16" s="67">
        <f>+I16-J16</f>
        <v>24107.481</v>
      </c>
      <c r="L16" s="80"/>
      <c r="N16" s="67">
        <f>+N79</f>
        <v>392500</v>
      </c>
    </row>
    <row r="17" spans="1:18" s="81" customFormat="1" ht="14.25" x14ac:dyDescent="0.2">
      <c r="A17" s="65"/>
      <c r="B17" s="67"/>
      <c r="C17" s="67"/>
      <c r="D17" s="67"/>
      <c r="E17" s="76"/>
      <c r="F17" s="65"/>
      <c r="G17" s="62"/>
      <c r="H17" s="65"/>
      <c r="I17" s="67"/>
      <c r="J17" s="67"/>
      <c r="K17" s="67"/>
      <c r="L17" s="80"/>
      <c r="N17" s="67"/>
    </row>
    <row r="18" spans="1:18" s="81" customFormat="1" ht="14.25" x14ac:dyDescent="0.2">
      <c r="A18" s="65"/>
      <c r="B18" s="77">
        <f>+B14-B16</f>
        <v>1084970.8179999997</v>
      </c>
      <c r="C18" s="77">
        <f>+C14-C16</f>
        <v>678867.8</v>
      </c>
      <c r="D18" s="67"/>
      <c r="E18" s="76"/>
      <c r="F18" s="65"/>
      <c r="G18" s="78" t="s">
        <v>414</v>
      </c>
      <c r="H18" s="65"/>
      <c r="I18" s="77">
        <f>+I14-I16</f>
        <v>3412017.5690000001</v>
      </c>
      <c r="J18" s="77">
        <f>+J14-J16</f>
        <v>2475743.7999999998</v>
      </c>
      <c r="K18" s="67"/>
      <c r="L18" s="80"/>
      <c r="N18" s="77">
        <f>+N14-N16</f>
        <v>5799500</v>
      </c>
      <c r="O18" s="67"/>
    </row>
    <row r="19" spans="1:18" s="81" customFormat="1" ht="14.25" x14ac:dyDescent="0.2">
      <c r="A19" s="65"/>
      <c r="B19" s="67"/>
      <c r="C19" s="67"/>
      <c r="D19" s="67"/>
      <c r="E19" s="76"/>
      <c r="F19" s="65"/>
      <c r="G19" s="65"/>
      <c r="H19" s="65"/>
      <c r="I19" s="67"/>
      <c r="J19" s="67"/>
      <c r="K19" s="67"/>
      <c r="L19" s="80"/>
    </row>
    <row r="20" spans="1:18" s="62" customFormat="1" ht="36" x14ac:dyDescent="0.2">
      <c r="B20" s="82">
        <f>+B4</f>
        <v>45869</v>
      </c>
      <c r="C20" s="83" t="s">
        <v>400</v>
      </c>
      <c r="D20" s="84" t="s">
        <v>401</v>
      </c>
      <c r="E20" s="85"/>
      <c r="G20" s="72" t="s">
        <v>415</v>
      </c>
      <c r="I20" s="86" t="str">
        <f>I4</f>
        <v>Actual April 2025 - July 2025</v>
      </c>
      <c r="J20" s="71" t="str">
        <f>J4</f>
        <v>Budgeted April 2025 - July 2025</v>
      </c>
      <c r="K20" s="70" t="s">
        <v>401</v>
      </c>
      <c r="L20" s="71" t="s">
        <v>402</v>
      </c>
      <c r="M20" s="74"/>
      <c r="N20" s="71" t="s">
        <v>416</v>
      </c>
      <c r="O20" s="70" t="s">
        <v>401</v>
      </c>
      <c r="P20" s="71" t="s">
        <v>405</v>
      </c>
      <c r="R20" s="79"/>
    </row>
    <row r="21" spans="1:18" x14ac:dyDescent="0.2">
      <c r="E21" s="76"/>
      <c r="L21" s="80"/>
      <c r="M21" s="80"/>
      <c r="P21" s="80"/>
      <c r="R21" s="79"/>
    </row>
    <row r="22" spans="1:18" x14ac:dyDescent="0.2">
      <c r="B22" s="75">
        <v>34462.550000000003</v>
      </c>
      <c r="C22" s="75">
        <v>53902</v>
      </c>
      <c r="D22" s="75">
        <f>B22-C22</f>
        <v>-19439.449999999997</v>
      </c>
      <c r="E22" s="76">
        <f>+B22/C22</f>
        <v>0.63935568253497088</v>
      </c>
      <c r="G22" s="65" t="s">
        <v>417</v>
      </c>
      <c r="I22" s="75">
        <v>98362.89</v>
      </c>
      <c r="J22" s="75">
        <v>127779</v>
      </c>
      <c r="K22" s="75">
        <f>I22-J22</f>
        <v>-29416.11</v>
      </c>
      <c r="L22" s="76">
        <f>+I22/J22</f>
        <v>0.76978916723405255</v>
      </c>
      <c r="M22" s="76"/>
      <c r="N22" s="75">
        <v>373000</v>
      </c>
      <c r="O22" s="75">
        <f>I22-N22</f>
        <v>-274637.11</v>
      </c>
      <c r="P22" s="76">
        <f>+I22/N22</f>
        <v>0.26370747989276139</v>
      </c>
      <c r="R22" s="79"/>
    </row>
    <row r="23" spans="1:18" x14ac:dyDescent="0.2">
      <c r="B23" s="75">
        <v>20635.71</v>
      </c>
      <c r="C23" s="75">
        <v>9000</v>
      </c>
      <c r="D23" s="75">
        <f>B23-C23</f>
        <v>11635.71</v>
      </c>
      <c r="E23" s="76">
        <f>+B23/C23</f>
        <v>2.2928566666666668</v>
      </c>
      <c r="G23" s="65" t="s">
        <v>418</v>
      </c>
      <c r="I23" s="75">
        <v>181473.69</v>
      </c>
      <c r="J23" s="75">
        <v>36001</v>
      </c>
      <c r="K23" s="75">
        <f>I23-J23</f>
        <v>145472.69</v>
      </c>
      <c r="L23" s="76">
        <f>+I23/J23</f>
        <v>5.0407958112274658</v>
      </c>
      <c r="M23" s="76"/>
      <c r="N23" s="75">
        <v>108000</v>
      </c>
      <c r="O23" s="75">
        <f>I23-N23</f>
        <v>73473.69</v>
      </c>
      <c r="P23" s="76">
        <f>+I23/N23</f>
        <v>1.6803119444444445</v>
      </c>
      <c r="R23" s="79"/>
    </row>
    <row r="24" spans="1:18" s="62" customFormat="1" x14ac:dyDescent="0.2">
      <c r="B24" s="87">
        <f>SUM(B22:B23)</f>
        <v>55098.26</v>
      </c>
      <c r="C24" s="87">
        <f>SUM(C22:C23)</f>
        <v>62902</v>
      </c>
      <c r="D24" s="87">
        <f>+B24-C24</f>
        <v>-7803.739999999998</v>
      </c>
      <c r="E24" s="76">
        <f>+B24/C24</f>
        <v>0.87593812597373699</v>
      </c>
      <c r="G24" s="62" t="s">
        <v>419</v>
      </c>
      <c r="I24" s="87">
        <f>SUM(I22:I23)</f>
        <v>279836.58</v>
      </c>
      <c r="J24" s="87">
        <f>SUM(J22:J23)</f>
        <v>163780</v>
      </c>
      <c r="K24" s="87">
        <f>SUM(K22:K23)</f>
        <v>116056.58</v>
      </c>
      <c r="L24" s="76">
        <f>+I24/J24</f>
        <v>1.7086126511173527</v>
      </c>
      <c r="M24" s="76"/>
      <c r="N24" s="87">
        <f>SUM(N22:N23)</f>
        <v>481000</v>
      </c>
      <c r="O24" s="87">
        <f>SUM(O22:O23)</f>
        <v>-201163.41999999998</v>
      </c>
      <c r="P24" s="76">
        <f>+I24/N24</f>
        <v>0.5817808316008316</v>
      </c>
      <c r="R24" s="79"/>
    </row>
    <row r="25" spans="1:18" x14ac:dyDescent="0.2">
      <c r="B25" s="67"/>
      <c r="C25" s="67"/>
      <c r="E25" s="76"/>
      <c r="I25" s="67"/>
      <c r="J25" s="67"/>
      <c r="L25" s="80"/>
      <c r="M25" s="80"/>
      <c r="N25" s="67"/>
      <c r="P25" s="80"/>
      <c r="R25" s="79"/>
    </row>
    <row r="26" spans="1:18" x14ac:dyDescent="0.2">
      <c r="B26" s="75">
        <v>59836.84</v>
      </c>
      <c r="C26" s="75">
        <v>58130</v>
      </c>
      <c r="D26" s="75">
        <f>B26-C26</f>
        <v>1706.8399999999965</v>
      </c>
      <c r="E26" s="76">
        <f>+B26/C26</f>
        <v>1.0293624634440048</v>
      </c>
      <c r="G26" s="65" t="s">
        <v>420</v>
      </c>
      <c r="I26" s="75">
        <v>191623.99</v>
      </c>
      <c r="J26" s="75">
        <v>181851</v>
      </c>
      <c r="K26" s="75">
        <f>I26-J26</f>
        <v>9772.9899999999907</v>
      </c>
      <c r="L26" s="76">
        <f>+I26/J26</f>
        <v>1.053741744615097</v>
      </c>
      <c r="M26" s="76"/>
      <c r="N26" s="75">
        <v>528628</v>
      </c>
      <c r="O26" s="75">
        <f>I26-N26</f>
        <v>-337004.01</v>
      </c>
      <c r="P26" s="76">
        <f>+I26/N26</f>
        <v>0.36249307641668621</v>
      </c>
      <c r="R26" s="79"/>
    </row>
    <row r="27" spans="1:18" x14ac:dyDescent="0.2">
      <c r="B27" s="75">
        <v>2000</v>
      </c>
      <c r="C27" s="75">
        <v>1489</v>
      </c>
      <c r="D27" s="75">
        <f>B27-C27</f>
        <v>511</v>
      </c>
      <c r="E27" s="76">
        <f>+B27/C27</f>
        <v>1.3431833445265278</v>
      </c>
      <c r="G27" s="65" t="s">
        <v>421</v>
      </c>
      <c r="I27" s="75">
        <v>3713.41</v>
      </c>
      <c r="J27" s="75">
        <v>3475</v>
      </c>
      <c r="K27" s="75">
        <f>I27-J27</f>
        <v>238.40999999999985</v>
      </c>
      <c r="L27" s="76">
        <f>+I27/J27</f>
        <v>1.0686071942446043</v>
      </c>
      <c r="M27" s="76"/>
      <c r="N27" s="75">
        <v>5465</v>
      </c>
      <c r="O27" s="75">
        <f>I27-N27</f>
        <v>-1751.5900000000001</v>
      </c>
      <c r="P27" s="76">
        <f>+I27/N27</f>
        <v>0.67948947849954255</v>
      </c>
      <c r="R27" s="79"/>
    </row>
    <row r="28" spans="1:18" x14ac:dyDescent="0.2">
      <c r="B28" s="75">
        <f>298894.37-61837</f>
        <v>237057.37</v>
      </c>
      <c r="C28" s="75">
        <f>77077-59619</f>
        <v>17458</v>
      </c>
      <c r="D28" s="75">
        <f>B28-C28</f>
        <v>219599.37</v>
      </c>
      <c r="E28" s="76">
        <f>+B28/C28</f>
        <v>13.578724367052354</v>
      </c>
      <c r="G28" s="65" t="s">
        <v>422</v>
      </c>
      <c r="I28" s="75">
        <f>1297281.88-195337</f>
        <v>1101944.8799999999</v>
      </c>
      <c r="J28" s="75">
        <f>255657-185326</f>
        <v>70331</v>
      </c>
      <c r="K28" s="75">
        <f>I28-J28</f>
        <v>1031613.8799999999</v>
      </c>
      <c r="L28" s="76">
        <f>+I28/J28</f>
        <v>15.667982539705108</v>
      </c>
      <c r="M28" s="76"/>
      <c r="N28" s="75">
        <f>744123-534093</f>
        <v>210030</v>
      </c>
      <c r="O28" s="75">
        <f>I28-N28</f>
        <v>891914.87999999989</v>
      </c>
      <c r="P28" s="76">
        <f>+I28/N28</f>
        <v>5.2466070561348372</v>
      </c>
      <c r="R28" s="79"/>
    </row>
    <row r="29" spans="1:18" s="62" customFormat="1" x14ac:dyDescent="0.2">
      <c r="B29" s="87">
        <f>SUM(B26:B28)</f>
        <v>298894.20999999996</v>
      </c>
      <c r="C29" s="87">
        <f>SUM(C26:C28)</f>
        <v>77077</v>
      </c>
      <c r="D29" s="87">
        <f>+B29-C29</f>
        <v>221817.20999999996</v>
      </c>
      <c r="E29" s="76">
        <f>+B29/C29</f>
        <v>3.8778651218910953</v>
      </c>
      <c r="G29" s="62" t="s">
        <v>175</v>
      </c>
      <c r="I29" s="87">
        <f>SUM(I26:I28)</f>
        <v>1297282.2799999998</v>
      </c>
      <c r="J29" s="87">
        <f>SUM(J26:J28)</f>
        <v>255657</v>
      </c>
      <c r="K29" s="87">
        <f>SUM(K26:K28)</f>
        <v>1041625.2799999999</v>
      </c>
      <c r="L29" s="76">
        <f>+I29/J29</f>
        <v>5.0743076856882459</v>
      </c>
      <c r="M29" s="76"/>
      <c r="N29" s="87">
        <f>SUM(N26:N28)</f>
        <v>744123</v>
      </c>
      <c r="O29" s="87">
        <f>SUM(O26:O28)</f>
        <v>553159.2799999998</v>
      </c>
      <c r="P29" s="76">
        <f>+I29/N29</f>
        <v>1.7433707599415684</v>
      </c>
      <c r="R29" s="79"/>
    </row>
    <row r="30" spans="1:18" x14ac:dyDescent="0.2">
      <c r="B30" s="67"/>
      <c r="C30" s="67"/>
      <c r="E30" s="76"/>
      <c r="I30" s="67"/>
      <c r="J30" s="67"/>
      <c r="L30" s="80"/>
      <c r="M30" s="80"/>
      <c r="N30" s="67"/>
      <c r="P30" s="80"/>
      <c r="R30" s="79"/>
    </row>
    <row r="31" spans="1:18" x14ac:dyDescent="0.2">
      <c r="A31" s="65" t="s">
        <v>133</v>
      </c>
      <c r="B31" s="75">
        <v>258301.08</v>
      </c>
      <c r="C31" s="75">
        <v>227974</v>
      </c>
      <c r="D31" s="75">
        <f>B31-C31</f>
        <v>30327.079999999987</v>
      </c>
      <c r="E31" s="76">
        <f>+B31/C31</f>
        <v>1.1330286787089756</v>
      </c>
      <c r="G31" s="65" t="s">
        <v>423</v>
      </c>
      <c r="I31" s="75">
        <v>764226.61</v>
      </c>
      <c r="J31" s="75">
        <v>727592</v>
      </c>
      <c r="K31" s="75">
        <f>I31-J31</f>
        <v>36634.609999999986</v>
      </c>
      <c r="L31" s="76">
        <f>+I31/J31</f>
        <v>1.0503504848871346</v>
      </c>
      <c r="M31" s="76"/>
      <c r="N31" s="75">
        <v>2093228</v>
      </c>
      <c r="O31" s="75">
        <f>I31-N31</f>
        <v>-1329001.3900000001</v>
      </c>
      <c r="P31" s="76">
        <f>+I31/N31</f>
        <v>0.36509477706203053</v>
      </c>
      <c r="R31" s="79"/>
    </row>
    <row r="32" spans="1:18" x14ac:dyDescent="0.2">
      <c r="B32" s="75">
        <v>66679.17</v>
      </c>
      <c r="C32" s="75">
        <v>56103</v>
      </c>
      <c r="D32" s="75">
        <f>B32-C32</f>
        <v>10576.169999999998</v>
      </c>
      <c r="E32" s="76">
        <f>+B32/C32</f>
        <v>1.188513448478691</v>
      </c>
      <c r="G32" s="65" t="s">
        <v>424</v>
      </c>
      <c r="I32" s="75">
        <v>207949.83</v>
      </c>
      <c r="J32" s="75">
        <v>184773</v>
      </c>
      <c r="K32" s="75">
        <f>I32-J32</f>
        <v>23176.829999999987</v>
      </c>
      <c r="L32" s="76">
        <f>+I32/J32</f>
        <v>1.1254340731600396</v>
      </c>
      <c r="M32" s="76"/>
      <c r="N32" s="75">
        <v>539457</v>
      </c>
      <c r="O32" s="75">
        <f>I32-N32</f>
        <v>-331507.17000000004</v>
      </c>
      <c r="P32" s="76">
        <f>+I32/N32</f>
        <v>0.38547989923200549</v>
      </c>
      <c r="R32" s="79"/>
    </row>
    <row r="33" spans="2:18" x14ac:dyDescent="0.2">
      <c r="B33" s="75">
        <v>60138.53</v>
      </c>
      <c r="C33" s="75">
        <v>50717</v>
      </c>
      <c r="D33" s="75">
        <f>B33-C33</f>
        <v>9421.5299999999988</v>
      </c>
      <c r="E33" s="76">
        <f>+B33/C33</f>
        <v>1.185766705443934</v>
      </c>
      <c r="G33" s="65" t="s">
        <v>425</v>
      </c>
      <c r="I33" s="75">
        <v>143873.23000000001</v>
      </c>
      <c r="J33" s="75">
        <v>123855</v>
      </c>
      <c r="K33" s="75">
        <f>I33-J33</f>
        <v>20018.23000000001</v>
      </c>
      <c r="L33" s="76">
        <f>+I33/J33</f>
        <v>1.1616263372492028</v>
      </c>
      <c r="M33" s="76"/>
      <c r="N33" s="75">
        <v>233127</v>
      </c>
      <c r="O33" s="75">
        <f>I33-N33</f>
        <v>-89253.76999999999</v>
      </c>
      <c r="P33" s="76">
        <f>+I33/N33</f>
        <v>0.61714528990636008</v>
      </c>
      <c r="R33" s="79"/>
    </row>
    <row r="34" spans="2:18" x14ac:dyDescent="0.2">
      <c r="B34" s="75">
        <f>478023.78-385119</f>
        <v>92904.780000000028</v>
      </c>
      <c r="C34" s="75">
        <f>371790-334794</f>
        <v>36996</v>
      </c>
      <c r="D34" s="75">
        <f>B34-C34</f>
        <v>55908.780000000028</v>
      </c>
      <c r="E34" s="76">
        <f>+B34/C34</f>
        <v>2.5112114823224139</v>
      </c>
      <c r="G34" s="65" t="s">
        <v>426</v>
      </c>
      <c r="I34" s="75">
        <f>1598012.75-1116050</f>
        <v>481962.75</v>
      </c>
      <c r="J34" s="75">
        <f>1184216-1036220</f>
        <v>147996</v>
      </c>
      <c r="K34" s="75">
        <f>I34-J34</f>
        <v>333966.75</v>
      </c>
      <c r="L34" s="76">
        <f>+I34/J34</f>
        <v>3.256593083596854</v>
      </c>
      <c r="M34" s="76"/>
      <c r="N34" s="75">
        <f>3309812-2865812</f>
        <v>444000</v>
      </c>
      <c r="O34" s="75">
        <f>I34-N34</f>
        <v>37962.75</v>
      </c>
      <c r="P34" s="76">
        <f>+I34/N34</f>
        <v>1.0855016891891891</v>
      </c>
      <c r="R34" s="79"/>
    </row>
    <row r="35" spans="2:18" s="62" customFormat="1" x14ac:dyDescent="0.2">
      <c r="B35" s="87">
        <f>SUM(B31:B34)</f>
        <v>478023.56000000006</v>
      </c>
      <c r="C35" s="87">
        <f>SUM(C31:C34)</f>
        <v>371790</v>
      </c>
      <c r="D35" s="87">
        <f>+B35-C35</f>
        <v>106233.56000000006</v>
      </c>
      <c r="E35" s="76">
        <f>+B35/C35</f>
        <v>1.2857353882568119</v>
      </c>
      <c r="G35" s="62" t="s">
        <v>427</v>
      </c>
      <c r="I35" s="87">
        <f>SUM(I31:I34)</f>
        <v>1598012.42</v>
      </c>
      <c r="J35" s="87">
        <f>SUM(J31:J34)</f>
        <v>1184216</v>
      </c>
      <c r="K35" s="87">
        <f>SUM(K31:K34)</f>
        <v>413796.42</v>
      </c>
      <c r="L35" s="76">
        <f>+I35/J35</f>
        <v>1.349426472873192</v>
      </c>
      <c r="M35" s="76"/>
      <c r="N35" s="87">
        <f>SUM(N31:N34)</f>
        <v>3309812</v>
      </c>
      <c r="O35" s="87">
        <f>SUM(O31:O34)</f>
        <v>-1711799.58</v>
      </c>
      <c r="P35" s="76">
        <f>+I35/N35</f>
        <v>0.48281063093613774</v>
      </c>
      <c r="R35" s="79"/>
    </row>
    <row r="36" spans="2:18" x14ac:dyDescent="0.2">
      <c r="B36" s="67"/>
      <c r="C36" s="67"/>
      <c r="E36" s="76"/>
      <c r="I36" s="67"/>
      <c r="J36" s="67"/>
      <c r="L36" s="80"/>
      <c r="M36" s="80"/>
      <c r="N36" s="67"/>
      <c r="P36" s="80"/>
      <c r="R36" s="79"/>
    </row>
    <row r="37" spans="2:18" x14ac:dyDescent="0.2">
      <c r="B37" s="75">
        <v>20864.900000000001</v>
      </c>
      <c r="C37" s="75">
        <v>21063</v>
      </c>
      <c r="D37" s="75">
        <f>B37-C37</f>
        <v>-198.09999999999854</v>
      </c>
      <c r="E37" s="76">
        <f>+B37/C37</f>
        <v>0.99059488202060497</v>
      </c>
      <c r="G37" s="65" t="s">
        <v>428</v>
      </c>
      <c r="I37" s="75">
        <v>68594.47</v>
      </c>
      <c r="J37" s="75">
        <v>70607</v>
      </c>
      <c r="K37" s="75">
        <f>I37-J37</f>
        <v>-2012.5299999999988</v>
      </c>
      <c r="L37" s="76">
        <f>+I37/J37</f>
        <v>0.97149673545115922</v>
      </c>
      <c r="M37" s="76"/>
      <c r="N37" s="75">
        <v>206600</v>
      </c>
      <c r="O37" s="75">
        <f>I37-N37</f>
        <v>-138005.53</v>
      </c>
      <c r="P37" s="76">
        <f>+I37/N37</f>
        <v>0.33201582768635046</v>
      </c>
      <c r="R37" s="79"/>
    </row>
    <row r="38" spans="2:18" x14ac:dyDescent="0.2">
      <c r="B38" s="75">
        <v>2236.39</v>
      </c>
      <c r="C38" s="75">
        <v>3036</v>
      </c>
      <c r="D38" s="75">
        <f>B38-C38</f>
        <v>-799.61000000000013</v>
      </c>
      <c r="E38" s="76">
        <f>+B38/C38</f>
        <v>0.73662384716732543</v>
      </c>
      <c r="G38" s="65" t="s">
        <v>429</v>
      </c>
      <c r="I38" s="75">
        <v>6396.13</v>
      </c>
      <c r="J38" s="75">
        <v>7108</v>
      </c>
      <c r="K38" s="75">
        <f>I38-J38</f>
        <v>-711.86999999999989</v>
      </c>
      <c r="L38" s="76">
        <f>+I38/J38</f>
        <v>0.89984946539110866</v>
      </c>
      <c r="M38" s="76"/>
      <c r="N38" s="75">
        <v>11308</v>
      </c>
      <c r="O38" s="75">
        <f>I38-N38</f>
        <v>-4911.87</v>
      </c>
      <c r="P38" s="76">
        <f>+I38/N38</f>
        <v>0.56562875840113191</v>
      </c>
      <c r="R38" s="79"/>
    </row>
    <row r="39" spans="2:18" x14ac:dyDescent="0.2">
      <c r="B39" s="75">
        <f>24930.75-23101</f>
        <v>1829.75</v>
      </c>
      <c r="C39" s="75">
        <f>26237-24099</f>
        <v>2138</v>
      </c>
      <c r="D39" s="75">
        <f>B39-C39</f>
        <v>-308.25</v>
      </c>
      <c r="E39" s="76">
        <f>+B39/C39</f>
        <v>0.85582319925163708</v>
      </c>
      <c r="G39" s="65" t="s">
        <v>430</v>
      </c>
      <c r="I39" s="75">
        <f>79494.53-74991</f>
        <v>4503.5299999999988</v>
      </c>
      <c r="J39" s="75">
        <f>86268-77715</f>
        <v>8553</v>
      </c>
      <c r="K39" s="75">
        <f>I39-J39</f>
        <v>-4049.4700000000012</v>
      </c>
      <c r="L39" s="76">
        <f>+I39/J39</f>
        <v>0.52654390272419016</v>
      </c>
      <c r="M39" s="76"/>
      <c r="N39" s="75">
        <f>243558-217908</f>
        <v>25650</v>
      </c>
      <c r="O39" s="75">
        <f>I39-N39</f>
        <v>-21146.47</v>
      </c>
      <c r="P39" s="76">
        <f>+I39/N39</f>
        <v>0.17557621832358669</v>
      </c>
      <c r="R39" s="79"/>
    </row>
    <row r="40" spans="2:18" s="62" customFormat="1" x14ac:dyDescent="0.2">
      <c r="B40" s="87">
        <f>SUM(B37:B39)</f>
        <v>24931.040000000001</v>
      </c>
      <c r="C40" s="87">
        <f>SUM(C37:C39)</f>
        <v>26237</v>
      </c>
      <c r="D40" s="87">
        <f>SUM(D37:D39)</f>
        <v>-1305.9599999999987</v>
      </c>
      <c r="E40" s="76">
        <f>+B40/C40</f>
        <v>0.95022449212943561</v>
      </c>
      <c r="G40" s="62" t="s">
        <v>431</v>
      </c>
      <c r="I40" s="87">
        <f>SUM(I37:I39)</f>
        <v>79494.13</v>
      </c>
      <c r="J40" s="87">
        <f>SUM(J37:J39)</f>
        <v>86268</v>
      </c>
      <c r="K40" s="87">
        <f>SUM(K37:K39)</f>
        <v>-6773.87</v>
      </c>
      <c r="L40" s="76">
        <f>+I40/J40</f>
        <v>0.92147876385218164</v>
      </c>
      <c r="M40" s="76"/>
      <c r="N40" s="87">
        <f>SUM(N37:N39)</f>
        <v>243558</v>
      </c>
      <c r="O40" s="87">
        <f>SUM(O37:O39)</f>
        <v>-164063.87</v>
      </c>
      <c r="P40" s="76">
        <f>+I40/N40</f>
        <v>0.32638685651877586</v>
      </c>
      <c r="R40" s="79"/>
    </row>
    <row r="41" spans="2:18" x14ac:dyDescent="0.2">
      <c r="B41" s="67"/>
      <c r="C41" s="67"/>
      <c r="E41" s="76"/>
      <c r="I41" s="67"/>
      <c r="J41" s="67"/>
      <c r="L41" s="80"/>
      <c r="M41" s="80"/>
      <c r="N41" s="67"/>
      <c r="P41" s="80"/>
      <c r="R41" s="79"/>
    </row>
    <row r="42" spans="2:18" x14ac:dyDescent="0.2">
      <c r="B42" s="75">
        <v>15695.27</v>
      </c>
      <c r="C42" s="75">
        <v>13409</v>
      </c>
      <c r="D42" s="75">
        <f>B42-C42</f>
        <v>2286.2700000000004</v>
      </c>
      <c r="E42" s="76">
        <f>+B42/C42</f>
        <v>1.1705026474755762</v>
      </c>
      <c r="G42" s="65" t="s">
        <v>432</v>
      </c>
      <c r="I42" s="75">
        <v>48481.57</v>
      </c>
      <c r="J42" s="75">
        <v>44515</v>
      </c>
      <c r="K42" s="75">
        <f>I42-J42</f>
        <v>3966.5699999999997</v>
      </c>
      <c r="L42" s="76">
        <f>+I42/J42</f>
        <v>1.0891063686397844</v>
      </c>
      <c r="M42" s="76"/>
      <c r="N42" s="75">
        <v>129330</v>
      </c>
      <c r="O42" s="75">
        <f>I42-N42</f>
        <v>-80848.429999999993</v>
      </c>
      <c r="P42" s="76">
        <f>+I42/N42</f>
        <v>0.37486716152478156</v>
      </c>
      <c r="R42" s="79"/>
    </row>
    <row r="43" spans="2:18" x14ac:dyDescent="0.2">
      <c r="B43" s="75">
        <v>44008.2</v>
      </c>
      <c r="C43" s="75">
        <v>34807</v>
      </c>
      <c r="D43" s="75">
        <f>B43-C43</f>
        <v>9201.1999999999971</v>
      </c>
      <c r="E43" s="76">
        <f>+B43/C43</f>
        <v>1.2643491251759702</v>
      </c>
      <c r="G43" s="65" t="s">
        <v>433</v>
      </c>
      <c r="I43" s="75">
        <v>72387.44</v>
      </c>
      <c r="J43" s="75">
        <v>61076</v>
      </c>
      <c r="K43" s="75">
        <f>I43-J43</f>
        <v>11311.440000000002</v>
      </c>
      <c r="L43" s="76">
        <f>+I43/J43</f>
        <v>1.1852026982775559</v>
      </c>
      <c r="M43" s="76"/>
      <c r="N43" s="75">
        <v>13400</v>
      </c>
      <c r="O43" s="75">
        <f>I43-N43</f>
        <v>58987.44</v>
      </c>
      <c r="P43" s="76">
        <f>+I43/N43</f>
        <v>5.4020477611940301</v>
      </c>
      <c r="R43" s="79"/>
    </row>
    <row r="44" spans="2:18" x14ac:dyDescent="0.2">
      <c r="B44" s="75">
        <f>60682.48-59703</f>
        <v>979.4800000000032</v>
      </c>
      <c r="C44" s="75">
        <f>49858-48216</f>
        <v>1642</v>
      </c>
      <c r="D44" s="75">
        <f>B44-C44</f>
        <v>-662.5199999999968</v>
      </c>
      <c r="E44" s="76">
        <f>+B44/C44</f>
        <v>0.59651644336175591</v>
      </c>
      <c r="G44" s="65" t="s">
        <v>434</v>
      </c>
      <c r="I44" s="75">
        <f>128764.24-120869</f>
        <v>7895.2400000000052</v>
      </c>
      <c r="J44" s="75">
        <f>113607-105591</f>
        <v>8016</v>
      </c>
      <c r="K44" s="75">
        <f>I44-J44</f>
        <v>-120.75999999999476</v>
      </c>
      <c r="L44" s="76">
        <f>+I44/J44</f>
        <v>0.98493512974051967</v>
      </c>
      <c r="M44" s="76"/>
      <c r="N44" s="75">
        <f>258025-142730</f>
        <v>115295</v>
      </c>
      <c r="O44" s="75">
        <f>I44-N44</f>
        <v>-107399.76</v>
      </c>
      <c r="P44" s="76">
        <f>+I44/N44</f>
        <v>6.8478598378073685E-2</v>
      </c>
      <c r="R44" s="79"/>
    </row>
    <row r="45" spans="2:18" s="62" customFormat="1" x14ac:dyDescent="0.2">
      <c r="B45" s="87">
        <f>SUM(B42:B44)</f>
        <v>60682.950000000004</v>
      </c>
      <c r="C45" s="87">
        <f>SUM(C42:C44)</f>
        <v>49858</v>
      </c>
      <c r="D45" s="87">
        <f>+B45-C45</f>
        <v>10824.950000000004</v>
      </c>
      <c r="E45" s="76">
        <f>+B45/C45</f>
        <v>1.2171156083276506</v>
      </c>
      <c r="G45" s="62" t="s">
        <v>435</v>
      </c>
      <c r="I45" s="87">
        <f>SUM(I42:I44)</f>
        <v>128764.25000000001</v>
      </c>
      <c r="J45" s="87">
        <f>SUM(J42:J44)</f>
        <v>113607</v>
      </c>
      <c r="K45" s="87">
        <f>SUM(K42:K44)</f>
        <v>15157.250000000007</v>
      </c>
      <c r="L45" s="76">
        <f>+I45/J45</f>
        <v>1.1334182752823332</v>
      </c>
      <c r="M45" s="76"/>
      <c r="N45" s="87">
        <f>SUM(N42:N44)</f>
        <v>258025</v>
      </c>
      <c r="O45" s="87">
        <f>SUM(O42:O44)</f>
        <v>-129260.74999999999</v>
      </c>
      <c r="P45" s="76">
        <f>+I45/N45</f>
        <v>0.4990378839259762</v>
      </c>
      <c r="R45" s="79"/>
    </row>
    <row r="46" spans="2:18" x14ac:dyDescent="0.2">
      <c r="B46" s="67"/>
      <c r="C46" s="67"/>
      <c r="E46" s="76"/>
      <c r="I46" s="67"/>
      <c r="J46" s="67"/>
      <c r="L46" s="80"/>
      <c r="M46" s="80"/>
      <c r="N46" s="67"/>
      <c r="P46" s="80"/>
      <c r="R46" s="79"/>
    </row>
    <row r="47" spans="2:18" s="62" customFormat="1" x14ac:dyDescent="0.2">
      <c r="B47" s="87">
        <v>15789.91</v>
      </c>
      <c r="C47" s="87">
        <v>16835</v>
      </c>
      <c r="D47" s="87">
        <f>+B47-C47</f>
        <v>-1045.0900000000001</v>
      </c>
      <c r="E47" s="76">
        <f>+B47/C47</f>
        <v>0.93792159192159197</v>
      </c>
      <c r="G47" s="62" t="s">
        <v>436</v>
      </c>
      <c r="I47" s="87">
        <v>52386.83</v>
      </c>
      <c r="J47" s="87">
        <v>52923</v>
      </c>
      <c r="K47" s="87">
        <f>I47-J47</f>
        <v>-536.16999999999825</v>
      </c>
      <c r="L47" s="76">
        <f>+I47/J47</f>
        <v>0.98986886608846814</v>
      </c>
      <c r="M47" s="76"/>
      <c r="N47" s="87">
        <v>153474</v>
      </c>
      <c r="O47" s="87">
        <f>I47-N47</f>
        <v>-101087.17</v>
      </c>
      <c r="P47" s="76">
        <f>+I47/N47</f>
        <v>0.34134009669390258</v>
      </c>
      <c r="R47" s="79"/>
    </row>
    <row r="48" spans="2:18" x14ac:dyDescent="0.2">
      <c r="B48" s="67"/>
      <c r="C48" s="67"/>
      <c r="E48" s="76"/>
      <c r="I48" s="67"/>
      <c r="J48" s="67"/>
      <c r="L48" s="80"/>
      <c r="M48" s="80"/>
      <c r="N48" s="67"/>
      <c r="P48" s="80"/>
      <c r="R48" s="79"/>
    </row>
    <row r="49" spans="1:18" s="62" customFormat="1" x14ac:dyDescent="0.2">
      <c r="B49" s="87">
        <v>5237.8999999999996</v>
      </c>
      <c r="C49" s="87">
        <v>3787</v>
      </c>
      <c r="D49" s="87">
        <f>+B49-C49</f>
        <v>1450.8999999999996</v>
      </c>
      <c r="E49" s="76">
        <f>+B49/C49</f>
        <v>1.3831264853445999</v>
      </c>
      <c r="G49" s="62" t="s">
        <v>135</v>
      </c>
      <c r="I49" s="87">
        <v>14941.83</v>
      </c>
      <c r="J49" s="87">
        <v>11500</v>
      </c>
      <c r="K49" s="87">
        <f>I49-J49</f>
        <v>3441.83</v>
      </c>
      <c r="L49" s="76">
        <f>+I49/J49</f>
        <v>1.2992895652173913</v>
      </c>
      <c r="M49" s="76"/>
      <c r="N49" s="87">
        <v>33277</v>
      </c>
      <c r="O49" s="87">
        <f>I49-N49</f>
        <v>-18335.169999999998</v>
      </c>
      <c r="P49" s="76">
        <f>+I49/N49</f>
        <v>0.44901373320912341</v>
      </c>
      <c r="R49" s="79"/>
    </row>
    <row r="50" spans="1:18" x14ac:dyDescent="0.2">
      <c r="B50" s="67"/>
      <c r="C50" s="67"/>
      <c r="E50" s="76"/>
      <c r="I50" s="67"/>
      <c r="J50" s="67"/>
      <c r="L50" s="80"/>
      <c r="M50" s="80"/>
      <c r="N50" s="67"/>
      <c r="P50" s="80"/>
      <c r="R50" s="79"/>
    </row>
    <row r="51" spans="1:18" x14ac:dyDescent="0.2">
      <c r="B51" s="75">
        <v>3350.9</v>
      </c>
      <c r="C51" s="75">
        <v>2558</v>
      </c>
      <c r="D51" s="75">
        <f>B51-C51</f>
        <v>792.90000000000009</v>
      </c>
      <c r="E51" s="76">
        <f>+B51/C51</f>
        <v>1.3099687255668491</v>
      </c>
      <c r="G51" s="65" t="s">
        <v>437</v>
      </c>
      <c r="I51" s="75">
        <v>10154.09</v>
      </c>
      <c r="J51" s="75">
        <v>9901</v>
      </c>
      <c r="K51" s="75">
        <f>I51-J51</f>
        <v>253.09000000000015</v>
      </c>
      <c r="L51" s="76">
        <f>+I51/J51</f>
        <v>1.0255620644379355</v>
      </c>
      <c r="M51" s="76"/>
      <c r="N51" s="75">
        <v>29585</v>
      </c>
      <c r="O51" s="75">
        <f>I51-N51</f>
        <v>-19430.91</v>
      </c>
      <c r="P51" s="76">
        <f>+I51/N51</f>
        <v>0.34321750887273955</v>
      </c>
      <c r="R51" s="79"/>
    </row>
    <row r="52" spans="1:18" x14ac:dyDescent="0.2">
      <c r="B52" s="75">
        <v>259977.04</v>
      </c>
      <c r="C52" s="75">
        <v>163423</v>
      </c>
      <c r="D52" s="75">
        <f>B52-C52</f>
        <v>96554.040000000008</v>
      </c>
      <c r="E52" s="76">
        <f>+B52/C52</f>
        <v>1.5908228339952148</v>
      </c>
      <c r="G52" s="65" t="s">
        <v>438</v>
      </c>
      <c r="I52" s="75">
        <v>403206.64</v>
      </c>
      <c r="J52" s="75">
        <v>279483</v>
      </c>
      <c r="K52" s="75">
        <f>I52-J52</f>
        <v>123723.64000000001</v>
      </c>
      <c r="L52" s="76">
        <f>+I52/J52</f>
        <v>1.4426875337677068</v>
      </c>
      <c r="M52" s="76"/>
      <c r="N52" s="75">
        <v>509245</v>
      </c>
      <c r="O52" s="75">
        <f>I52-N52</f>
        <v>-106038.35999999999</v>
      </c>
      <c r="P52" s="76">
        <f>+I52/N52</f>
        <v>0.79177339001855696</v>
      </c>
      <c r="R52" s="79"/>
    </row>
    <row r="53" spans="1:18" x14ac:dyDescent="0.2">
      <c r="B53" s="75">
        <f>278066.16-263328</f>
        <v>14738.159999999974</v>
      </c>
      <c r="C53" s="75">
        <f>167547-165981</f>
        <v>1566</v>
      </c>
      <c r="D53" s="75">
        <f>B53-C53</f>
        <v>13172.159999999974</v>
      </c>
      <c r="E53" s="76">
        <f>+B53/C53</f>
        <v>9.4113409961685655</v>
      </c>
      <c r="G53" s="65" t="s">
        <v>439</v>
      </c>
      <c r="I53" s="75">
        <f>450460.09-413361</f>
        <v>37099.090000000026</v>
      </c>
      <c r="J53" s="75">
        <f>310901-289384</f>
        <v>21517</v>
      </c>
      <c r="K53" s="75">
        <f>I53-J53</f>
        <v>15582.090000000026</v>
      </c>
      <c r="L53" s="76">
        <f>+I53/J53</f>
        <v>1.7241757679973986</v>
      </c>
      <c r="M53" s="76"/>
      <c r="N53" s="75">
        <f>575630-538830</f>
        <v>36800</v>
      </c>
      <c r="O53" s="75">
        <f>I53-N53</f>
        <v>299.09000000002561</v>
      </c>
      <c r="P53" s="76">
        <f>+I53/N53</f>
        <v>1.0081274456521747</v>
      </c>
      <c r="R53" s="79"/>
    </row>
    <row r="54" spans="1:18" s="62" customFormat="1" x14ac:dyDescent="0.2">
      <c r="B54" s="87">
        <f>B53+B52+B51</f>
        <v>278066.09999999998</v>
      </c>
      <c r="C54" s="87">
        <f>C53+C52+C51</f>
        <v>167547</v>
      </c>
      <c r="D54" s="87">
        <f>+B54-C54</f>
        <v>110519.09999999998</v>
      </c>
      <c r="E54" s="76">
        <f>+B54/C54</f>
        <v>1.6596304320578701</v>
      </c>
      <c r="G54" s="62" t="s">
        <v>440</v>
      </c>
      <c r="I54" s="87">
        <f>I53+I52+I51</f>
        <v>450459.82000000007</v>
      </c>
      <c r="J54" s="87">
        <f>J53+J52+J51</f>
        <v>310901</v>
      </c>
      <c r="K54" s="87">
        <f>K53+K52+K51</f>
        <v>139558.82000000004</v>
      </c>
      <c r="L54" s="76">
        <f>+I54/J54</f>
        <v>1.4488850791731132</v>
      </c>
      <c r="M54" s="76"/>
      <c r="N54" s="87">
        <f>N53+N52+N51</f>
        <v>575630</v>
      </c>
      <c r="O54" s="87">
        <f>O53+O52+O51</f>
        <v>-125170.17999999996</v>
      </c>
      <c r="P54" s="76">
        <f>+I54/N54</f>
        <v>0.78255097892743619</v>
      </c>
      <c r="R54" s="79"/>
    </row>
    <row r="55" spans="1:18" s="81" customFormat="1" ht="14.25" x14ac:dyDescent="0.2">
      <c r="A55" s="65"/>
      <c r="B55" s="67"/>
      <c r="C55" s="67"/>
      <c r="D55" s="67"/>
      <c r="E55" s="76"/>
      <c r="F55" s="65"/>
      <c r="G55" s="65"/>
      <c r="H55" s="65"/>
      <c r="I55" s="67"/>
      <c r="J55" s="67"/>
      <c r="K55" s="67"/>
      <c r="L55" s="80"/>
      <c r="R55" s="79"/>
    </row>
    <row r="56" spans="1:18" x14ac:dyDescent="0.2">
      <c r="B56" s="77">
        <f>+B54+B49+B47+B45+B40+B35+B29+B24</f>
        <v>1216723.93</v>
      </c>
      <c r="C56" s="77">
        <f>+C54+C49+C47+C45+C40+C35+C29+C24</f>
        <v>776033</v>
      </c>
      <c r="D56" s="77">
        <f>B56-C56</f>
        <v>440690.92999999993</v>
      </c>
      <c r="E56" s="76">
        <f>+B56/C56</f>
        <v>1.5678765336010194</v>
      </c>
      <c r="F56" s="62"/>
      <c r="G56" s="78" t="s">
        <v>441</v>
      </c>
      <c r="H56" s="62"/>
      <c r="I56" s="77">
        <f>+I54+I49+I47+I45+I40+I35+I29+I24</f>
        <v>3901178.14</v>
      </c>
      <c r="J56" s="77">
        <f>+J54+J49+J47+J45+J40+J35+J29+J24</f>
        <v>2178852</v>
      </c>
      <c r="K56" s="77">
        <f>I56-J56</f>
        <v>1722326.1400000001</v>
      </c>
      <c r="L56" s="76">
        <f>+I56/J56</f>
        <v>1.7904741304136307</v>
      </c>
      <c r="M56" s="88"/>
      <c r="N56" s="77">
        <f>+N54+N49+N47+N45+N40+N35+N29+N24</f>
        <v>5798899</v>
      </c>
      <c r="O56" s="77">
        <f>I56-N56</f>
        <v>-1897720.8599999999</v>
      </c>
      <c r="P56" s="76">
        <f>+I56/N56</f>
        <v>0.67274462617817621</v>
      </c>
      <c r="R56" s="79"/>
    </row>
    <row r="57" spans="1:18" s="81" customFormat="1" ht="14.25" x14ac:dyDescent="0.2">
      <c r="A57" s="65"/>
      <c r="B57" s="67"/>
      <c r="C57" s="67"/>
      <c r="D57" s="67"/>
      <c r="E57" s="76"/>
      <c r="F57" s="65"/>
      <c r="G57" s="65"/>
      <c r="H57" s="65"/>
      <c r="I57" s="67"/>
      <c r="J57" s="67"/>
      <c r="K57" s="67"/>
      <c r="L57" s="80"/>
      <c r="R57" s="79"/>
    </row>
    <row r="58" spans="1:18" x14ac:dyDescent="0.2">
      <c r="B58" s="77">
        <f>+B18-B56</f>
        <v>-131753.1120000002</v>
      </c>
      <c r="C58" s="77">
        <f>+C18-C56</f>
        <v>-97165.199999999953</v>
      </c>
      <c r="D58" s="89"/>
      <c r="E58" s="90"/>
      <c r="F58" s="62"/>
      <c r="G58" s="78" t="s">
        <v>442</v>
      </c>
      <c r="H58" s="62"/>
      <c r="I58" s="77">
        <f>+I18-I56</f>
        <v>-489160.571</v>
      </c>
      <c r="J58" s="77">
        <f>+J18-J56</f>
        <v>296891.79999999981</v>
      </c>
      <c r="K58" s="91"/>
      <c r="L58" s="92"/>
      <c r="M58" s="92"/>
      <c r="N58" s="77">
        <f>+N18-N56</f>
        <v>601</v>
      </c>
      <c r="O58" s="91"/>
      <c r="P58" s="92"/>
    </row>
    <row r="60" spans="1:18" s="93" customFormat="1" ht="14.25" hidden="1" x14ac:dyDescent="0.2">
      <c r="A60" s="81"/>
      <c r="D60" s="94" t="s">
        <v>443</v>
      </c>
      <c r="F60" s="128" t="s">
        <v>444</v>
      </c>
      <c r="G60" s="128"/>
      <c r="H60" s="128"/>
      <c r="I60" s="128"/>
      <c r="J60" s="128"/>
      <c r="K60" s="128"/>
      <c r="L60" s="128"/>
      <c r="M60" s="128"/>
      <c r="N60" s="128"/>
    </row>
    <row r="61" spans="1:18" s="93" customFormat="1" ht="11.25" hidden="1" x14ac:dyDescent="0.2">
      <c r="C61" s="94"/>
      <c r="G61" s="95" t="s">
        <v>445</v>
      </c>
      <c r="I61" s="96">
        <f>-I6*0.03</f>
        <v>-10739.07</v>
      </c>
      <c r="J61" s="96">
        <f>-J6*0.03</f>
        <v>-6510</v>
      </c>
      <c r="L61" s="93" t="s">
        <v>445</v>
      </c>
      <c r="N61" s="96">
        <v>-23100</v>
      </c>
    </row>
    <row r="62" spans="1:18" s="93" customFormat="1" ht="11.25" hidden="1" x14ac:dyDescent="0.2">
      <c r="B62" s="94"/>
      <c r="C62" s="94"/>
      <c r="D62" s="94"/>
      <c r="G62" s="95" t="s">
        <v>446</v>
      </c>
      <c r="I62" s="96">
        <f>-0.2*I11</f>
        <v>-34300.716</v>
      </c>
      <c r="J62" s="96">
        <f>-0.2*J11</f>
        <v>-32455.200000000001</v>
      </c>
      <c r="L62" s="93" t="s">
        <v>446</v>
      </c>
      <c r="N62" s="96">
        <v>-38500</v>
      </c>
    </row>
    <row r="63" spans="1:18" s="93" customFormat="1" ht="11.25" hidden="1" x14ac:dyDescent="0.2">
      <c r="B63" s="94"/>
      <c r="C63" s="94"/>
      <c r="D63" s="94"/>
      <c r="G63" s="95" t="s">
        <v>447</v>
      </c>
      <c r="I63" s="96">
        <f>995729*-0.05</f>
        <v>-49786.450000000004</v>
      </c>
      <c r="J63" s="96">
        <f>-0.05*(755000)</f>
        <v>-37750</v>
      </c>
      <c r="L63" s="93" t="s">
        <v>447</v>
      </c>
      <c r="N63" s="96">
        <v>-37750</v>
      </c>
    </row>
    <row r="64" spans="1:18" s="93" customFormat="1" ht="11.25" hidden="1" x14ac:dyDescent="0.2">
      <c r="B64" s="94"/>
      <c r="C64" s="94"/>
      <c r="D64" s="94"/>
      <c r="F64" s="97" t="s">
        <v>448</v>
      </c>
      <c r="G64" s="98"/>
      <c r="H64" s="97"/>
      <c r="I64" s="99">
        <f>-SUM(I61:I63)</f>
        <v>94826.236000000004</v>
      </c>
      <c r="J64" s="99">
        <f>-SUM(J61:J63)</f>
        <v>76715.199999999997</v>
      </c>
      <c r="K64" s="97"/>
      <c r="L64" s="97"/>
      <c r="M64" s="97"/>
      <c r="N64" s="99">
        <v>99350</v>
      </c>
    </row>
    <row r="65" spans="1:15" s="93" customFormat="1" ht="11.25" hidden="1" x14ac:dyDescent="0.2">
      <c r="B65" s="94"/>
      <c r="C65" s="94"/>
      <c r="D65" s="94"/>
      <c r="G65" s="95"/>
      <c r="I65" s="96"/>
      <c r="J65" s="96"/>
    </row>
    <row r="66" spans="1:15" s="81" customFormat="1" ht="14.25" hidden="1" x14ac:dyDescent="0.2">
      <c r="A66" s="93"/>
      <c r="B66" s="93"/>
      <c r="C66" s="93"/>
      <c r="D66" s="94"/>
      <c r="E66" s="93"/>
      <c r="F66" s="128" t="s">
        <v>449</v>
      </c>
      <c r="G66" s="128"/>
      <c r="H66" s="128"/>
      <c r="I66" s="128"/>
      <c r="J66" s="128"/>
      <c r="K66" s="128"/>
      <c r="L66" s="128"/>
      <c r="M66" s="128"/>
      <c r="N66" s="128"/>
    </row>
    <row r="67" spans="1:15" s="81" customFormat="1" ht="14.25" hidden="1" x14ac:dyDescent="0.2">
      <c r="A67" s="93"/>
      <c r="B67" s="93"/>
      <c r="C67" s="93"/>
      <c r="D67" s="100"/>
      <c r="E67" s="93"/>
      <c r="F67" s="93"/>
      <c r="G67" s="101" t="s">
        <v>450</v>
      </c>
      <c r="H67" s="93"/>
      <c r="I67" s="96">
        <f>-I8*0.5</f>
        <v>-67463.514999999999</v>
      </c>
      <c r="J67" s="96">
        <f>-J8*0.5</f>
        <v>-52250</v>
      </c>
      <c r="K67" s="93"/>
      <c r="L67" s="102" t="s">
        <v>450</v>
      </c>
      <c r="N67" s="96">
        <v>-50000</v>
      </c>
    </row>
    <row r="68" spans="1:15" s="93" customFormat="1" ht="11.25" hidden="1" x14ac:dyDescent="0.2">
      <c r="F68" s="97" t="s">
        <v>451</v>
      </c>
      <c r="G68" s="97"/>
      <c r="H68" s="97"/>
      <c r="I68" s="103">
        <f>-I67</f>
        <v>67463.514999999999</v>
      </c>
      <c r="J68" s="103">
        <f>-J67</f>
        <v>52250</v>
      </c>
      <c r="K68" s="97"/>
      <c r="L68" s="97"/>
      <c r="M68" s="97"/>
      <c r="N68" s="103">
        <v>50000</v>
      </c>
    </row>
    <row r="69" spans="1:15" s="93" customFormat="1" ht="11.25" hidden="1" x14ac:dyDescent="0.2">
      <c r="D69" s="94"/>
      <c r="G69" s="95"/>
      <c r="L69" s="104"/>
    </row>
    <row r="70" spans="1:15" s="93" customFormat="1" ht="14.25" hidden="1" x14ac:dyDescent="0.2">
      <c r="D70" s="94"/>
      <c r="G70" s="81"/>
      <c r="K70" s="96"/>
      <c r="N70" s="81"/>
    </row>
    <row r="71" spans="1:15" s="93" customFormat="1" hidden="1" x14ac:dyDescent="0.2">
      <c r="D71" s="94"/>
      <c r="G71" s="78" t="s">
        <v>452</v>
      </c>
      <c r="I71" s="77">
        <f>+I58-I64-I68</f>
        <v>-651450.32200000004</v>
      </c>
      <c r="J71" s="77">
        <f>+J58-J64-J68</f>
        <v>167926.5999999998</v>
      </c>
      <c r="K71" s="96"/>
      <c r="N71" s="77">
        <v>-114634</v>
      </c>
    </row>
    <row r="72" spans="1:15" s="93" customFormat="1" ht="14.25" hidden="1" x14ac:dyDescent="0.2">
      <c r="A72" s="81"/>
      <c r="B72" s="81"/>
      <c r="C72" s="81"/>
      <c r="D72" s="105"/>
      <c r="E72" s="81"/>
      <c r="F72" s="81"/>
      <c r="G72" s="81"/>
      <c r="H72" s="81"/>
      <c r="I72" s="81"/>
      <c r="J72" s="81"/>
      <c r="K72" s="96"/>
    </row>
    <row r="73" spans="1:15" ht="14.25" x14ac:dyDescent="0.2">
      <c r="A73" s="81"/>
      <c r="B73" s="81"/>
      <c r="C73" s="81"/>
      <c r="D73" s="105"/>
      <c r="E73" s="81"/>
      <c r="F73" s="81"/>
      <c r="H73" s="81"/>
      <c r="I73" s="106"/>
      <c r="J73" s="81"/>
      <c r="N73" s="107"/>
    </row>
    <row r="75" spans="1:15" x14ac:dyDescent="0.2">
      <c r="B75" s="67">
        <f>+B6*$F75</f>
        <v>3138.8250000000003</v>
      </c>
      <c r="C75" s="67">
        <f>+C6*$F75</f>
        <v>3150</v>
      </c>
      <c r="D75" s="65"/>
      <c r="F75" s="108">
        <v>0.05</v>
      </c>
      <c r="G75" s="65" t="s">
        <v>453</v>
      </c>
      <c r="H75" s="108"/>
      <c r="I75" s="67">
        <f>+I6*$F75</f>
        <v>17898.45</v>
      </c>
      <c r="J75" s="67">
        <f>+J6*$F75</f>
        <v>10850</v>
      </c>
      <c r="K75" s="65"/>
      <c r="N75" s="67">
        <f>+N6*$F75</f>
        <v>35000</v>
      </c>
      <c r="O75" s="109"/>
    </row>
    <row r="76" spans="1:15" x14ac:dyDescent="0.2">
      <c r="B76" s="67">
        <f>+B11*$F76</f>
        <v>3770.4920000000002</v>
      </c>
      <c r="C76" s="67">
        <f>+C11*$F76</f>
        <v>6761.2000000000007</v>
      </c>
      <c r="D76" s="65"/>
      <c r="F76" s="108">
        <v>0.2</v>
      </c>
      <c r="G76" s="65" t="s">
        <v>454</v>
      </c>
      <c r="H76" s="108"/>
      <c r="I76" s="67">
        <f>+I11*$F76</f>
        <v>34300.716</v>
      </c>
      <c r="J76" s="67">
        <f>+J11*$F76</f>
        <v>32455.200000000001</v>
      </c>
      <c r="K76" s="65"/>
      <c r="N76" s="67">
        <f>+N11*$F76</f>
        <v>120000</v>
      </c>
      <c r="O76" s="109"/>
    </row>
    <row r="77" spans="1:15" x14ac:dyDescent="0.2">
      <c r="B77" s="67">
        <f>+B8*$F77</f>
        <v>39062.684999999998</v>
      </c>
      <c r="C77" s="67">
        <f>+C8*$F77</f>
        <v>26125</v>
      </c>
      <c r="D77" s="65"/>
      <c r="F77" s="108">
        <v>0.5</v>
      </c>
      <c r="G77" s="65" t="s">
        <v>455</v>
      </c>
      <c r="H77" s="108"/>
      <c r="I77" s="67">
        <f>+I8*$F77</f>
        <v>67463.514999999999</v>
      </c>
      <c r="J77" s="67">
        <f>+J8*$F77</f>
        <v>52250</v>
      </c>
      <c r="K77" s="65"/>
      <c r="N77" s="67">
        <f>+N8*$F77</f>
        <v>237500</v>
      </c>
      <c r="O77" s="109"/>
    </row>
    <row r="78" spans="1:15" x14ac:dyDescent="0.2">
      <c r="B78" s="67"/>
      <c r="C78" s="67"/>
      <c r="D78" s="65"/>
      <c r="I78" s="67"/>
      <c r="J78" s="67"/>
      <c r="K78" s="65"/>
      <c r="N78" s="67"/>
      <c r="O78" s="109"/>
    </row>
    <row r="79" spans="1:15" x14ac:dyDescent="0.2">
      <c r="B79" s="67">
        <f>SUM(B75:B78)</f>
        <v>45972.002</v>
      </c>
      <c r="C79" s="67">
        <f>SUM(C75:C78)</f>
        <v>36036.199999999997</v>
      </c>
      <c r="D79" s="65"/>
      <c r="I79" s="67">
        <f>SUM(I75:I78)</f>
        <v>119662.681</v>
      </c>
      <c r="J79" s="67">
        <f>SUM(J75:J78)</f>
        <v>95555.199999999997</v>
      </c>
      <c r="K79" s="65"/>
      <c r="N79" s="67">
        <f>SUM(N75:N78)</f>
        <v>392500</v>
      </c>
      <c r="O79" s="109"/>
    </row>
  </sheetData>
  <mergeCells count="6">
    <mergeCell ref="F60:N60"/>
    <mergeCell ref="F66:N66"/>
    <mergeCell ref="I1:P1"/>
    <mergeCell ref="B1:G1"/>
    <mergeCell ref="B3:E3"/>
    <mergeCell ref="I3:P3"/>
  </mergeCells>
  <printOptions horizontalCentered="1"/>
  <pageMargins left="0" right="0" top="0" bottom="0" header="0.05" footer="0.05"/>
  <pageSetup scale="67" orientation="landscape" r:id="rId1"/>
  <headerFooter>
    <oddHeader>&amp;L&amp;8&amp;D
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193FD1-8A19-4CD4-9CFE-BE56F2E4CB0B}">
  <sheetPr>
    <pageSetUpPr fitToPage="1"/>
  </sheetPr>
  <dimension ref="A1:AQ388"/>
  <sheetViews>
    <sheetView zoomScale="205" zoomScaleNormal="205" workbookViewId="0">
      <pane xSplit="2" ySplit="4" topLeftCell="C140" activePane="bottomRight" state="frozen"/>
      <selection pane="topRight" activeCell="C1" sqref="C1"/>
      <selection pane="bottomLeft" activeCell="A5" sqref="A5"/>
      <selection pane="bottomRight" sqref="A1:A2"/>
    </sheetView>
  </sheetViews>
  <sheetFormatPr defaultColWidth="10.42578125" defaultRowHeight="11.25" x14ac:dyDescent="0.2"/>
  <cols>
    <col min="1" max="1" width="17.28515625" style="1" bestFit="1" customWidth="1"/>
    <col min="2" max="2" width="45.5703125" style="1" bestFit="1" customWidth="1"/>
    <col min="3" max="3" width="9.85546875" style="59" customWidth="1"/>
    <col min="4" max="4" width="10.85546875" style="59" customWidth="1"/>
    <col min="5" max="5" width="2.7109375" style="1" customWidth="1"/>
    <col min="6" max="6" width="9.85546875" style="1" customWidth="1"/>
    <col min="7" max="7" width="10.28515625" style="1" customWidth="1"/>
    <col min="8" max="8" width="2.7109375" style="1" customWidth="1"/>
    <col min="9" max="9" width="11.140625" style="1" bestFit="1" customWidth="1"/>
    <col min="10" max="10" width="10.28515625" style="1" customWidth="1"/>
    <col min="11" max="11" width="2.7109375" style="1" customWidth="1"/>
    <col min="12" max="12" width="11.140625" style="1" bestFit="1" customWidth="1"/>
    <col min="13" max="13" width="10.28515625" style="1" customWidth="1"/>
    <col min="14" max="14" width="2.7109375" style="1" customWidth="1"/>
    <col min="15" max="15" width="10.5703125" style="1" hidden="1" customWidth="1"/>
    <col min="16" max="16" width="12.7109375" style="1" hidden="1" customWidth="1"/>
    <col min="17" max="17" width="2.7109375" style="1" hidden="1" customWidth="1"/>
    <col min="18" max="18" width="13.85546875" style="1" hidden="1" customWidth="1"/>
    <col min="19" max="19" width="16" style="1" hidden="1" customWidth="1"/>
    <col min="20" max="20" width="2.7109375" style="1" hidden="1" customWidth="1"/>
    <col min="21" max="21" width="13.85546875" style="1" hidden="1" customWidth="1"/>
    <col min="22" max="22" width="16" style="1" hidden="1" customWidth="1"/>
    <col min="23" max="23" width="2.7109375" style="1" hidden="1" customWidth="1"/>
    <col min="24" max="24" width="13.85546875" style="1" hidden="1" customWidth="1"/>
    <col min="25" max="25" width="16" style="1" hidden="1" customWidth="1"/>
    <col min="26" max="26" width="2.7109375" style="1" hidden="1" customWidth="1"/>
    <col min="27" max="27" width="13.85546875" style="1" hidden="1" customWidth="1"/>
    <col min="28" max="28" width="16" style="1" hidden="1" customWidth="1"/>
    <col min="29" max="29" width="2.7109375" style="1" hidden="1" customWidth="1"/>
    <col min="30" max="30" width="13.85546875" style="1" hidden="1" customWidth="1"/>
    <col min="31" max="31" width="16" style="1" hidden="1" customWidth="1"/>
    <col min="32" max="32" width="2.7109375" style="1" hidden="1" customWidth="1"/>
    <col min="33" max="33" width="13.85546875" style="1" hidden="1" customWidth="1"/>
    <col min="34" max="34" width="16" style="1" hidden="1" customWidth="1"/>
    <col min="35" max="35" width="2.7109375" style="1" hidden="1" customWidth="1"/>
    <col min="36" max="36" width="13.85546875" style="1" hidden="1" customWidth="1"/>
    <col min="37" max="37" width="16" style="1" hidden="1" customWidth="1"/>
    <col min="38" max="38" width="15.28515625" style="1" customWidth="1"/>
    <col min="39" max="39" width="14.7109375" style="1" customWidth="1"/>
    <col min="40" max="40" width="2.7109375" style="1" customWidth="1"/>
    <col min="41" max="41" width="13.28515625" style="1" bestFit="1" customWidth="1"/>
    <col min="42" max="16384" width="10.42578125" style="1"/>
  </cols>
  <sheetData>
    <row r="1" spans="1:43" ht="15" customHeight="1" x14ac:dyDescent="0.2">
      <c r="A1" s="135" t="s">
        <v>365</v>
      </c>
      <c r="B1" s="133" t="s">
        <v>364</v>
      </c>
      <c r="C1" s="136" t="s">
        <v>511</v>
      </c>
      <c r="D1" s="136" t="s">
        <v>366</v>
      </c>
      <c r="E1" s="26"/>
      <c r="F1" s="132" t="s">
        <v>512</v>
      </c>
      <c r="G1" s="133" t="s">
        <v>367</v>
      </c>
      <c r="H1" s="26"/>
      <c r="I1" s="132" t="s">
        <v>513</v>
      </c>
      <c r="J1" s="133" t="s">
        <v>371</v>
      </c>
      <c r="K1" s="26"/>
      <c r="L1" s="132" t="s">
        <v>514</v>
      </c>
      <c r="M1" s="133" t="s">
        <v>372</v>
      </c>
      <c r="N1" s="26"/>
      <c r="O1" s="132" t="s">
        <v>515</v>
      </c>
      <c r="P1" s="133" t="s">
        <v>374</v>
      </c>
      <c r="Q1" s="26"/>
      <c r="R1" s="132" t="s">
        <v>516</v>
      </c>
      <c r="S1" s="133" t="s">
        <v>376</v>
      </c>
      <c r="T1" s="26"/>
      <c r="U1" s="132" t="s">
        <v>517</v>
      </c>
      <c r="V1" s="133" t="s">
        <v>377</v>
      </c>
      <c r="W1" s="26"/>
      <c r="X1" s="132" t="s">
        <v>518</v>
      </c>
      <c r="Y1" s="133" t="s">
        <v>378</v>
      </c>
      <c r="Z1" s="26"/>
      <c r="AA1" s="132" t="s">
        <v>519</v>
      </c>
      <c r="AB1" s="133" t="s">
        <v>380</v>
      </c>
      <c r="AC1" s="26"/>
      <c r="AD1" s="132" t="s">
        <v>520</v>
      </c>
      <c r="AE1" s="133" t="s">
        <v>382</v>
      </c>
      <c r="AF1" s="26"/>
      <c r="AG1" s="132" t="s">
        <v>521</v>
      </c>
      <c r="AH1" s="133" t="s">
        <v>383</v>
      </c>
      <c r="AI1" s="26"/>
      <c r="AJ1" s="132" t="s">
        <v>522</v>
      </c>
      <c r="AK1" s="133" t="s">
        <v>384</v>
      </c>
      <c r="AL1" s="134" t="s">
        <v>368</v>
      </c>
      <c r="AM1" s="134" t="s">
        <v>369</v>
      </c>
      <c r="AN1" s="26"/>
      <c r="AO1" s="131" t="s">
        <v>386</v>
      </c>
    </row>
    <row r="2" spans="1:43" ht="15" customHeight="1" x14ac:dyDescent="0.2">
      <c r="A2" s="135"/>
      <c r="B2" s="133"/>
      <c r="C2" s="136"/>
      <c r="D2" s="136"/>
      <c r="E2" s="26"/>
      <c r="F2" s="132"/>
      <c r="G2" s="133"/>
      <c r="H2" s="26"/>
      <c r="I2" s="132"/>
      <c r="J2" s="133"/>
      <c r="K2" s="26"/>
      <c r="L2" s="132"/>
      <c r="M2" s="133"/>
      <c r="N2" s="26"/>
      <c r="O2" s="132"/>
      <c r="P2" s="133"/>
      <c r="Q2" s="26"/>
      <c r="R2" s="132"/>
      <c r="S2" s="133"/>
      <c r="T2" s="26"/>
      <c r="U2" s="132"/>
      <c r="V2" s="133"/>
      <c r="W2" s="26"/>
      <c r="X2" s="132"/>
      <c r="Y2" s="133"/>
      <c r="Z2" s="26"/>
      <c r="AA2" s="132"/>
      <c r="AB2" s="133"/>
      <c r="AC2" s="26"/>
      <c r="AD2" s="132"/>
      <c r="AE2" s="133"/>
      <c r="AF2" s="26"/>
      <c r="AG2" s="132"/>
      <c r="AH2" s="133"/>
      <c r="AI2" s="26"/>
      <c r="AJ2" s="132"/>
      <c r="AK2" s="133"/>
      <c r="AL2" s="134"/>
      <c r="AM2" s="134"/>
      <c r="AN2" s="26"/>
      <c r="AO2" s="131"/>
    </row>
    <row r="3" spans="1:43" s="23" customFormat="1" x14ac:dyDescent="0.2">
      <c r="A3" s="25"/>
      <c r="B3" s="24"/>
      <c r="C3" s="56"/>
      <c r="D3" s="5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</row>
    <row r="4" spans="1:43" ht="15" customHeight="1" x14ac:dyDescent="0.2">
      <c r="A4" s="22" t="s">
        <v>363</v>
      </c>
      <c r="B4" s="21" t="s">
        <v>362</v>
      </c>
      <c r="C4" s="57"/>
      <c r="D4" s="57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</row>
    <row r="5" spans="1:43" ht="15" customHeight="1" x14ac:dyDescent="0.2">
      <c r="A5" s="14" t="s">
        <v>361</v>
      </c>
      <c r="B5" s="13" t="s">
        <v>360</v>
      </c>
      <c r="C5" s="20">
        <f>+(C29*0.2)</f>
        <v>7234.3780000000006</v>
      </c>
      <c r="D5" s="20">
        <f>(D29*0.2)</f>
        <v>9501</v>
      </c>
      <c r="E5" s="13"/>
      <c r="F5" s="20">
        <f>+(F29*0.2)</f>
        <v>13327.678</v>
      </c>
      <c r="G5" s="20">
        <f>(G29*0.2)</f>
        <v>10885</v>
      </c>
      <c r="H5" s="13"/>
      <c r="I5" s="20">
        <f>+(I29*0.2)</f>
        <v>9968.1679999999997</v>
      </c>
      <c r="J5" s="20">
        <f>(J29*0.2)</f>
        <v>5308</v>
      </c>
      <c r="K5" s="13"/>
      <c r="L5" s="20">
        <f>+(L29*0.2)</f>
        <v>3770.4920000000002</v>
      </c>
      <c r="M5" s="20">
        <f>(M29*0.2)</f>
        <v>6761.2000000000007</v>
      </c>
      <c r="N5" s="13"/>
      <c r="O5" s="20">
        <f>+(O29*0.2)</f>
        <v>0</v>
      </c>
      <c r="P5" s="20">
        <f>(P29*0.2)</f>
        <v>0</v>
      </c>
      <c r="Q5" s="13"/>
      <c r="R5" s="20">
        <f>+(R29*0.2)</f>
        <v>0</v>
      </c>
      <c r="S5" s="20">
        <f>(S29*0.2)</f>
        <v>0</v>
      </c>
      <c r="T5" s="13"/>
      <c r="U5" s="20">
        <f>+(U29*0.2)</f>
        <v>0</v>
      </c>
      <c r="V5" s="20">
        <f>(V29*0.2)</f>
        <v>0</v>
      </c>
      <c r="W5" s="13"/>
      <c r="X5" s="20">
        <f>+(X29*0.2)</f>
        <v>0</v>
      </c>
      <c r="Y5" s="20">
        <f>(Y29*0.2)</f>
        <v>0</v>
      </c>
      <c r="Z5" s="13"/>
      <c r="AA5" s="20">
        <f>+(AA29*0.2)</f>
        <v>0</v>
      </c>
      <c r="AB5" s="20">
        <f>(AB29*0.2)</f>
        <v>0</v>
      </c>
      <c r="AC5" s="13"/>
      <c r="AD5" s="20">
        <f>+(AD29*0.2)</f>
        <v>0</v>
      </c>
      <c r="AE5" s="20">
        <f>(AE29*0.2)</f>
        <v>0</v>
      </c>
      <c r="AF5" s="13"/>
      <c r="AG5" s="20">
        <f>+(AG29*0.2)</f>
        <v>0</v>
      </c>
      <c r="AH5" s="20">
        <f>(AH29*0.2)</f>
        <v>0</v>
      </c>
      <c r="AI5" s="13"/>
      <c r="AJ5" s="20">
        <f>+(AJ29*0.2)</f>
        <v>0</v>
      </c>
      <c r="AK5" s="20">
        <f>(AK29*0.2)</f>
        <v>0</v>
      </c>
      <c r="AL5" s="27">
        <f t="shared" ref="AL5:AM7" si="0">+C5+F5+I5+L5+O5+R5+U5+X5+AA5+AD5+AG5+AJ5</f>
        <v>34300.716</v>
      </c>
      <c r="AM5" s="27">
        <f t="shared" si="0"/>
        <v>32455.200000000001</v>
      </c>
      <c r="AN5" s="13"/>
      <c r="AO5" s="10">
        <f>+(AO29*0.2)</f>
        <v>120000</v>
      </c>
      <c r="AP5" s="46"/>
    </row>
    <row r="6" spans="1:43" ht="15" customHeight="1" x14ac:dyDescent="0.2">
      <c r="A6" s="14">
        <v>3200750</v>
      </c>
      <c r="B6" s="13" t="s">
        <v>359</v>
      </c>
      <c r="C6" s="20">
        <f>+C15*0.5</f>
        <v>0</v>
      </c>
      <c r="D6" s="20">
        <f>+D15*0.5</f>
        <v>0</v>
      </c>
      <c r="E6" s="13"/>
      <c r="F6" s="10">
        <f>+F15*0.5</f>
        <v>7115.9449999999997</v>
      </c>
      <c r="G6" s="10">
        <f>+G15*0.5</f>
        <v>7125</v>
      </c>
      <c r="H6" s="13"/>
      <c r="I6" s="10">
        <f>+I15*0.5</f>
        <v>21284.884999999998</v>
      </c>
      <c r="J6" s="10">
        <f>+J15*0.5</f>
        <v>19000</v>
      </c>
      <c r="K6" s="13"/>
      <c r="L6" s="10">
        <f>+L15*0.5</f>
        <v>39062.684999999998</v>
      </c>
      <c r="M6" s="10">
        <f>+M15*0.5</f>
        <v>26125</v>
      </c>
      <c r="N6" s="13"/>
      <c r="O6" s="10">
        <f>+O15*0.5</f>
        <v>0</v>
      </c>
      <c r="P6" s="10">
        <f>+P15*0.5</f>
        <v>0</v>
      </c>
      <c r="Q6" s="13"/>
      <c r="R6" s="10">
        <f>+R15*0.5</f>
        <v>0</v>
      </c>
      <c r="S6" s="10">
        <f>+S15*0.5</f>
        <v>0</v>
      </c>
      <c r="T6" s="13"/>
      <c r="U6" s="10">
        <f>+U15*0.5</f>
        <v>0</v>
      </c>
      <c r="V6" s="10">
        <f>+V15*0.5</f>
        <v>0</v>
      </c>
      <c r="W6" s="13"/>
      <c r="X6" s="10">
        <f>+X15*0.5</f>
        <v>0</v>
      </c>
      <c r="Y6" s="10">
        <f>+Y15*0.5</f>
        <v>0</v>
      </c>
      <c r="Z6" s="13"/>
      <c r="AA6" s="10">
        <f>+AA15*0.5</f>
        <v>0</v>
      </c>
      <c r="AB6" s="10">
        <f>+AB15*0.5</f>
        <v>0</v>
      </c>
      <c r="AC6" s="13"/>
      <c r="AD6" s="10">
        <f>+AD15*0.5</f>
        <v>0</v>
      </c>
      <c r="AE6" s="10">
        <f>+AE15*0.5</f>
        <v>0</v>
      </c>
      <c r="AF6" s="13"/>
      <c r="AG6" s="10">
        <f>+AG15*0.5</f>
        <v>0</v>
      </c>
      <c r="AH6" s="10">
        <f>+AH15*0.5</f>
        <v>0</v>
      </c>
      <c r="AI6" s="13"/>
      <c r="AJ6" s="10">
        <f>+AJ15*0.5</f>
        <v>0</v>
      </c>
      <c r="AK6" s="10">
        <f>+AK15*0.5</f>
        <v>0</v>
      </c>
      <c r="AL6" s="27">
        <f t="shared" si="0"/>
        <v>67463.514999999999</v>
      </c>
      <c r="AM6" s="27">
        <f t="shared" si="0"/>
        <v>52250</v>
      </c>
      <c r="AN6" s="13"/>
      <c r="AO6" s="10">
        <f>+AO15*0.5</f>
        <v>237500</v>
      </c>
      <c r="AP6" s="46"/>
    </row>
    <row r="7" spans="1:43" ht="15" customHeight="1" x14ac:dyDescent="0.2">
      <c r="A7" s="14" t="s">
        <v>358</v>
      </c>
      <c r="B7" s="13" t="s">
        <v>357</v>
      </c>
      <c r="C7" s="20">
        <f>+C13*0.05</f>
        <v>0</v>
      </c>
      <c r="D7" s="20">
        <f>+D13*0.05</f>
        <v>0</v>
      </c>
      <c r="E7" s="13"/>
      <c r="F7" s="10">
        <f>+F13*0.05</f>
        <v>4586.25</v>
      </c>
      <c r="G7" s="10">
        <f>+G13*0.05</f>
        <v>3500</v>
      </c>
      <c r="H7" s="13"/>
      <c r="I7" s="10">
        <f>+I13*0.05</f>
        <v>10173.375</v>
      </c>
      <c r="J7" s="10">
        <f>+J13*0.05</f>
        <v>4200</v>
      </c>
      <c r="K7" s="13"/>
      <c r="L7" s="10">
        <f>+L13*0.05</f>
        <v>3138.8250000000003</v>
      </c>
      <c r="M7" s="10">
        <f>+M13*0.05</f>
        <v>3150</v>
      </c>
      <c r="N7" s="13"/>
      <c r="O7" s="10">
        <f>+O13*0.05</f>
        <v>0</v>
      </c>
      <c r="P7" s="10">
        <f>+P13*0.05</f>
        <v>0</v>
      </c>
      <c r="Q7" s="13"/>
      <c r="R7" s="10">
        <f>+R13*0.05</f>
        <v>0</v>
      </c>
      <c r="S7" s="10">
        <f>+S13*0.05</f>
        <v>0</v>
      </c>
      <c r="T7" s="13"/>
      <c r="U7" s="10">
        <f>+U13*0.05</f>
        <v>0</v>
      </c>
      <c r="V7" s="10">
        <f>+V13*0.05</f>
        <v>0</v>
      </c>
      <c r="W7" s="13"/>
      <c r="X7" s="10">
        <f>+X13*0.05</f>
        <v>0</v>
      </c>
      <c r="Y7" s="10">
        <f>+Y13*0.05</f>
        <v>0</v>
      </c>
      <c r="Z7" s="13"/>
      <c r="AA7" s="10">
        <f>+AA13*0.05</f>
        <v>0</v>
      </c>
      <c r="AB7" s="10">
        <f>+AB13*0.05</f>
        <v>0</v>
      </c>
      <c r="AC7" s="13"/>
      <c r="AD7" s="10">
        <f>+AD13*0.05</f>
        <v>0</v>
      </c>
      <c r="AE7" s="10">
        <f>+AE13*0.05</f>
        <v>0</v>
      </c>
      <c r="AF7" s="13"/>
      <c r="AG7" s="10">
        <f>+AG13*0.05</f>
        <v>0</v>
      </c>
      <c r="AH7" s="10">
        <f>+AH13*0.05</f>
        <v>0</v>
      </c>
      <c r="AI7" s="13"/>
      <c r="AJ7" s="10">
        <f>+AJ13*0.05</f>
        <v>0</v>
      </c>
      <c r="AK7" s="10">
        <f>+AK13*0.05</f>
        <v>0</v>
      </c>
      <c r="AL7" s="27">
        <f t="shared" si="0"/>
        <v>17898.45</v>
      </c>
      <c r="AM7" s="27">
        <f t="shared" si="0"/>
        <v>10850</v>
      </c>
      <c r="AN7" s="13"/>
      <c r="AO7" s="10">
        <f>+AO13*0.05</f>
        <v>35000</v>
      </c>
      <c r="AP7" s="46"/>
    </row>
    <row r="8" spans="1:43" ht="15" customHeight="1" x14ac:dyDescent="0.2">
      <c r="A8" s="14"/>
      <c r="B8" s="13"/>
      <c r="C8" s="58"/>
      <c r="D8" s="58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0"/>
      <c r="AP8" s="46"/>
    </row>
    <row r="9" spans="1:43" ht="15" customHeight="1" x14ac:dyDescent="0.2">
      <c r="A9" s="9" t="s">
        <v>4</v>
      </c>
      <c r="B9" s="8" t="s">
        <v>356</v>
      </c>
      <c r="C9" s="29">
        <f>SUM(C5:C7)</f>
        <v>7234.3780000000006</v>
      </c>
      <c r="D9" s="29">
        <f>SUM(D5:D7)</f>
        <v>9501</v>
      </c>
      <c r="E9" s="8"/>
      <c r="F9" s="7">
        <f>SUM(F5:F7)</f>
        <v>25029.873</v>
      </c>
      <c r="G9" s="7">
        <f>SUM(G5:G7)</f>
        <v>21510</v>
      </c>
      <c r="H9" s="8"/>
      <c r="I9" s="7">
        <f>SUM(I5:I7)</f>
        <v>41426.428</v>
      </c>
      <c r="J9" s="7">
        <f>SUM(J5:J7)</f>
        <v>28508</v>
      </c>
      <c r="K9" s="8"/>
      <c r="L9" s="7">
        <f>SUM(L5:L7)</f>
        <v>45972.001999999993</v>
      </c>
      <c r="M9" s="7">
        <f>SUM(M5:M7)</f>
        <v>36036.199999999997</v>
      </c>
      <c r="N9" s="8"/>
      <c r="O9" s="7">
        <f>SUM(O5:O7)</f>
        <v>0</v>
      </c>
      <c r="P9" s="7">
        <f>SUM(P5:P7)</f>
        <v>0</v>
      </c>
      <c r="Q9" s="8"/>
      <c r="R9" s="7">
        <f>SUM(R5:R7)</f>
        <v>0</v>
      </c>
      <c r="S9" s="7">
        <f>SUM(S5:S7)</f>
        <v>0</v>
      </c>
      <c r="T9" s="8"/>
      <c r="U9" s="7">
        <f>SUM(U5:U7)</f>
        <v>0</v>
      </c>
      <c r="V9" s="7">
        <f>SUM(V5:V7)</f>
        <v>0</v>
      </c>
      <c r="W9" s="8"/>
      <c r="X9" s="7">
        <f>SUM(X5:X7)</f>
        <v>0</v>
      </c>
      <c r="Y9" s="7">
        <f>SUM(Y5:Y7)</f>
        <v>0</v>
      </c>
      <c r="Z9" s="8"/>
      <c r="AA9" s="7">
        <f>SUM(AA5:AA7)</f>
        <v>0</v>
      </c>
      <c r="AB9" s="7">
        <f>SUM(AB5:AB7)</f>
        <v>0</v>
      </c>
      <c r="AC9" s="8"/>
      <c r="AD9" s="7">
        <f>SUM(AD5:AD7)</f>
        <v>0</v>
      </c>
      <c r="AE9" s="7">
        <f>SUM(AE5:AE7)</f>
        <v>0</v>
      </c>
      <c r="AF9" s="8"/>
      <c r="AG9" s="7">
        <f>SUM(AG5:AG7)</f>
        <v>0</v>
      </c>
      <c r="AH9" s="7">
        <f>SUM(AH5:AH7)</f>
        <v>0</v>
      </c>
      <c r="AI9" s="8"/>
      <c r="AJ9" s="7">
        <f>SUM(AJ5:AJ7)</f>
        <v>0</v>
      </c>
      <c r="AK9" s="7">
        <f>SUM(AK5:AK7)</f>
        <v>0</v>
      </c>
      <c r="AL9" s="7">
        <f>SUM(AL5:AL7)</f>
        <v>119662.681</v>
      </c>
      <c r="AM9" s="7">
        <f>SUM(AM5:AM7)</f>
        <v>95555.199999999997</v>
      </c>
      <c r="AN9" s="8"/>
      <c r="AO9" s="7">
        <f>SUM(AO5:AO7)</f>
        <v>392500</v>
      </c>
      <c r="AP9" s="46"/>
    </row>
    <row r="10" spans="1:43" ht="15" customHeight="1" x14ac:dyDescent="0.2">
      <c r="AG10" s="46"/>
      <c r="AH10" s="46"/>
      <c r="AI10" s="46"/>
      <c r="AJ10" s="46"/>
      <c r="AK10" s="46"/>
      <c r="AL10" s="46"/>
      <c r="AM10" s="46"/>
      <c r="AN10" s="46"/>
      <c r="AO10" s="46"/>
      <c r="AP10" s="46"/>
    </row>
    <row r="11" spans="1:43" x14ac:dyDescent="0.2">
      <c r="A11" s="22" t="s">
        <v>355</v>
      </c>
      <c r="B11" s="21" t="s">
        <v>354</v>
      </c>
      <c r="C11" s="57"/>
      <c r="D11" s="57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48"/>
      <c r="AH11" s="48"/>
      <c r="AI11" s="48"/>
      <c r="AJ11" s="48"/>
      <c r="AK11" s="48"/>
      <c r="AL11" s="48"/>
      <c r="AM11" s="48"/>
      <c r="AN11" s="48"/>
      <c r="AO11" s="46" t="s">
        <v>133</v>
      </c>
      <c r="AP11" s="46"/>
    </row>
    <row r="12" spans="1:43" ht="15" customHeight="1" x14ac:dyDescent="0.2">
      <c r="A12" s="16" t="s">
        <v>353</v>
      </c>
      <c r="B12" s="15" t="s">
        <v>352</v>
      </c>
      <c r="C12" s="60"/>
      <c r="D12" s="6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49"/>
      <c r="AH12" s="49"/>
      <c r="AI12" s="49"/>
      <c r="AJ12" s="49"/>
      <c r="AK12" s="49"/>
      <c r="AL12" s="49"/>
      <c r="AM12" s="49"/>
      <c r="AN12" s="49"/>
      <c r="AO12" s="46"/>
      <c r="AP12" s="46"/>
    </row>
    <row r="13" spans="1:43" x14ac:dyDescent="0.2">
      <c r="A13" s="14" t="s">
        <v>351</v>
      </c>
      <c r="B13" s="13" t="s">
        <v>350</v>
      </c>
      <c r="C13" s="28">
        <v>0</v>
      </c>
      <c r="D13" s="28">
        <v>0</v>
      </c>
      <c r="E13" s="28"/>
      <c r="F13" s="28">
        <v>91725</v>
      </c>
      <c r="G13" s="28">
        <v>70000</v>
      </c>
      <c r="H13" s="28"/>
      <c r="I13" s="28">
        <v>203467.5</v>
      </c>
      <c r="J13" s="28">
        <v>84000</v>
      </c>
      <c r="K13" s="28"/>
      <c r="L13" s="28">
        <v>62776.5</v>
      </c>
      <c r="M13" s="28">
        <v>63000</v>
      </c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7">
        <f t="shared" ref="AL13" si="1">+C13+F13+I13+L13+O13+R13+U13+X13+AA13+AD13+AG13+AJ13</f>
        <v>357969</v>
      </c>
      <c r="AM13" s="27">
        <f t="shared" ref="AM13" si="2">+D13+G13+J13+M13+P13+S13+V13+Y13+AB13+AE13+AH13+AK13</f>
        <v>217000</v>
      </c>
      <c r="AN13" s="28"/>
      <c r="AO13" s="20">
        <v>700000</v>
      </c>
      <c r="AP13" s="46"/>
      <c r="AQ13" s="110">
        <f>+D13+G13-AM13</f>
        <v>-147000</v>
      </c>
    </row>
    <row r="14" spans="1:43" x14ac:dyDescent="0.2">
      <c r="A14" s="14" t="s">
        <v>349</v>
      </c>
      <c r="B14" s="13" t="s">
        <v>348</v>
      </c>
      <c r="C14" s="28">
        <v>54607.79</v>
      </c>
      <c r="D14" s="28">
        <v>57750</v>
      </c>
      <c r="E14" s="28"/>
      <c r="F14" s="28">
        <v>17276.38</v>
      </c>
      <c r="G14" s="28">
        <v>8250</v>
      </c>
      <c r="H14" s="28"/>
      <c r="I14" s="28">
        <v>827.44</v>
      </c>
      <c r="J14" s="28">
        <v>0</v>
      </c>
      <c r="K14" s="28"/>
      <c r="L14" s="28">
        <v>2714.45</v>
      </c>
      <c r="M14" s="28">
        <v>0</v>
      </c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7">
        <f t="shared" ref="AL14:AL17" si="3">+C14+F14+I14+L14+O14+R14+U14+X14+AA14+AD14+AG14+AJ14</f>
        <v>75426.06</v>
      </c>
      <c r="AM14" s="27">
        <f t="shared" ref="AM14:AM17" si="4">+D14+G14+J14+M14+P14+S14+V14+Y14+AB14+AE14+AH14+AK14</f>
        <v>66000</v>
      </c>
      <c r="AN14" s="28"/>
      <c r="AO14" s="20">
        <v>825000</v>
      </c>
      <c r="AP14" s="46"/>
      <c r="AQ14" s="110">
        <f t="shared" ref="AQ14:AQ77" si="5">+D14+G14-AM14</f>
        <v>0</v>
      </c>
    </row>
    <row r="15" spans="1:43" x14ac:dyDescent="0.2">
      <c r="A15" s="14" t="s">
        <v>347</v>
      </c>
      <c r="B15" s="13" t="s">
        <v>346</v>
      </c>
      <c r="C15" s="28">
        <v>0</v>
      </c>
      <c r="D15" s="28">
        <v>0</v>
      </c>
      <c r="E15" s="28"/>
      <c r="F15" s="28">
        <v>14231.89</v>
      </c>
      <c r="G15" s="28">
        <v>14250</v>
      </c>
      <c r="H15" s="28"/>
      <c r="I15" s="28">
        <v>42569.77</v>
      </c>
      <c r="J15" s="28">
        <v>38000</v>
      </c>
      <c r="K15" s="28"/>
      <c r="L15" s="28">
        <v>78125.37</v>
      </c>
      <c r="M15" s="28">
        <v>52250</v>
      </c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7">
        <f t="shared" si="3"/>
        <v>134927.03</v>
      </c>
      <c r="AM15" s="27">
        <f t="shared" si="4"/>
        <v>104500</v>
      </c>
      <c r="AN15" s="28"/>
      <c r="AO15" s="20">
        <v>475000</v>
      </c>
      <c r="AP15" s="46"/>
      <c r="AQ15" s="110">
        <f t="shared" si="5"/>
        <v>-90250</v>
      </c>
    </row>
    <row r="16" spans="1:43" x14ac:dyDescent="0.2">
      <c r="A16" s="14" t="s">
        <v>345</v>
      </c>
      <c r="B16" s="13" t="s">
        <v>344</v>
      </c>
      <c r="C16" s="28">
        <v>0</v>
      </c>
      <c r="D16" s="28">
        <v>0</v>
      </c>
      <c r="E16" s="28"/>
      <c r="F16" s="28">
        <v>11550.98</v>
      </c>
      <c r="G16" s="28">
        <v>12500</v>
      </c>
      <c r="H16" s="28"/>
      <c r="I16" s="28">
        <v>0</v>
      </c>
      <c r="J16" s="28">
        <v>0</v>
      </c>
      <c r="K16" s="28"/>
      <c r="L16" s="28">
        <v>0</v>
      </c>
      <c r="M16" s="28">
        <v>0</v>
      </c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7">
        <f t="shared" si="3"/>
        <v>11550.98</v>
      </c>
      <c r="AM16" s="27">
        <f t="shared" si="4"/>
        <v>12500</v>
      </c>
      <c r="AN16" s="28"/>
      <c r="AO16" s="20">
        <v>50000</v>
      </c>
      <c r="AP16" s="46"/>
      <c r="AQ16" s="110">
        <f t="shared" si="5"/>
        <v>0</v>
      </c>
    </row>
    <row r="17" spans="1:43" x14ac:dyDescent="0.2">
      <c r="A17" s="14" t="s">
        <v>343</v>
      </c>
      <c r="B17" s="13" t="s">
        <v>342</v>
      </c>
      <c r="C17" s="28">
        <v>0</v>
      </c>
      <c r="D17" s="28">
        <v>0</v>
      </c>
      <c r="E17" s="28"/>
      <c r="F17" s="28">
        <v>0</v>
      </c>
      <c r="G17" s="28">
        <v>0</v>
      </c>
      <c r="H17" s="28"/>
      <c r="I17" s="28">
        <v>0</v>
      </c>
      <c r="J17" s="28">
        <v>0</v>
      </c>
      <c r="K17" s="28"/>
      <c r="L17" s="28">
        <v>42500</v>
      </c>
      <c r="M17" s="28">
        <v>42500</v>
      </c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7">
        <f t="shared" si="3"/>
        <v>42500</v>
      </c>
      <c r="AM17" s="27">
        <f t="shared" si="4"/>
        <v>42500</v>
      </c>
      <c r="AN17" s="28"/>
      <c r="AO17" s="20">
        <v>85000</v>
      </c>
      <c r="AP17" s="46"/>
      <c r="AQ17" s="110">
        <f t="shared" si="5"/>
        <v>-42500</v>
      </c>
    </row>
    <row r="18" spans="1:43" x14ac:dyDescent="0.2">
      <c r="A18" s="14"/>
      <c r="B18" s="13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0"/>
      <c r="AP18" s="46"/>
      <c r="AQ18" s="110">
        <f t="shared" si="5"/>
        <v>0</v>
      </c>
    </row>
    <row r="19" spans="1:43" x14ac:dyDescent="0.2">
      <c r="A19" s="9" t="s">
        <v>4</v>
      </c>
      <c r="B19" s="8" t="s">
        <v>341</v>
      </c>
      <c r="C19" s="29">
        <f>SUM(C13:C18)</f>
        <v>54607.79</v>
      </c>
      <c r="D19" s="29">
        <f>SUM(D13:D18)</f>
        <v>57750</v>
      </c>
      <c r="E19" s="34"/>
      <c r="F19" s="29">
        <f>SUM(F13:F18)</f>
        <v>134784.25</v>
      </c>
      <c r="G19" s="29">
        <f>SUM(G13:G18)</f>
        <v>105000</v>
      </c>
      <c r="H19" s="34"/>
      <c r="I19" s="29">
        <f>SUM(I13:I18)</f>
        <v>246864.71</v>
      </c>
      <c r="J19" s="29">
        <f>SUM(J13:J18)</f>
        <v>122000</v>
      </c>
      <c r="K19" s="34"/>
      <c r="L19" s="29">
        <f>SUM(L13:L18)</f>
        <v>186116.32</v>
      </c>
      <c r="M19" s="29">
        <f>SUM(M13:M18)</f>
        <v>157750</v>
      </c>
      <c r="N19" s="34"/>
      <c r="O19" s="29">
        <f>SUM(O13:O18)</f>
        <v>0</v>
      </c>
      <c r="P19" s="29">
        <f>SUM(P13:P18)</f>
        <v>0</v>
      </c>
      <c r="Q19" s="34"/>
      <c r="R19" s="29">
        <f>SUM(R13:R18)</f>
        <v>0</v>
      </c>
      <c r="S19" s="29">
        <f>SUM(S13:S18)</f>
        <v>0</v>
      </c>
      <c r="T19" s="34"/>
      <c r="U19" s="29">
        <f>SUM(U13:U18)</f>
        <v>0</v>
      </c>
      <c r="V19" s="29">
        <f>SUM(V13:V18)</f>
        <v>0</v>
      </c>
      <c r="W19" s="34"/>
      <c r="X19" s="29">
        <f>SUM(X13:X18)</f>
        <v>0</v>
      </c>
      <c r="Y19" s="29">
        <f>SUM(Y13:Y18)</f>
        <v>0</v>
      </c>
      <c r="Z19" s="34"/>
      <c r="AA19" s="29">
        <f>SUM(AA13:AA18)</f>
        <v>0</v>
      </c>
      <c r="AB19" s="29">
        <f>SUM(AB13:AB18)</f>
        <v>0</v>
      </c>
      <c r="AC19" s="34"/>
      <c r="AD19" s="29">
        <f>SUM(AD13:AD18)</f>
        <v>0</v>
      </c>
      <c r="AE19" s="29">
        <f>SUM(AE13:AE18)</f>
        <v>0</v>
      </c>
      <c r="AF19" s="34"/>
      <c r="AG19" s="29">
        <f>SUM(AG13:AG18)</f>
        <v>0</v>
      </c>
      <c r="AH19" s="29">
        <f>SUM(AH13:AH18)</f>
        <v>0</v>
      </c>
      <c r="AI19" s="34"/>
      <c r="AJ19" s="29">
        <f>SUM(AJ13:AJ18)</f>
        <v>0</v>
      </c>
      <c r="AK19" s="29">
        <f>SUM(AK13:AK18)</f>
        <v>0</v>
      </c>
      <c r="AL19" s="29">
        <f>SUM(AL13:AL18)</f>
        <v>622373.06999999995</v>
      </c>
      <c r="AM19" s="29">
        <f>SUM(AM13:AM18)</f>
        <v>442500</v>
      </c>
      <c r="AN19" s="34"/>
      <c r="AO19" s="29">
        <f>SUM(AO13:AO18)</f>
        <v>2135000</v>
      </c>
      <c r="AP19" s="46"/>
      <c r="AQ19" s="110">
        <f t="shared" si="5"/>
        <v>-279750</v>
      </c>
    </row>
    <row r="20" spans="1:43" x14ac:dyDescent="0.2"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50"/>
      <c r="AH20" s="50"/>
      <c r="AI20" s="50"/>
      <c r="AJ20" s="50"/>
      <c r="AK20" s="50"/>
      <c r="AL20" s="50"/>
      <c r="AM20" s="50"/>
      <c r="AN20" s="50"/>
      <c r="AO20" s="50"/>
      <c r="AP20" s="46"/>
      <c r="AQ20" s="110">
        <f t="shared" si="5"/>
        <v>0</v>
      </c>
    </row>
    <row r="21" spans="1:43" x14ac:dyDescent="0.2">
      <c r="A21" s="16" t="s">
        <v>340</v>
      </c>
      <c r="B21" s="15" t="s">
        <v>339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51"/>
      <c r="AH21" s="51"/>
      <c r="AI21" s="51"/>
      <c r="AJ21" s="51"/>
      <c r="AK21" s="51"/>
      <c r="AL21" s="51"/>
      <c r="AM21" s="51"/>
      <c r="AN21" s="51"/>
      <c r="AO21" s="50"/>
      <c r="AP21" s="46"/>
      <c r="AQ21" s="110">
        <f t="shared" si="5"/>
        <v>0</v>
      </c>
    </row>
    <row r="22" spans="1:43" x14ac:dyDescent="0.2">
      <c r="A22" s="14" t="s">
        <v>338</v>
      </c>
      <c r="B22" s="13" t="s">
        <v>337</v>
      </c>
      <c r="C22" s="28">
        <v>0</v>
      </c>
      <c r="D22" s="28">
        <v>0</v>
      </c>
      <c r="E22" s="28"/>
      <c r="F22" s="28"/>
      <c r="G22" s="28"/>
      <c r="H22" s="28"/>
      <c r="I22" s="28">
        <v>0</v>
      </c>
      <c r="J22" s="28">
        <v>0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8"/>
      <c r="AD22" s="28"/>
      <c r="AE22" s="28"/>
      <c r="AF22" s="28"/>
      <c r="AG22" s="28">
        <v>0</v>
      </c>
      <c r="AH22" s="28">
        <v>0</v>
      </c>
      <c r="AI22" s="28"/>
      <c r="AJ22" s="28">
        <v>0</v>
      </c>
      <c r="AK22" s="28">
        <v>0</v>
      </c>
      <c r="AL22" s="27">
        <f t="shared" ref="AL22:AL32" si="6">+C22+F22+I22+L22+O22+R22+U22+X22+AA22+AD22+AG22+AJ22</f>
        <v>0</v>
      </c>
      <c r="AM22" s="27">
        <f t="shared" ref="AM22:AM32" si="7">+D22+G22+J22+M22+P22+S22+V22+Y22+AB22+AE22+AH22+AK22</f>
        <v>0</v>
      </c>
      <c r="AN22" s="28"/>
      <c r="AO22" s="20"/>
      <c r="AP22" s="46"/>
      <c r="AQ22" s="110">
        <f t="shared" si="5"/>
        <v>0</v>
      </c>
    </row>
    <row r="23" spans="1:43" x14ac:dyDescent="0.2">
      <c r="A23" s="14" t="s">
        <v>336</v>
      </c>
      <c r="B23" s="13" t="s">
        <v>335</v>
      </c>
      <c r="C23" s="28">
        <v>88447</v>
      </c>
      <c r="D23" s="28">
        <v>71500</v>
      </c>
      <c r="E23" s="28"/>
      <c r="F23" s="28">
        <v>26945</v>
      </c>
      <c r="G23" s="28">
        <v>29900</v>
      </c>
      <c r="H23" s="28"/>
      <c r="I23" s="28">
        <v>5623</v>
      </c>
      <c r="J23" s="28">
        <v>13000</v>
      </c>
      <c r="K23" s="28"/>
      <c r="L23" s="28">
        <v>1902</v>
      </c>
      <c r="M23" s="28">
        <v>3900</v>
      </c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28"/>
      <c r="AE23" s="28"/>
      <c r="AF23" s="28"/>
      <c r="AG23" s="28"/>
      <c r="AH23" s="28"/>
      <c r="AI23" s="28"/>
      <c r="AJ23" s="28"/>
      <c r="AK23" s="28"/>
      <c r="AL23" s="27">
        <f t="shared" si="6"/>
        <v>122917</v>
      </c>
      <c r="AM23" s="27">
        <f t="shared" si="7"/>
        <v>118300</v>
      </c>
      <c r="AN23" s="28"/>
      <c r="AO23" s="20">
        <v>130000</v>
      </c>
      <c r="AP23" s="46"/>
      <c r="AQ23" s="110">
        <f t="shared" si="5"/>
        <v>-16900</v>
      </c>
    </row>
    <row r="24" spans="1:43" x14ac:dyDescent="0.2">
      <c r="A24" s="14" t="s">
        <v>334</v>
      </c>
      <c r="B24" s="13" t="s">
        <v>333</v>
      </c>
      <c r="C24" s="28"/>
      <c r="D24" s="28"/>
      <c r="E24" s="28"/>
      <c r="F24" s="28">
        <v>0</v>
      </c>
      <c r="G24" s="28"/>
      <c r="H24" s="28"/>
      <c r="I24" s="28">
        <v>0</v>
      </c>
      <c r="J24" s="28">
        <v>0</v>
      </c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7">
        <f t="shared" si="6"/>
        <v>0</v>
      </c>
      <c r="AM24" s="27">
        <f t="shared" si="7"/>
        <v>0</v>
      </c>
      <c r="AN24" s="28"/>
      <c r="AO24" s="20">
        <v>0</v>
      </c>
      <c r="AP24" s="46"/>
      <c r="AQ24" s="110">
        <f t="shared" si="5"/>
        <v>0</v>
      </c>
    </row>
    <row r="25" spans="1:43" x14ac:dyDescent="0.2">
      <c r="A25" s="14" t="s">
        <v>332</v>
      </c>
      <c r="B25" s="13" t="s">
        <v>331</v>
      </c>
      <c r="C25" s="28">
        <v>143821</v>
      </c>
      <c r="D25" s="28">
        <v>110250</v>
      </c>
      <c r="E25" s="28"/>
      <c r="F25" s="28">
        <v>155526</v>
      </c>
      <c r="G25" s="28">
        <v>78750</v>
      </c>
      <c r="H25" s="28"/>
      <c r="I25" s="28">
        <v>23325</v>
      </c>
      <c r="J25" s="28">
        <v>25200</v>
      </c>
      <c r="K25" s="28"/>
      <c r="L25" s="28">
        <v>8775</v>
      </c>
      <c r="M25" s="28">
        <v>9450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  <c r="AF25" s="28"/>
      <c r="AG25" s="28"/>
      <c r="AH25" s="28"/>
      <c r="AI25" s="28"/>
      <c r="AJ25" s="28"/>
      <c r="AK25" s="28"/>
      <c r="AL25" s="27">
        <f t="shared" si="6"/>
        <v>331447</v>
      </c>
      <c r="AM25" s="27">
        <f t="shared" si="7"/>
        <v>223650</v>
      </c>
      <c r="AN25" s="28"/>
      <c r="AO25" s="20">
        <v>315000</v>
      </c>
      <c r="AP25" s="46"/>
      <c r="AQ25" s="110">
        <f t="shared" si="5"/>
        <v>-34650</v>
      </c>
    </row>
    <row r="26" spans="1:43" x14ac:dyDescent="0.2">
      <c r="A26" s="14" t="s">
        <v>330</v>
      </c>
      <c r="B26" s="13" t="s">
        <v>329</v>
      </c>
      <c r="C26" s="28">
        <v>65800</v>
      </c>
      <c r="D26" s="28">
        <v>71550</v>
      </c>
      <c r="E26" s="28"/>
      <c r="F26" s="28">
        <v>325525</v>
      </c>
      <c r="G26" s="28">
        <v>310050</v>
      </c>
      <c r="H26" s="28"/>
      <c r="I26" s="28">
        <v>73265</v>
      </c>
      <c r="J26" s="28">
        <v>95400</v>
      </c>
      <c r="K26" s="28"/>
      <c r="L26" s="28">
        <v>14320</v>
      </c>
      <c r="M26" s="28">
        <v>0</v>
      </c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28"/>
      <c r="AH26" s="28"/>
      <c r="AI26" s="28"/>
      <c r="AJ26" s="28"/>
      <c r="AK26" s="28"/>
      <c r="AL26" s="27">
        <f t="shared" si="6"/>
        <v>478910</v>
      </c>
      <c r="AM26" s="27">
        <f t="shared" si="7"/>
        <v>477000</v>
      </c>
      <c r="AN26" s="28"/>
      <c r="AO26" s="20">
        <v>477000</v>
      </c>
      <c r="AP26" s="46"/>
      <c r="AQ26" s="110">
        <f t="shared" si="5"/>
        <v>-95400</v>
      </c>
    </row>
    <row r="27" spans="1:43" x14ac:dyDescent="0.2">
      <c r="A27" s="14" t="s">
        <v>328</v>
      </c>
      <c r="B27" s="13" t="s">
        <v>327</v>
      </c>
      <c r="C27" s="28">
        <v>0</v>
      </c>
      <c r="D27" s="28">
        <v>0</v>
      </c>
      <c r="E27" s="28"/>
      <c r="F27" s="28">
        <v>9980</v>
      </c>
      <c r="G27" s="28">
        <v>17650</v>
      </c>
      <c r="H27" s="28"/>
      <c r="I27" s="28">
        <v>71200.100000000006</v>
      </c>
      <c r="J27" s="28">
        <v>70600</v>
      </c>
      <c r="K27" s="28"/>
      <c r="L27" s="28">
        <v>106675</v>
      </c>
      <c r="M27" s="28">
        <v>88250</v>
      </c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28"/>
      <c r="AE27" s="28"/>
      <c r="AF27" s="28"/>
      <c r="AG27" s="28"/>
      <c r="AH27" s="28"/>
      <c r="AI27" s="28"/>
      <c r="AJ27" s="28"/>
      <c r="AK27" s="28"/>
      <c r="AL27" s="27">
        <f t="shared" si="6"/>
        <v>187855.1</v>
      </c>
      <c r="AM27" s="27">
        <f t="shared" si="7"/>
        <v>176500</v>
      </c>
      <c r="AN27" s="28"/>
      <c r="AO27" s="20">
        <v>353000</v>
      </c>
      <c r="AP27" s="46"/>
      <c r="AQ27" s="110">
        <f t="shared" si="5"/>
        <v>-158850</v>
      </c>
    </row>
    <row r="28" spans="1:43" x14ac:dyDescent="0.2">
      <c r="A28" s="14" t="s">
        <v>326</v>
      </c>
      <c r="B28" s="13" t="s">
        <v>457</v>
      </c>
      <c r="C28" s="28">
        <v>0</v>
      </c>
      <c r="D28" s="28">
        <v>0</v>
      </c>
      <c r="E28" s="28"/>
      <c r="F28" s="28">
        <v>1482.71</v>
      </c>
      <c r="G28" s="28">
        <v>59000</v>
      </c>
      <c r="H28" s="28"/>
      <c r="I28" s="28">
        <v>386640.39</v>
      </c>
      <c r="J28" s="28">
        <v>236000</v>
      </c>
      <c r="K28" s="28"/>
      <c r="L28" s="28">
        <v>387962.18</v>
      </c>
      <c r="M28" s="28">
        <v>295000</v>
      </c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7">
        <f t="shared" si="6"/>
        <v>776085.28</v>
      </c>
      <c r="AM28" s="27">
        <f t="shared" si="7"/>
        <v>590000</v>
      </c>
      <c r="AN28" s="28"/>
      <c r="AO28" s="20">
        <v>1180000</v>
      </c>
      <c r="AP28" s="46"/>
      <c r="AQ28" s="110">
        <f t="shared" si="5"/>
        <v>-531000</v>
      </c>
    </row>
    <row r="29" spans="1:43" x14ac:dyDescent="0.2">
      <c r="A29" s="14" t="s">
        <v>325</v>
      </c>
      <c r="B29" s="13" t="s">
        <v>324</v>
      </c>
      <c r="C29" s="28">
        <v>36171.89</v>
      </c>
      <c r="D29" s="28">
        <v>47505</v>
      </c>
      <c r="E29" s="28"/>
      <c r="F29" s="28">
        <v>66638.39</v>
      </c>
      <c r="G29" s="28">
        <v>54425</v>
      </c>
      <c r="H29" s="28"/>
      <c r="I29" s="28">
        <v>49840.84</v>
      </c>
      <c r="J29" s="28">
        <v>26540</v>
      </c>
      <c r="K29" s="28"/>
      <c r="L29" s="28">
        <v>18852.46</v>
      </c>
      <c r="M29" s="28">
        <v>33806</v>
      </c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8"/>
      <c r="AK29" s="28"/>
      <c r="AL29" s="27">
        <f t="shared" si="6"/>
        <v>171503.58</v>
      </c>
      <c r="AM29" s="27">
        <f t="shared" si="7"/>
        <v>162276</v>
      </c>
      <c r="AN29" s="28"/>
      <c r="AO29" s="20">
        <v>600000</v>
      </c>
      <c r="AP29" s="46"/>
      <c r="AQ29" s="110">
        <f t="shared" si="5"/>
        <v>-60346</v>
      </c>
    </row>
    <row r="30" spans="1:43" x14ac:dyDescent="0.2">
      <c r="A30" s="14" t="s">
        <v>323</v>
      </c>
      <c r="B30" s="13" t="s">
        <v>322</v>
      </c>
      <c r="C30" s="28">
        <v>3000</v>
      </c>
      <c r="D30" s="28">
        <v>1667</v>
      </c>
      <c r="E30" s="28"/>
      <c r="F30" s="28">
        <v>2250</v>
      </c>
      <c r="G30" s="28">
        <v>1666</v>
      </c>
      <c r="H30" s="28"/>
      <c r="I30" s="28">
        <v>1500</v>
      </c>
      <c r="J30" s="28">
        <v>1667</v>
      </c>
      <c r="K30" s="28"/>
      <c r="L30" s="28">
        <v>900</v>
      </c>
      <c r="M30" s="28">
        <v>1666</v>
      </c>
      <c r="N30" s="28"/>
      <c r="O30" s="28"/>
      <c r="P30" s="28"/>
      <c r="Q30" s="28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8"/>
      <c r="AD30" s="28"/>
      <c r="AE30" s="28"/>
      <c r="AF30" s="28"/>
      <c r="AG30" s="28"/>
      <c r="AH30" s="28"/>
      <c r="AI30" s="28"/>
      <c r="AJ30" s="28"/>
      <c r="AK30" s="28"/>
      <c r="AL30" s="27">
        <f t="shared" si="6"/>
        <v>7650</v>
      </c>
      <c r="AM30" s="27">
        <f t="shared" si="7"/>
        <v>6666</v>
      </c>
      <c r="AN30" s="28"/>
      <c r="AO30" s="20">
        <v>20000</v>
      </c>
      <c r="AP30" s="46"/>
      <c r="AQ30" s="110">
        <f t="shared" si="5"/>
        <v>-3333</v>
      </c>
    </row>
    <row r="31" spans="1:43" x14ac:dyDescent="0.2">
      <c r="A31" s="14" t="s">
        <v>321</v>
      </c>
      <c r="B31" s="13" t="s">
        <v>320</v>
      </c>
      <c r="C31" s="28">
        <v>8470</v>
      </c>
      <c r="D31" s="28">
        <v>4000</v>
      </c>
      <c r="E31" s="28"/>
      <c r="F31" s="28">
        <v>5920</v>
      </c>
      <c r="G31" s="28">
        <v>6000</v>
      </c>
      <c r="H31" s="28"/>
      <c r="I31" s="28">
        <v>10199</v>
      </c>
      <c r="J31" s="28">
        <v>13500</v>
      </c>
      <c r="K31" s="28"/>
      <c r="L31" s="28">
        <v>11840</v>
      </c>
      <c r="M31" s="28">
        <v>10500</v>
      </c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7">
        <f t="shared" si="6"/>
        <v>36429</v>
      </c>
      <c r="AM31" s="27">
        <f t="shared" si="7"/>
        <v>34000</v>
      </c>
      <c r="AN31" s="28"/>
      <c r="AO31" s="20">
        <v>50000</v>
      </c>
      <c r="AP31" s="46"/>
      <c r="AQ31" s="110">
        <f t="shared" si="5"/>
        <v>-24000</v>
      </c>
    </row>
    <row r="32" spans="1:43" x14ac:dyDescent="0.2">
      <c r="A32" s="14" t="s">
        <v>319</v>
      </c>
      <c r="B32" s="13" t="s">
        <v>318</v>
      </c>
      <c r="C32" s="28">
        <v>5369</v>
      </c>
      <c r="D32" s="28">
        <v>3934</v>
      </c>
      <c r="E32" s="28"/>
      <c r="F32" s="28">
        <v>9117</v>
      </c>
      <c r="G32" s="28">
        <v>7609</v>
      </c>
      <c r="H32" s="28"/>
      <c r="I32" s="28">
        <v>11074.7</v>
      </c>
      <c r="J32" s="28">
        <v>10205</v>
      </c>
      <c r="K32" s="28"/>
      <c r="L32" s="28">
        <v>10961</v>
      </c>
      <c r="M32" s="28">
        <v>8530</v>
      </c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8"/>
      <c r="AD32" s="28"/>
      <c r="AE32" s="28"/>
      <c r="AF32" s="28"/>
      <c r="AG32" s="28"/>
      <c r="AH32" s="28"/>
      <c r="AI32" s="28"/>
      <c r="AJ32" s="28"/>
      <c r="AK32" s="28"/>
      <c r="AL32" s="27">
        <f t="shared" si="6"/>
        <v>36521.699999999997</v>
      </c>
      <c r="AM32" s="27">
        <f t="shared" si="7"/>
        <v>30278</v>
      </c>
      <c r="AN32" s="28"/>
      <c r="AO32" s="20">
        <v>55000</v>
      </c>
      <c r="AP32" s="46"/>
      <c r="AQ32" s="110">
        <f t="shared" si="5"/>
        <v>-18735</v>
      </c>
    </row>
    <row r="33" spans="1:43" x14ac:dyDescent="0.2">
      <c r="A33" s="14"/>
      <c r="B33" s="13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  <c r="AF33" s="28"/>
      <c r="AG33" s="28"/>
      <c r="AH33" s="28"/>
      <c r="AI33" s="28"/>
      <c r="AJ33" s="28"/>
      <c r="AK33" s="28"/>
      <c r="AL33" s="28"/>
      <c r="AM33" s="28"/>
      <c r="AN33" s="28"/>
      <c r="AO33" s="20"/>
      <c r="AP33" s="46"/>
      <c r="AQ33" s="110">
        <f t="shared" si="5"/>
        <v>0</v>
      </c>
    </row>
    <row r="34" spans="1:43" x14ac:dyDescent="0.2">
      <c r="A34" s="9" t="s">
        <v>4</v>
      </c>
      <c r="B34" s="8" t="s">
        <v>317</v>
      </c>
      <c r="C34" s="29">
        <f>SUM(C22:C33)</f>
        <v>351078.89</v>
      </c>
      <c r="D34" s="29">
        <f>SUM(D22:D33)</f>
        <v>310406</v>
      </c>
      <c r="E34" s="34"/>
      <c r="F34" s="29">
        <f>SUM(F22:F33)</f>
        <v>603384.1</v>
      </c>
      <c r="G34" s="29">
        <f>SUM(G22:G33)</f>
        <v>565050</v>
      </c>
      <c r="H34" s="34"/>
      <c r="I34" s="29">
        <f>SUM(I22:I33)</f>
        <v>632668.02999999991</v>
      </c>
      <c r="J34" s="29">
        <f>SUM(J22:J33)</f>
        <v>492112</v>
      </c>
      <c r="K34" s="34"/>
      <c r="L34" s="29">
        <f>SUM(L22:L33)</f>
        <v>562187.64</v>
      </c>
      <c r="M34" s="29">
        <f>SUM(M22:M33)</f>
        <v>451102</v>
      </c>
      <c r="N34" s="34"/>
      <c r="O34" s="29">
        <f>SUM(O22:O33)</f>
        <v>0</v>
      </c>
      <c r="P34" s="29">
        <f>SUM(P22:P33)</f>
        <v>0</v>
      </c>
      <c r="Q34" s="34"/>
      <c r="R34" s="29">
        <f>SUM(R22:R33)</f>
        <v>0</v>
      </c>
      <c r="S34" s="29">
        <f>SUM(S22:S33)</f>
        <v>0</v>
      </c>
      <c r="T34" s="34"/>
      <c r="U34" s="29">
        <f>SUM(U22:U33)</f>
        <v>0</v>
      </c>
      <c r="V34" s="29">
        <f>SUM(V22:V33)</f>
        <v>0</v>
      </c>
      <c r="W34" s="34"/>
      <c r="X34" s="29">
        <f>SUM(X22:X33)</f>
        <v>0</v>
      </c>
      <c r="Y34" s="29">
        <f>SUM(Y22:Y33)</f>
        <v>0</v>
      </c>
      <c r="Z34" s="34"/>
      <c r="AA34" s="29">
        <f>SUM(AA22:AA33)</f>
        <v>0</v>
      </c>
      <c r="AB34" s="29">
        <f>SUM(AB22:AB33)</f>
        <v>0</v>
      </c>
      <c r="AC34" s="34"/>
      <c r="AD34" s="29">
        <f>SUM(AD22:AD33)</f>
        <v>0</v>
      </c>
      <c r="AE34" s="29">
        <f>SUM(AE22:AE33)</f>
        <v>0</v>
      </c>
      <c r="AF34" s="34"/>
      <c r="AG34" s="29">
        <f>SUM(AG22:AG33)</f>
        <v>0</v>
      </c>
      <c r="AH34" s="29">
        <f>SUM(AH22:AH33)</f>
        <v>0</v>
      </c>
      <c r="AI34" s="34"/>
      <c r="AJ34" s="29">
        <f>SUM(AJ22:AJ33)</f>
        <v>0</v>
      </c>
      <c r="AK34" s="29">
        <f>SUM(AK22:AK33)</f>
        <v>0</v>
      </c>
      <c r="AL34" s="29">
        <f>SUM(AL22:AL33)</f>
        <v>2149318.66</v>
      </c>
      <c r="AM34" s="29">
        <f>SUM(AM22:AM33)</f>
        <v>1818670</v>
      </c>
      <c r="AN34" s="34"/>
      <c r="AO34" s="29">
        <f>SUM(AO22:AO33)</f>
        <v>3180000</v>
      </c>
      <c r="AP34" s="46"/>
      <c r="AQ34" s="110">
        <f t="shared" si="5"/>
        <v>-943214</v>
      </c>
    </row>
    <row r="35" spans="1:43" x14ac:dyDescent="0.2"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50"/>
      <c r="AH35" s="50"/>
      <c r="AI35" s="50"/>
      <c r="AJ35" s="50"/>
      <c r="AK35" s="50"/>
      <c r="AL35" s="50"/>
      <c r="AM35" s="50"/>
      <c r="AN35" s="50"/>
      <c r="AO35" s="50"/>
      <c r="AP35" s="46"/>
      <c r="AQ35" s="110">
        <f t="shared" si="5"/>
        <v>0</v>
      </c>
    </row>
    <row r="36" spans="1:43" x14ac:dyDescent="0.2">
      <c r="A36" s="16" t="s">
        <v>316</v>
      </c>
      <c r="B36" s="15" t="s">
        <v>315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51"/>
      <c r="AH36" s="51"/>
      <c r="AI36" s="51"/>
      <c r="AJ36" s="51"/>
      <c r="AK36" s="51"/>
      <c r="AL36" s="51"/>
      <c r="AM36" s="51"/>
      <c r="AN36" s="51"/>
      <c r="AO36" s="50"/>
      <c r="AP36" s="46"/>
      <c r="AQ36" s="110">
        <f t="shared" si="5"/>
        <v>0</v>
      </c>
    </row>
    <row r="37" spans="1:43" x14ac:dyDescent="0.2">
      <c r="A37" s="14" t="s">
        <v>314</v>
      </c>
      <c r="B37" s="13" t="s">
        <v>313</v>
      </c>
      <c r="C37" s="28">
        <v>2255</v>
      </c>
      <c r="D37" s="28">
        <v>3467</v>
      </c>
      <c r="E37" s="28"/>
      <c r="F37" s="28">
        <v>18540</v>
      </c>
      <c r="G37" s="28">
        <v>14756</v>
      </c>
      <c r="H37" s="28"/>
      <c r="I37" s="28">
        <v>87160.2</v>
      </c>
      <c r="J37" s="28">
        <v>60354</v>
      </c>
      <c r="K37" s="28"/>
      <c r="L37" s="28">
        <v>133650.20000000001</v>
      </c>
      <c r="M37" s="28">
        <v>72552</v>
      </c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7">
        <f t="shared" ref="AL37:AL42" si="8">+C37+F37+I37+L37+O37+R37+U37+X37+AA37+AD37+AG37+AJ37</f>
        <v>241605.40000000002</v>
      </c>
      <c r="AM37" s="27">
        <f t="shared" ref="AM37:AM42" si="9">+D37+G37+J37+M37+P37+S37+V37+Y37+AB37+AE37+AH37+AK37</f>
        <v>151129</v>
      </c>
      <c r="AN37" s="28"/>
      <c r="AO37" s="20">
        <v>400000</v>
      </c>
      <c r="AP37" s="46"/>
      <c r="AQ37" s="110">
        <f t="shared" si="5"/>
        <v>-132906</v>
      </c>
    </row>
    <row r="38" spans="1:43" x14ac:dyDescent="0.2">
      <c r="A38" s="14" t="s">
        <v>312</v>
      </c>
      <c r="B38" s="13" t="s">
        <v>311</v>
      </c>
      <c r="C38" s="28">
        <v>200</v>
      </c>
      <c r="D38" s="28">
        <v>0</v>
      </c>
      <c r="E38" s="28"/>
      <c r="F38" s="28">
        <v>578.08000000000004</v>
      </c>
      <c r="G38" s="28">
        <v>0</v>
      </c>
      <c r="H38" s="28"/>
      <c r="I38" s="28">
        <v>1050</v>
      </c>
      <c r="J38" s="28">
        <v>0</v>
      </c>
      <c r="K38" s="28"/>
      <c r="L38" s="28">
        <v>1730</v>
      </c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7">
        <f t="shared" si="8"/>
        <v>3558.08</v>
      </c>
      <c r="AM38" s="27">
        <f t="shared" si="9"/>
        <v>0</v>
      </c>
      <c r="AN38" s="28"/>
      <c r="AO38" s="20"/>
      <c r="AP38" s="46"/>
      <c r="AQ38" s="110">
        <f t="shared" si="5"/>
        <v>0</v>
      </c>
    </row>
    <row r="39" spans="1:43" x14ac:dyDescent="0.2">
      <c r="A39" s="14" t="s">
        <v>310</v>
      </c>
      <c r="B39" s="13" t="s">
        <v>309</v>
      </c>
      <c r="C39" s="28">
        <v>3264.02</v>
      </c>
      <c r="D39" s="28">
        <v>5000</v>
      </c>
      <c r="E39" s="28"/>
      <c r="F39" s="28">
        <v>4041.66</v>
      </c>
      <c r="G39" s="28">
        <v>5000</v>
      </c>
      <c r="H39" s="28"/>
      <c r="I39" s="28">
        <v>13666.49</v>
      </c>
      <c r="J39" s="28">
        <v>5000</v>
      </c>
      <c r="K39" s="28"/>
      <c r="L39" s="28">
        <v>22001.89</v>
      </c>
      <c r="M39" s="28">
        <v>5000</v>
      </c>
      <c r="N39" s="28"/>
      <c r="O39" s="28"/>
      <c r="P39" s="28"/>
      <c r="Q39" s="28"/>
      <c r="R39" s="28"/>
      <c r="S39" s="28"/>
      <c r="T39" s="28"/>
      <c r="U39" s="28"/>
      <c r="V39" s="28"/>
      <c r="W39" s="28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7">
        <f t="shared" si="8"/>
        <v>42974.06</v>
      </c>
      <c r="AM39" s="27">
        <f t="shared" si="9"/>
        <v>20000</v>
      </c>
      <c r="AN39" s="28"/>
      <c r="AO39" s="20">
        <v>60000</v>
      </c>
      <c r="AP39" s="46"/>
      <c r="AQ39" s="110">
        <f t="shared" si="5"/>
        <v>-10000</v>
      </c>
    </row>
    <row r="40" spans="1:43" x14ac:dyDescent="0.2">
      <c r="A40" s="14" t="s">
        <v>308</v>
      </c>
      <c r="B40" s="13" t="s">
        <v>307</v>
      </c>
      <c r="C40" s="28">
        <v>2054.9</v>
      </c>
      <c r="D40" s="28">
        <v>1041</v>
      </c>
      <c r="E40" s="28"/>
      <c r="F40" s="28">
        <v>2498.75</v>
      </c>
      <c r="G40" s="28">
        <v>1042</v>
      </c>
      <c r="H40" s="28"/>
      <c r="I40" s="28">
        <v>4819.6000000000004</v>
      </c>
      <c r="J40" s="28">
        <v>1042</v>
      </c>
      <c r="K40" s="28"/>
      <c r="L40" s="28">
        <v>4444.25</v>
      </c>
      <c r="M40" s="28">
        <v>1041</v>
      </c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8"/>
      <c r="Z40" s="28"/>
      <c r="AA40" s="28"/>
      <c r="AB40" s="28"/>
      <c r="AC40" s="28"/>
      <c r="AD40" s="28"/>
      <c r="AE40" s="28"/>
      <c r="AF40" s="28"/>
      <c r="AG40" s="28"/>
      <c r="AH40" s="28"/>
      <c r="AI40" s="28"/>
      <c r="AJ40" s="28"/>
      <c r="AK40" s="28"/>
      <c r="AL40" s="27">
        <f t="shared" si="8"/>
        <v>13817.5</v>
      </c>
      <c r="AM40" s="27">
        <f t="shared" si="9"/>
        <v>4166</v>
      </c>
      <c r="AN40" s="28"/>
      <c r="AO40" s="20">
        <v>12500</v>
      </c>
      <c r="AP40" s="46"/>
      <c r="AQ40" s="110">
        <f t="shared" si="5"/>
        <v>-2083</v>
      </c>
    </row>
    <row r="41" spans="1:43" x14ac:dyDescent="0.2">
      <c r="A41" s="14" t="s">
        <v>306</v>
      </c>
      <c r="B41" s="13" t="s">
        <v>305</v>
      </c>
      <c r="C41" s="28">
        <v>0</v>
      </c>
      <c r="D41" s="28">
        <v>0</v>
      </c>
      <c r="E41" s="28"/>
      <c r="F41" s="28">
        <v>0</v>
      </c>
      <c r="G41" s="28">
        <v>0</v>
      </c>
      <c r="H41" s="28"/>
      <c r="I41" s="28">
        <v>0</v>
      </c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  <c r="U41" s="28"/>
      <c r="V41" s="28"/>
      <c r="W41" s="28"/>
      <c r="X41" s="28"/>
      <c r="Y41" s="28"/>
      <c r="Z41" s="28"/>
      <c r="AA41" s="28"/>
      <c r="AB41" s="28"/>
      <c r="AC41" s="28"/>
      <c r="AD41" s="28"/>
      <c r="AE41" s="28"/>
      <c r="AF41" s="28"/>
      <c r="AG41" s="28"/>
      <c r="AH41" s="28"/>
      <c r="AI41" s="28"/>
      <c r="AJ41" s="28"/>
      <c r="AK41" s="28"/>
      <c r="AL41" s="27">
        <f t="shared" si="8"/>
        <v>0</v>
      </c>
      <c r="AM41" s="27">
        <f t="shared" si="9"/>
        <v>0</v>
      </c>
      <c r="AN41" s="28"/>
      <c r="AO41" s="20"/>
      <c r="AP41" s="46"/>
      <c r="AQ41" s="110">
        <f t="shared" si="5"/>
        <v>0</v>
      </c>
    </row>
    <row r="42" spans="1:43" x14ac:dyDescent="0.2">
      <c r="A42" s="14" t="s">
        <v>304</v>
      </c>
      <c r="B42" s="13" t="s">
        <v>303</v>
      </c>
      <c r="C42" s="28">
        <v>444.75</v>
      </c>
      <c r="D42" s="28">
        <v>375</v>
      </c>
      <c r="E42" s="28"/>
      <c r="F42" s="28">
        <v>242</v>
      </c>
      <c r="G42" s="28">
        <v>375</v>
      </c>
      <c r="H42" s="28"/>
      <c r="I42" s="28">
        <v>270.29000000000002</v>
      </c>
      <c r="J42" s="28">
        <v>375</v>
      </c>
      <c r="K42" s="28"/>
      <c r="L42" s="28">
        <v>114</v>
      </c>
      <c r="M42" s="28">
        <v>375</v>
      </c>
      <c r="N42" s="28"/>
      <c r="O42" s="28"/>
      <c r="P42" s="28"/>
      <c r="Q42" s="28"/>
      <c r="R42" s="28"/>
      <c r="S42" s="28"/>
      <c r="T42" s="28"/>
      <c r="U42" s="28"/>
      <c r="V42" s="28"/>
      <c r="W42" s="28"/>
      <c r="X42" s="28"/>
      <c r="Y42" s="28"/>
      <c r="Z42" s="28"/>
      <c r="AA42" s="28"/>
      <c r="AB42" s="28"/>
      <c r="AC42" s="28"/>
      <c r="AD42" s="28"/>
      <c r="AE42" s="28"/>
      <c r="AF42" s="28"/>
      <c r="AG42" s="28"/>
      <c r="AH42" s="28"/>
      <c r="AI42" s="28"/>
      <c r="AJ42" s="28"/>
      <c r="AK42" s="28"/>
      <c r="AL42" s="27">
        <f t="shared" si="8"/>
        <v>1071.04</v>
      </c>
      <c r="AM42" s="27">
        <f t="shared" si="9"/>
        <v>1500</v>
      </c>
      <c r="AN42" s="28"/>
      <c r="AO42" s="20">
        <v>4500</v>
      </c>
      <c r="AP42" s="46"/>
      <c r="AQ42" s="110">
        <f t="shared" si="5"/>
        <v>-750</v>
      </c>
    </row>
    <row r="43" spans="1:43" x14ac:dyDescent="0.2">
      <c r="A43" s="14"/>
      <c r="B43" s="13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  <c r="U43" s="28"/>
      <c r="V43" s="28"/>
      <c r="W43" s="28"/>
      <c r="X43" s="28"/>
      <c r="Y43" s="28"/>
      <c r="Z43" s="28"/>
      <c r="AA43" s="28"/>
      <c r="AB43" s="28"/>
      <c r="AC43" s="28"/>
      <c r="AD43" s="28"/>
      <c r="AE43" s="28"/>
      <c r="AF43" s="28"/>
      <c r="AG43" s="28"/>
      <c r="AH43" s="28"/>
      <c r="AI43" s="28"/>
      <c r="AJ43" s="28"/>
      <c r="AK43" s="28"/>
      <c r="AL43" s="28"/>
      <c r="AM43" s="28"/>
      <c r="AN43" s="28"/>
      <c r="AO43" s="20"/>
      <c r="AP43" s="46"/>
      <c r="AQ43" s="110">
        <f t="shared" si="5"/>
        <v>0</v>
      </c>
    </row>
    <row r="44" spans="1:43" x14ac:dyDescent="0.2">
      <c r="A44" s="9" t="s">
        <v>4</v>
      </c>
      <c r="B44" s="8" t="s">
        <v>302</v>
      </c>
      <c r="C44" s="29">
        <f>SUM(C37:C43)</f>
        <v>8218.67</v>
      </c>
      <c r="D44" s="29">
        <f>SUM(D37:D43)</f>
        <v>9883</v>
      </c>
      <c r="E44" s="34"/>
      <c r="F44" s="29">
        <f>SUM(F37:F43)</f>
        <v>25900.49</v>
      </c>
      <c r="G44" s="29">
        <f>SUM(G37:G43)</f>
        <v>21173</v>
      </c>
      <c r="H44" s="34"/>
      <c r="I44" s="29">
        <f>SUM(I37:I43)</f>
        <v>106966.58</v>
      </c>
      <c r="J44" s="29">
        <f>SUM(J37:J43)</f>
        <v>66771</v>
      </c>
      <c r="K44" s="34"/>
      <c r="L44" s="29">
        <f>SUM(L37:L43)</f>
        <v>161940.34000000003</v>
      </c>
      <c r="M44" s="29">
        <f>SUM(M37:M43)</f>
        <v>78968</v>
      </c>
      <c r="N44" s="34"/>
      <c r="O44" s="29">
        <f>SUM(O37:O43)</f>
        <v>0</v>
      </c>
      <c r="P44" s="29">
        <f>SUM(P37:P43)</f>
        <v>0</v>
      </c>
      <c r="Q44" s="34"/>
      <c r="R44" s="29">
        <f>SUM(R37:R43)</f>
        <v>0</v>
      </c>
      <c r="S44" s="29">
        <f>SUM(S37:S43)</f>
        <v>0</v>
      </c>
      <c r="T44" s="34"/>
      <c r="U44" s="29">
        <f>SUM(U37:U43)</f>
        <v>0</v>
      </c>
      <c r="V44" s="29">
        <f>SUM(V37:V43)</f>
        <v>0</v>
      </c>
      <c r="W44" s="34"/>
      <c r="X44" s="29">
        <f>SUM(X37:X43)</f>
        <v>0</v>
      </c>
      <c r="Y44" s="29">
        <f>SUM(Y37:Y43)</f>
        <v>0</v>
      </c>
      <c r="Z44" s="34"/>
      <c r="AA44" s="29">
        <f>SUM(AA37:AA43)</f>
        <v>0</v>
      </c>
      <c r="AB44" s="29">
        <f>SUM(AB37:AB43)</f>
        <v>0</v>
      </c>
      <c r="AC44" s="34"/>
      <c r="AD44" s="29">
        <f>SUM(AD37:AD43)</f>
        <v>0</v>
      </c>
      <c r="AE44" s="29">
        <f>SUM(AE37:AE43)</f>
        <v>0</v>
      </c>
      <c r="AF44" s="34"/>
      <c r="AG44" s="29">
        <f>SUM(AG37:AG43)</f>
        <v>0</v>
      </c>
      <c r="AH44" s="29">
        <f>SUM(AH37:AH43)</f>
        <v>0</v>
      </c>
      <c r="AI44" s="34"/>
      <c r="AJ44" s="29">
        <f>SUM(AJ37:AJ43)</f>
        <v>0</v>
      </c>
      <c r="AK44" s="29">
        <f>SUM(AK37:AK43)</f>
        <v>0</v>
      </c>
      <c r="AL44" s="29">
        <f>SUM(AL37:AL43)</f>
        <v>303026.08</v>
      </c>
      <c r="AM44" s="29">
        <f>SUM(AM37:AM43)</f>
        <v>176795</v>
      </c>
      <c r="AN44" s="34"/>
      <c r="AO44" s="29">
        <f>SUM(AO37:AO43)</f>
        <v>477000</v>
      </c>
      <c r="AP44" s="46"/>
      <c r="AQ44" s="110">
        <f t="shared" si="5"/>
        <v>-145739</v>
      </c>
    </row>
    <row r="45" spans="1:43" x14ac:dyDescent="0.2"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50"/>
      <c r="AH45" s="50"/>
      <c r="AI45" s="50"/>
      <c r="AJ45" s="50"/>
      <c r="AK45" s="50"/>
      <c r="AL45" s="50"/>
      <c r="AM45" s="50"/>
      <c r="AN45" s="50"/>
      <c r="AO45" s="50"/>
      <c r="AP45" s="46"/>
      <c r="AQ45" s="110">
        <f t="shared" si="5"/>
        <v>0</v>
      </c>
    </row>
    <row r="46" spans="1:43" x14ac:dyDescent="0.2">
      <c r="A46" s="16" t="s">
        <v>301</v>
      </c>
      <c r="B46" s="15" t="s">
        <v>300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51"/>
      <c r="AH46" s="51"/>
      <c r="AI46" s="51"/>
      <c r="AJ46" s="51"/>
      <c r="AK46" s="51"/>
      <c r="AL46" s="51"/>
      <c r="AM46" s="51"/>
      <c r="AN46" s="51"/>
      <c r="AO46" s="50"/>
      <c r="AP46" s="46"/>
      <c r="AQ46" s="110">
        <f t="shared" si="5"/>
        <v>0</v>
      </c>
    </row>
    <row r="47" spans="1:43" x14ac:dyDescent="0.2">
      <c r="A47" s="14">
        <v>4040980</v>
      </c>
      <c r="B47" s="13" t="s">
        <v>299</v>
      </c>
      <c r="C47" s="28">
        <v>806.25</v>
      </c>
      <c r="D47" s="28">
        <v>0</v>
      </c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  <c r="W47" s="28"/>
      <c r="X47" s="28"/>
      <c r="Y47" s="28"/>
      <c r="Z47" s="28"/>
      <c r="AA47" s="28"/>
      <c r="AB47" s="28"/>
      <c r="AC47" s="28"/>
      <c r="AD47" s="28"/>
      <c r="AE47" s="28"/>
      <c r="AF47" s="28"/>
      <c r="AG47" s="28"/>
      <c r="AH47" s="28"/>
      <c r="AI47" s="28"/>
      <c r="AJ47" s="45"/>
      <c r="AK47" s="28"/>
      <c r="AL47" s="27">
        <f t="shared" ref="AL47:AL55" si="10">+C47+F47+I47+L47+O47+R47+U47+X47+AA47+AD47+AG47+AJ47</f>
        <v>806.25</v>
      </c>
      <c r="AM47" s="27">
        <f t="shared" ref="AM47:AM55" si="11">+D47+G47+J47+M47+P47+S47+V47+Y47+AB47+AE47+AH47+AK47</f>
        <v>0</v>
      </c>
      <c r="AN47" s="28"/>
      <c r="AO47" s="20">
        <v>0</v>
      </c>
      <c r="AP47" s="46"/>
      <c r="AQ47" s="110">
        <f t="shared" si="5"/>
        <v>0</v>
      </c>
    </row>
    <row r="48" spans="1:43" x14ac:dyDescent="0.2">
      <c r="A48" s="14" t="s">
        <v>298</v>
      </c>
      <c r="B48" s="13" t="s">
        <v>297</v>
      </c>
      <c r="C48" s="28">
        <v>0</v>
      </c>
      <c r="D48" s="28">
        <v>0</v>
      </c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  <c r="Z48" s="28"/>
      <c r="AA48" s="28"/>
      <c r="AB48" s="28"/>
      <c r="AC48" s="28"/>
      <c r="AD48" s="28"/>
      <c r="AE48" s="28"/>
      <c r="AF48" s="28"/>
      <c r="AG48" s="28"/>
      <c r="AH48" s="28"/>
      <c r="AI48" s="28"/>
      <c r="AJ48" s="45"/>
      <c r="AK48" s="28"/>
      <c r="AL48" s="27">
        <f t="shared" si="10"/>
        <v>0</v>
      </c>
      <c r="AM48" s="27">
        <f t="shared" si="11"/>
        <v>0</v>
      </c>
      <c r="AN48" s="28"/>
      <c r="AO48" s="20">
        <v>0</v>
      </c>
      <c r="AP48" s="46"/>
      <c r="AQ48" s="110">
        <f t="shared" si="5"/>
        <v>0</v>
      </c>
    </row>
    <row r="49" spans="1:43" x14ac:dyDescent="0.2">
      <c r="A49" s="14" t="s">
        <v>296</v>
      </c>
      <c r="B49" s="13" t="s">
        <v>295</v>
      </c>
      <c r="C49" s="28">
        <v>0</v>
      </c>
      <c r="D49" s="28">
        <v>0</v>
      </c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8"/>
      <c r="S49" s="28"/>
      <c r="T49" s="28"/>
      <c r="U49" s="28"/>
      <c r="V49" s="28"/>
      <c r="W49" s="28"/>
      <c r="X49" s="28"/>
      <c r="Y49" s="28"/>
      <c r="Z49" s="28"/>
      <c r="AA49" s="28"/>
      <c r="AB49" s="28"/>
      <c r="AC49" s="28"/>
      <c r="AD49" s="28"/>
      <c r="AE49" s="28"/>
      <c r="AF49" s="28"/>
      <c r="AG49" s="28"/>
      <c r="AH49" s="28"/>
      <c r="AI49" s="28"/>
      <c r="AJ49" s="45"/>
      <c r="AK49" s="28"/>
      <c r="AL49" s="27">
        <f t="shared" si="10"/>
        <v>0</v>
      </c>
      <c r="AM49" s="27">
        <f t="shared" si="11"/>
        <v>0</v>
      </c>
      <c r="AN49" s="28"/>
      <c r="AO49" s="20">
        <v>0</v>
      </c>
      <c r="AP49" s="46"/>
      <c r="AQ49" s="110">
        <f t="shared" si="5"/>
        <v>0</v>
      </c>
    </row>
    <row r="50" spans="1:43" x14ac:dyDescent="0.2">
      <c r="A50" s="14" t="s">
        <v>294</v>
      </c>
      <c r="B50" s="13" t="s">
        <v>293</v>
      </c>
      <c r="C50" s="28">
        <v>0</v>
      </c>
      <c r="D50" s="28">
        <v>0</v>
      </c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45"/>
      <c r="AK50" s="28"/>
      <c r="AL50" s="27">
        <f t="shared" si="10"/>
        <v>0</v>
      </c>
      <c r="AM50" s="27">
        <f t="shared" si="11"/>
        <v>0</v>
      </c>
      <c r="AN50" s="28"/>
      <c r="AO50" s="20">
        <v>0</v>
      </c>
      <c r="AP50" s="46"/>
      <c r="AQ50" s="110">
        <f t="shared" si="5"/>
        <v>0</v>
      </c>
    </row>
    <row r="51" spans="1:43" x14ac:dyDescent="0.2">
      <c r="A51" s="14">
        <v>4060400</v>
      </c>
      <c r="B51" s="13" t="s">
        <v>292</v>
      </c>
      <c r="C51" s="28">
        <v>0</v>
      </c>
      <c r="D51" s="28">
        <v>0</v>
      </c>
      <c r="E51" s="28"/>
      <c r="F51" s="28"/>
      <c r="G51" s="28"/>
      <c r="H51" s="28"/>
      <c r="I51" s="28">
        <v>1750</v>
      </c>
      <c r="J51" s="28"/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45"/>
      <c r="AK51" s="28"/>
      <c r="AL51" s="27">
        <f t="shared" si="10"/>
        <v>1750</v>
      </c>
      <c r="AM51" s="27">
        <f t="shared" si="11"/>
        <v>0</v>
      </c>
      <c r="AN51" s="28"/>
      <c r="AO51" s="20">
        <v>0</v>
      </c>
      <c r="AP51" s="46"/>
      <c r="AQ51" s="110">
        <f t="shared" si="5"/>
        <v>0</v>
      </c>
    </row>
    <row r="52" spans="1:43" x14ac:dyDescent="0.2">
      <c r="A52" s="14" t="s">
        <v>291</v>
      </c>
      <c r="B52" s="13" t="s">
        <v>290</v>
      </c>
      <c r="C52" s="28">
        <v>0</v>
      </c>
      <c r="D52" s="28">
        <v>0</v>
      </c>
      <c r="E52" s="28"/>
      <c r="F52" s="28"/>
      <c r="G52" s="28"/>
      <c r="H52" s="28"/>
      <c r="I52" s="28"/>
      <c r="J52" s="28"/>
      <c r="K52" s="28"/>
      <c r="L52" s="28">
        <v>53751.5</v>
      </c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45"/>
      <c r="AK52" s="28"/>
      <c r="AL52" s="27">
        <f t="shared" si="10"/>
        <v>53751.5</v>
      </c>
      <c r="AM52" s="27">
        <f t="shared" si="11"/>
        <v>0</v>
      </c>
      <c r="AN52" s="28"/>
      <c r="AO52" s="20">
        <v>0</v>
      </c>
      <c r="AP52" s="46"/>
      <c r="AQ52" s="110">
        <f t="shared" si="5"/>
        <v>0</v>
      </c>
    </row>
    <row r="53" spans="1:43" x14ac:dyDescent="0.2">
      <c r="A53" s="14">
        <v>4060800</v>
      </c>
      <c r="B53" s="13" t="s">
        <v>289</v>
      </c>
      <c r="C53" s="28">
        <v>0</v>
      </c>
      <c r="D53" s="28">
        <v>0</v>
      </c>
      <c r="E53" s="28"/>
      <c r="F53" s="28"/>
      <c r="G53" s="28"/>
      <c r="H53" s="28"/>
      <c r="I53" s="28"/>
      <c r="J53" s="28"/>
      <c r="K53" s="28"/>
      <c r="L53" s="28">
        <v>1365</v>
      </c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/>
      <c r="X53" s="28"/>
      <c r="Y53" s="28"/>
      <c r="Z53" s="28"/>
      <c r="AA53" s="28"/>
      <c r="AB53" s="28"/>
      <c r="AC53" s="28"/>
      <c r="AD53" s="28"/>
      <c r="AE53" s="28"/>
      <c r="AF53" s="28"/>
      <c r="AG53" s="28"/>
      <c r="AH53" s="28"/>
      <c r="AI53" s="28"/>
      <c r="AJ53" s="45"/>
      <c r="AK53" s="28"/>
      <c r="AL53" s="27">
        <f t="shared" si="10"/>
        <v>1365</v>
      </c>
      <c r="AM53" s="27">
        <f t="shared" si="11"/>
        <v>0</v>
      </c>
      <c r="AN53" s="28"/>
      <c r="AO53" s="20">
        <v>0</v>
      </c>
      <c r="AP53" s="46"/>
      <c r="AQ53" s="110">
        <f t="shared" si="5"/>
        <v>0</v>
      </c>
    </row>
    <row r="54" spans="1:43" x14ac:dyDescent="0.2">
      <c r="A54" s="14">
        <v>4060900</v>
      </c>
      <c r="B54" s="13" t="s">
        <v>288</v>
      </c>
      <c r="C54" s="28">
        <v>0</v>
      </c>
      <c r="D54" s="28">
        <v>0</v>
      </c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  <c r="R54" s="28"/>
      <c r="S54" s="28"/>
      <c r="T54" s="28"/>
      <c r="U54" s="28"/>
      <c r="V54" s="28"/>
      <c r="W54" s="28"/>
      <c r="X54" s="28"/>
      <c r="Y54" s="28"/>
      <c r="Z54" s="28"/>
      <c r="AA54" s="28"/>
      <c r="AB54" s="28"/>
      <c r="AC54" s="28"/>
      <c r="AD54" s="28"/>
      <c r="AE54" s="28"/>
      <c r="AF54" s="28"/>
      <c r="AG54" s="28"/>
      <c r="AH54" s="28"/>
      <c r="AI54" s="28"/>
      <c r="AJ54" s="45"/>
      <c r="AK54" s="28"/>
      <c r="AL54" s="27">
        <f t="shared" si="10"/>
        <v>0</v>
      </c>
      <c r="AM54" s="27">
        <f t="shared" si="11"/>
        <v>0</v>
      </c>
      <c r="AN54" s="28"/>
      <c r="AO54" s="20">
        <v>0</v>
      </c>
      <c r="AP54" s="46"/>
      <c r="AQ54" s="110">
        <f t="shared" si="5"/>
        <v>0</v>
      </c>
    </row>
    <row r="55" spans="1:43" x14ac:dyDescent="0.2">
      <c r="A55" s="14" t="s">
        <v>287</v>
      </c>
      <c r="B55" s="13" t="s">
        <v>286</v>
      </c>
      <c r="C55" s="28">
        <v>33098.949999999997</v>
      </c>
      <c r="D55" s="28">
        <v>0</v>
      </c>
      <c r="E55" s="28"/>
      <c r="F55" s="28">
        <v>6503.5</v>
      </c>
      <c r="G55" s="28"/>
      <c r="H55" s="28"/>
      <c r="I55" s="28">
        <v>2821</v>
      </c>
      <c r="J55" s="28"/>
      <c r="K55" s="28"/>
      <c r="L55" s="28">
        <v>108058</v>
      </c>
      <c r="M55" s="28"/>
      <c r="N55" s="28"/>
      <c r="O55" s="28"/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  <c r="AA55" s="28"/>
      <c r="AB55" s="28"/>
      <c r="AC55" s="28"/>
      <c r="AD55" s="28"/>
      <c r="AE55" s="28"/>
      <c r="AF55" s="28"/>
      <c r="AG55" s="28"/>
      <c r="AH55" s="28"/>
      <c r="AI55" s="28"/>
      <c r="AJ55" s="45"/>
      <c r="AK55" s="28"/>
      <c r="AL55" s="27">
        <f t="shared" si="10"/>
        <v>150481.45000000001</v>
      </c>
      <c r="AM55" s="27">
        <f t="shared" si="11"/>
        <v>0</v>
      </c>
      <c r="AN55" s="28"/>
      <c r="AO55" s="20">
        <v>0</v>
      </c>
      <c r="AP55" s="46"/>
      <c r="AQ55" s="110">
        <f t="shared" si="5"/>
        <v>0</v>
      </c>
    </row>
    <row r="56" spans="1:43" x14ac:dyDescent="0.2">
      <c r="A56" s="12"/>
      <c r="B56" s="11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46"/>
      <c r="AQ56" s="110">
        <f t="shared" si="5"/>
        <v>0</v>
      </c>
    </row>
    <row r="57" spans="1:43" x14ac:dyDescent="0.2">
      <c r="A57" s="9" t="s">
        <v>4</v>
      </c>
      <c r="B57" s="8" t="s">
        <v>285</v>
      </c>
      <c r="C57" s="29">
        <f>SUM(C47:C56)</f>
        <v>33905.199999999997</v>
      </c>
      <c r="D57" s="29">
        <f>SUM(D47:D56)</f>
        <v>0</v>
      </c>
      <c r="E57" s="34"/>
      <c r="F57" s="29">
        <f>SUM(F47:F56)</f>
        <v>6503.5</v>
      </c>
      <c r="G57" s="29">
        <f>SUM(G47:G56)</f>
        <v>0</v>
      </c>
      <c r="H57" s="34"/>
      <c r="I57" s="29">
        <f>SUM(I47:I56)</f>
        <v>4571</v>
      </c>
      <c r="J57" s="29">
        <f>SUM(J47:J56)</f>
        <v>0</v>
      </c>
      <c r="K57" s="34"/>
      <c r="L57" s="29">
        <f>SUM(L47:L56)</f>
        <v>163174.5</v>
      </c>
      <c r="M57" s="29">
        <f>SUM(M47:M56)</f>
        <v>0</v>
      </c>
      <c r="N57" s="34"/>
      <c r="O57" s="29">
        <f>SUM(O47:O56)</f>
        <v>0</v>
      </c>
      <c r="P57" s="29">
        <f>SUM(P47:P56)</f>
        <v>0</v>
      </c>
      <c r="Q57" s="34"/>
      <c r="R57" s="29">
        <f>SUM(R47:R56)</f>
        <v>0</v>
      </c>
      <c r="S57" s="29">
        <f>SUM(S47:S56)</f>
        <v>0</v>
      </c>
      <c r="T57" s="34"/>
      <c r="U57" s="29">
        <f>SUM(U47:U56)</f>
        <v>0</v>
      </c>
      <c r="V57" s="29">
        <f>SUM(V47:V56)</f>
        <v>0</v>
      </c>
      <c r="W57" s="34"/>
      <c r="X57" s="29">
        <f>SUM(X47:X56)</f>
        <v>0</v>
      </c>
      <c r="Y57" s="29">
        <f>SUM(Y47:Y56)</f>
        <v>0</v>
      </c>
      <c r="Z57" s="34"/>
      <c r="AA57" s="43">
        <f>SUM(AA47:AA56)</f>
        <v>0</v>
      </c>
      <c r="AB57" s="29">
        <f>SUM(AB47:AB56)</f>
        <v>0</v>
      </c>
      <c r="AC57" s="34"/>
      <c r="AD57" s="41">
        <f>SUM(AD47:AD56)</f>
        <v>0</v>
      </c>
      <c r="AE57" s="29">
        <f>SUM(AE47:AE56)</f>
        <v>0</v>
      </c>
      <c r="AF57" s="34"/>
      <c r="AG57" s="41">
        <f>SUM(AG47:AG56)</f>
        <v>0</v>
      </c>
      <c r="AH57" s="29">
        <f>SUM(AH47:AH56)</f>
        <v>0</v>
      </c>
      <c r="AI57" s="34"/>
      <c r="AJ57" s="41">
        <f>SUM(AJ47:AJ56)</f>
        <v>0</v>
      </c>
      <c r="AK57" s="29">
        <f>SUM(AK47:AK56)</f>
        <v>0</v>
      </c>
      <c r="AL57" s="41">
        <f>SUM(AL47:AL56)</f>
        <v>208154.2</v>
      </c>
      <c r="AM57" s="29">
        <f>SUM(AM47:AM56)</f>
        <v>0</v>
      </c>
      <c r="AN57" s="34"/>
      <c r="AO57" s="29">
        <f>SUM(AO47:AO56)</f>
        <v>0</v>
      </c>
      <c r="AP57" s="46"/>
      <c r="AQ57" s="110">
        <f t="shared" si="5"/>
        <v>0</v>
      </c>
    </row>
    <row r="58" spans="1:43" x14ac:dyDescent="0.2"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50"/>
      <c r="AH58" s="50"/>
      <c r="AI58" s="50"/>
      <c r="AJ58" s="50"/>
      <c r="AK58" s="50"/>
      <c r="AL58" s="50"/>
      <c r="AM58" s="50"/>
      <c r="AN58" s="50"/>
      <c r="AO58" s="50"/>
      <c r="AP58" s="46"/>
      <c r="AQ58" s="110">
        <f t="shared" si="5"/>
        <v>0</v>
      </c>
    </row>
    <row r="59" spans="1:43" x14ac:dyDescent="0.2">
      <c r="A59" s="16" t="s">
        <v>284</v>
      </c>
      <c r="B59" s="15" t="s">
        <v>283</v>
      </c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51"/>
      <c r="AH59" s="51"/>
      <c r="AI59" s="51"/>
      <c r="AJ59" s="51"/>
      <c r="AK59" s="51"/>
      <c r="AL59" s="51"/>
      <c r="AM59" s="51"/>
      <c r="AN59" s="51"/>
      <c r="AO59" s="50"/>
      <c r="AP59" s="46"/>
      <c r="AQ59" s="110">
        <f t="shared" si="5"/>
        <v>0</v>
      </c>
    </row>
    <row r="60" spans="1:43" x14ac:dyDescent="0.2">
      <c r="A60" s="14" t="s">
        <v>282</v>
      </c>
      <c r="B60" s="13" t="s">
        <v>224</v>
      </c>
      <c r="C60" s="28">
        <v>0</v>
      </c>
      <c r="D60" s="28">
        <v>0</v>
      </c>
      <c r="E60" s="28"/>
      <c r="F60" s="28">
        <v>25</v>
      </c>
      <c r="G60" s="28"/>
      <c r="H60" s="28"/>
      <c r="I60" s="28">
        <v>100</v>
      </c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8"/>
      <c r="AB60" s="28"/>
      <c r="AC60" s="28"/>
      <c r="AD60" s="28"/>
      <c r="AE60" s="28"/>
      <c r="AF60" s="28"/>
      <c r="AG60" s="28"/>
      <c r="AH60" s="28"/>
      <c r="AI60" s="28"/>
      <c r="AJ60" s="28"/>
      <c r="AK60" s="28"/>
      <c r="AL60" s="27">
        <f t="shared" ref="AL60:AL66" si="12">+C60+F60+I60+L60+O60+R60+U60+X60+AA60+AD60+AG60+AJ60</f>
        <v>125</v>
      </c>
      <c r="AM60" s="27">
        <f t="shared" ref="AM60:AM66" si="13">+D60+G60+J60+M60+P60+S60+V60+Y60+AB60+AE60+AH60+AK60</f>
        <v>0</v>
      </c>
      <c r="AN60" s="28"/>
      <c r="AO60" s="20">
        <v>0</v>
      </c>
      <c r="AP60" s="46"/>
      <c r="AQ60" s="110">
        <f t="shared" si="5"/>
        <v>0</v>
      </c>
    </row>
    <row r="61" spans="1:43" x14ac:dyDescent="0.2">
      <c r="A61" s="14">
        <v>4040525</v>
      </c>
      <c r="B61" s="13" t="s">
        <v>385</v>
      </c>
      <c r="C61" s="28">
        <v>0</v>
      </c>
      <c r="D61" s="28">
        <v>0</v>
      </c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  <c r="U61" s="28"/>
      <c r="V61" s="28"/>
      <c r="W61" s="28"/>
      <c r="X61" s="28"/>
      <c r="Y61" s="28"/>
      <c r="Z61" s="28"/>
      <c r="AA61" s="28"/>
      <c r="AB61" s="28"/>
      <c r="AC61" s="28"/>
      <c r="AD61" s="28"/>
      <c r="AE61" s="28"/>
      <c r="AF61" s="28"/>
      <c r="AG61" s="28"/>
      <c r="AH61" s="28"/>
      <c r="AI61" s="28"/>
      <c r="AJ61" s="28"/>
      <c r="AK61" s="28"/>
      <c r="AL61" s="27">
        <f t="shared" si="12"/>
        <v>0</v>
      </c>
      <c r="AM61" s="27">
        <f t="shared" si="13"/>
        <v>0</v>
      </c>
      <c r="AN61" s="28"/>
      <c r="AO61" s="20">
        <v>0</v>
      </c>
      <c r="AP61" s="46"/>
      <c r="AQ61" s="110">
        <f t="shared" si="5"/>
        <v>0</v>
      </c>
    </row>
    <row r="62" spans="1:43" x14ac:dyDescent="0.2">
      <c r="A62" s="14" t="s">
        <v>281</v>
      </c>
      <c r="B62" s="13" t="s">
        <v>280</v>
      </c>
      <c r="C62" s="28">
        <v>750</v>
      </c>
      <c r="D62" s="28">
        <v>0</v>
      </c>
      <c r="E62" s="28"/>
      <c r="F62" s="28">
        <v>1000</v>
      </c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44"/>
      <c r="AB62" s="28"/>
      <c r="AC62" s="28"/>
      <c r="AD62" s="45"/>
      <c r="AE62" s="28"/>
      <c r="AF62" s="28"/>
      <c r="AG62" s="45"/>
      <c r="AH62" s="28"/>
      <c r="AI62" s="28"/>
      <c r="AJ62" s="45"/>
      <c r="AK62" s="28"/>
      <c r="AL62" s="27">
        <f t="shared" si="12"/>
        <v>1750</v>
      </c>
      <c r="AM62" s="27">
        <f t="shared" si="13"/>
        <v>0</v>
      </c>
      <c r="AN62" s="28"/>
      <c r="AO62" s="20">
        <v>0</v>
      </c>
      <c r="AP62" s="46"/>
      <c r="AQ62" s="110">
        <f t="shared" si="5"/>
        <v>0</v>
      </c>
    </row>
    <row r="63" spans="1:43" x14ac:dyDescent="0.2">
      <c r="A63" s="14" t="s">
        <v>279</v>
      </c>
      <c r="B63" s="13" t="s">
        <v>278</v>
      </c>
      <c r="C63" s="28">
        <v>0</v>
      </c>
      <c r="D63" s="28">
        <v>83</v>
      </c>
      <c r="E63" s="28"/>
      <c r="F63" s="28">
        <v>25</v>
      </c>
      <c r="G63" s="28">
        <v>84</v>
      </c>
      <c r="H63" s="28"/>
      <c r="I63" s="28">
        <v>75</v>
      </c>
      <c r="J63" s="28">
        <v>83</v>
      </c>
      <c r="K63" s="28"/>
      <c r="L63" s="28">
        <v>200</v>
      </c>
      <c r="M63" s="28">
        <v>84</v>
      </c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7">
        <f t="shared" si="12"/>
        <v>300</v>
      </c>
      <c r="AM63" s="27">
        <f t="shared" si="13"/>
        <v>334</v>
      </c>
      <c r="AN63" s="28"/>
      <c r="AO63" s="20">
        <v>1000</v>
      </c>
      <c r="AP63" s="46"/>
      <c r="AQ63" s="110">
        <f t="shared" si="5"/>
        <v>-167</v>
      </c>
    </row>
    <row r="64" spans="1:43" x14ac:dyDescent="0.2">
      <c r="A64" s="14" t="s">
        <v>277</v>
      </c>
      <c r="B64" s="13" t="s">
        <v>395</v>
      </c>
      <c r="C64" s="28">
        <v>2625</v>
      </c>
      <c r="D64" s="28">
        <v>0</v>
      </c>
      <c r="E64" s="28"/>
      <c r="F64" s="28"/>
      <c r="G64" s="28">
        <v>5000</v>
      </c>
      <c r="H64" s="28"/>
      <c r="I64" s="28"/>
      <c r="J64" s="28"/>
      <c r="K64" s="28"/>
      <c r="L64" s="28">
        <v>14587.5</v>
      </c>
      <c r="M64" s="28">
        <v>5000</v>
      </c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28"/>
      <c r="Z64" s="28"/>
      <c r="AA64" s="28"/>
      <c r="AB64" s="28"/>
      <c r="AC64" s="28"/>
      <c r="AD64" s="28"/>
      <c r="AE64" s="28"/>
      <c r="AF64" s="28"/>
      <c r="AG64" s="28"/>
      <c r="AH64" s="28"/>
      <c r="AI64" s="28"/>
      <c r="AJ64" s="28"/>
      <c r="AK64" s="28"/>
      <c r="AL64" s="27">
        <f t="shared" si="12"/>
        <v>17212.5</v>
      </c>
      <c r="AM64" s="27">
        <f t="shared" si="13"/>
        <v>10000</v>
      </c>
      <c r="AN64" s="28"/>
      <c r="AO64" s="20">
        <v>15000</v>
      </c>
      <c r="AP64" s="46"/>
      <c r="AQ64" s="110">
        <f t="shared" si="5"/>
        <v>-5000</v>
      </c>
    </row>
    <row r="65" spans="1:43" x14ac:dyDescent="0.2">
      <c r="A65" s="14">
        <v>4040750</v>
      </c>
      <c r="B65" s="13" t="s">
        <v>396</v>
      </c>
      <c r="C65" s="28">
        <v>1780.2</v>
      </c>
      <c r="D65" s="28">
        <v>0</v>
      </c>
      <c r="E65" s="28"/>
      <c r="F65" s="28"/>
      <c r="G65" s="28">
        <v>0</v>
      </c>
      <c r="H65" s="28"/>
      <c r="I65" s="28"/>
      <c r="J65" s="28"/>
      <c r="K65" s="28"/>
      <c r="L65" s="28">
        <v>945.6</v>
      </c>
      <c r="M65" s="28">
        <v>0</v>
      </c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28"/>
      <c r="AL65" s="27">
        <f t="shared" ref="AL65" si="14">+C65+F65+I65+L65+O65+R65+U65+X65+AA65+AD65+AG65+AJ65</f>
        <v>2725.8</v>
      </c>
      <c r="AM65" s="27">
        <f t="shared" ref="AM65" si="15">+D65+G65+J65+M65+P65+S65+V65+Y65+AB65+AE65+AH65+AK65</f>
        <v>0</v>
      </c>
      <c r="AN65" s="28"/>
      <c r="AO65" s="20">
        <v>0</v>
      </c>
      <c r="AP65" s="46"/>
      <c r="AQ65" s="110">
        <f t="shared" si="5"/>
        <v>0</v>
      </c>
    </row>
    <row r="66" spans="1:43" x14ac:dyDescent="0.2">
      <c r="A66" s="14" t="s">
        <v>276</v>
      </c>
      <c r="B66" s="13" t="s">
        <v>275</v>
      </c>
      <c r="C66" s="28">
        <v>0</v>
      </c>
      <c r="D66" s="28">
        <v>0</v>
      </c>
      <c r="E66" s="28"/>
      <c r="F66" s="28"/>
      <c r="G66" s="28">
        <v>0</v>
      </c>
      <c r="H66" s="28"/>
      <c r="I66" s="28">
        <v>46538.65</v>
      </c>
      <c r="J66" s="28">
        <v>35000</v>
      </c>
      <c r="K66" s="28"/>
      <c r="L66" s="28">
        <v>0</v>
      </c>
      <c r="M66" s="28">
        <v>0</v>
      </c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28"/>
      <c r="AL66" s="27">
        <f t="shared" si="12"/>
        <v>46538.65</v>
      </c>
      <c r="AM66" s="27">
        <f t="shared" si="13"/>
        <v>35000</v>
      </c>
      <c r="AN66" s="28"/>
      <c r="AO66" s="20">
        <v>70000</v>
      </c>
      <c r="AP66" s="46"/>
      <c r="AQ66" s="110">
        <f t="shared" si="5"/>
        <v>-35000</v>
      </c>
    </row>
    <row r="67" spans="1:43" x14ac:dyDescent="0.2">
      <c r="A67" s="14"/>
      <c r="B67" s="13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  <c r="Y67" s="28"/>
      <c r="Z67" s="28"/>
      <c r="AA67" s="28"/>
      <c r="AB67" s="28"/>
      <c r="AC67" s="28"/>
      <c r="AD67" s="28"/>
      <c r="AE67" s="28"/>
      <c r="AF67" s="28"/>
      <c r="AG67" s="28"/>
      <c r="AH67" s="28"/>
      <c r="AI67" s="28"/>
      <c r="AJ67" s="28"/>
      <c r="AK67" s="28"/>
      <c r="AL67" s="28"/>
      <c r="AM67" s="28"/>
      <c r="AN67" s="28"/>
      <c r="AO67" s="20"/>
      <c r="AP67" s="46"/>
      <c r="AQ67" s="110">
        <f t="shared" si="5"/>
        <v>0</v>
      </c>
    </row>
    <row r="68" spans="1:43" x14ac:dyDescent="0.2">
      <c r="A68" s="9" t="s">
        <v>4</v>
      </c>
      <c r="B68" s="8" t="s">
        <v>274</v>
      </c>
      <c r="C68" s="29">
        <f>SUM(C60:C67)</f>
        <v>5155.2</v>
      </c>
      <c r="D68" s="29">
        <f>SUM(D60:D67)</f>
        <v>83</v>
      </c>
      <c r="E68" s="34"/>
      <c r="F68" s="29">
        <f>SUM(F60:F67)</f>
        <v>1050</v>
      </c>
      <c r="G68" s="29">
        <f>SUM(G60:G67)</f>
        <v>5084</v>
      </c>
      <c r="H68" s="34"/>
      <c r="I68" s="29">
        <f>SUM(I60:I67)</f>
        <v>46713.65</v>
      </c>
      <c r="J68" s="29">
        <f>SUM(J60:J67)</f>
        <v>35083</v>
      </c>
      <c r="K68" s="34"/>
      <c r="L68" s="29">
        <f>SUM(L60:L67)</f>
        <v>15733.1</v>
      </c>
      <c r="M68" s="29">
        <f>SUM(M60:M67)</f>
        <v>5084</v>
      </c>
      <c r="N68" s="34"/>
      <c r="O68" s="29">
        <f>SUM(O60:O67)</f>
        <v>0</v>
      </c>
      <c r="P68" s="29">
        <f>SUM(P60:P67)</f>
        <v>0</v>
      </c>
      <c r="Q68" s="34"/>
      <c r="R68" s="29">
        <f>SUM(R60:R67)</f>
        <v>0</v>
      </c>
      <c r="S68" s="29">
        <f>SUM(S60:S67)</f>
        <v>0</v>
      </c>
      <c r="T68" s="34"/>
      <c r="U68" s="29">
        <f>SUM(U60:U67)</f>
        <v>0</v>
      </c>
      <c r="V68" s="29">
        <f>SUM(V60:V67)</f>
        <v>0</v>
      </c>
      <c r="W68" s="34"/>
      <c r="X68" s="29">
        <f>SUM(X60:X67)</f>
        <v>0</v>
      </c>
      <c r="Y68" s="29">
        <f>SUM(Y60:Y67)</f>
        <v>0</v>
      </c>
      <c r="Z68" s="34"/>
      <c r="AA68" s="29">
        <f>SUM(AA60:AA67)</f>
        <v>0</v>
      </c>
      <c r="AB68" s="29">
        <f>SUM(AB60:AB67)</f>
        <v>0</v>
      </c>
      <c r="AC68" s="34"/>
      <c r="AD68" s="29">
        <f>SUM(AD60:AD67)</f>
        <v>0</v>
      </c>
      <c r="AE68" s="29">
        <f>SUM(AE60:AE67)</f>
        <v>0</v>
      </c>
      <c r="AF68" s="34"/>
      <c r="AG68" s="29">
        <f>SUM(AG60:AG67)</f>
        <v>0</v>
      </c>
      <c r="AH68" s="29">
        <f>SUM(AH60:AH67)</f>
        <v>0</v>
      </c>
      <c r="AI68" s="34"/>
      <c r="AJ68" s="29">
        <f>SUM(AJ60:AJ67)</f>
        <v>0</v>
      </c>
      <c r="AK68" s="29">
        <f>SUM(AK60:AK67)</f>
        <v>0</v>
      </c>
      <c r="AL68" s="29">
        <f>SUM(AL60:AL67)</f>
        <v>68651.95</v>
      </c>
      <c r="AM68" s="29">
        <f>SUM(AM60:AM67)</f>
        <v>45334</v>
      </c>
      <c r="AN68" s="34"/>
      <c r="AO68" s="29">
        <f>SUM(AO60:AO67)</f>
        <v>86000</v>
      </c>
      <c r="AP68" s="46"/>
      <c r="AQ68" s="110">
        <f t="shared" si="5"/>
        <v>-40167</v>
      </c>
    </row>
    <row r="69" spans="1:43" x14ac:dyDescent="0.2"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50"/>
      <c r="AH69" s="50"/>
      <c r="AI69" s="50"/>
      <c r="AJ69" s="50"/>
      <c r="AK69" s="50"/>
      <c r="AL69" s="50"/>
      <c r="AM69" s="50"/>
      <c r="AN69" s="50"/>
      <c r="AO69" s="50"/>
      <c r="AP69" s="46"/>
      <c r="AQ69" s="110">
        <f t="shared" si="5"/>
        <v>0</v>
      </c>
    </row>
    <row r="70" spans="1:43" x14ac:dyDescent="0.2">
      <c r="A70" s="16" t="s">
        <v>273</v>
      </c>
      <c r="B70" s="15" t="s">
        <v>272</v>
      </c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51"/>
      <c r="AH70" s="51"/>
      <c r="AI70" s="51"/>
      <c r="AJ70" s="51"/>
      <c r="AK70" s="51"/>
      <c r="AL70" s="51"/>
      <c r="AM70" s="51"/>
      <c r="AN70" s="51"/>
      <c r="AO70" s="50"/>
      <c r="AP70" s="46"/>
      <c r="AQ70" s="110">
        <f t="shared" si="5"/>
        <v>0</v>
      </c>
    </row>
    <row r="71" spans="1:43" x14ac:dyDescent="0.2">
      <c r="A71" s="14" t="s">
        <v>271</v>
      </c>
      <c r="B71" s="13" t="s">
        <v>270</v>
      </c>
      <c r="C71" s="28">
        <v>0</v>
      </c>
      <c r="D71" s="28">
        <v>0</v>
      </c>
      <c r="E71" s="28"/>
      <c r="F71" s="28">
        <v>1000</v>
      </c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8"/>
      <c r="S71" s="28"/>
      <c r="T71" s="28"/>
      <c r="U71" s="28"/>
      <c r="V71" s="28"/>
      <c r="W71" s="28"/>
      <c r="X71" s="28"/>
      <c r="Y71" s="28"/>
      <c r="Z71" s="28"/>
      <c r="AA71" s="28"/>
      <c r="AB71" s="28"/>
      <c r="AC71" s="28"/>
      <c r="AD71" s="28"/>
      <c r="AE71" s="28"/>
      <c r="AF71" s="28"/>
      <c r="AG71" s="28"/>
      <c r="AH71" s="28"/>
      <c r="AI71" s="28"/>
      <c r="AJ71" s="28"/>
      <c r="AK71" s="28"/>
      <c r="AL71" s="27">
        <f t="shared" ref="AL71:AL73" si="16">+C71+F71+I71+L71+O71+R71+U71+X71+AA71+AD71+AG71+AJ71</f>
        <v>1000</v>
      </c>
      <c r="AM71" s="27">
        <f t="shared" ref="AM71:AM73" si="17">+D71+G71+J71+M71+P71+S71+V71+Y71+AB71+AE71+AH71+AK71</f>
        <v>0</v>
      </c>
      <c r="AN71" s="28"/>
      <c r="AO71" s="20">
        <v>0</v>
      </c>
      <c r="AP71" s="46"/>
      <c r="AQ71" s="110">
        <f t="shared" si="5"/>
        <v>0</v>
      </c>
    </row>
    <row r="72" spans="1:43" x14ac:dyDescent="0.2">
      <c r="A72" s="14" t="s">
        <v>269</v>
      </c>
      <c r="B72" s="13" t="s">
        <v>268</v>
      </c>
      <c r="C72" s="28">
        <v>660</v>
      </c>
      <c r="D72" s="28">
        <v>0</v>
      </c>
      <c r="E72" s="28"/>
      <c r="F72" s="28">
        <v>1093</v>
      </c>
      <c r="G72" s="28"/>
      <c r="H72" s="28"/>
      <c r="I72" s="28">
        <v>1615</v>
      </c>
      <c r="J72" s="28"/>
      <c r="K72" s="28"/>
      <c r="L72" s="28">
        <v>1405</v>
      </c>
      <c r="M72" s="28"/>
      <c r="N72" s="28"/>
      <c r="O72" s="28"/>
      <c r="P72" s="28"/>
      <c r="Q72" s="28"/>
      <c r="R72" s="28"/>
      <c r="S72" s="28"/>
      <c r="T72" s="28"/>
      <c r="U72" s="28"/>
      <c r="V72" s="28"/>
      <c r="W72" s="28"/>
      <c r="X72" s="28"/>
      <c r="Y72" s="28"/>
      <c r="Z72" s="28"/>
      <c r="AA72" s="28"/>
      <c r="AB72" s="28"/>
      <c r="AC72" s="28"/>
      <c r="AD72" s="28"/>
      <c r="AE72" s="28"/>
      <c r="AF72" s="28"/>
      <c r="AG72" s="28"/>
      <c r="AH72" s="28"/>
      <c r="AI72" s="28"/>
      <c r="AJ72" s="28"/>
      <c r="AK72" s="28"/>
      <c r="AL72" s="27">
        <f t="shared" si="16"/>
        <v>4773</v>
      </c>
      <c r="AM72" s="27">
        <f t="shared" si="17"/>
        <v>0</v>
      </c>
      <c r="AN72" s="28"/>
      <c r="AO72" s="20">
        <v>0</v>
      </c>
      <c r="AP72" s="46"/>
      <c r="AQ72" s="110">
        <f t="shared" si="5"/>
        <v>0</v>
      </c>
    </row>
    <row r="73" spans="1:43" x14ac:dyDescent="0.2">
      <c r="A73" s="14" t="s">
        <v>267</v>
      </c>
      <c r="B73" s="13" t="s">
        <v>266</v>
      </c>
      <c r="C73" s="28">
        <v>0</v>
      </c>
      <c r="D73" s="28">
        <v>0</v>
      </c>
      <c r="E73" s="28"/>
      <c r="F73" s="28">
        <v>0</v>
      </c>
      <c r="G73" s="28"/>
      <c r="H73" s="28"/>
      <c r="I73" s="28">
        <v>2205</v>
      </c>
      <c r="J73" s="28"/>
      <c r="K73" s="28"/>
      <c r="L73" s="28">
        <v>100</v>
      </c>
      <c r="M73" s="28"/>
      <c r="N73" s="28"/>
      <c r="O73" s="28"/>
      <c r="P73" s="28"/>
      <c r="Q73" s="28"/>
      <c r="R73" s="28"/>
      <c r="S73" s="28"/>
      <c r="T73" s="28"/>
      <c r="U73" s="28"/>
      <c r="V73" s="28"/>
      <c r="W73" s="28"/>
      <c r="X73" s="28"/>
      <c r="Y73" s="28"/>
      <c r="Z73" s="28"/>
      <c r="AA73" s="28"/>
      <c r="AB73" s="28"/>
      <c r="AC73" s="28"/>
      <c r="AD73" s="28"/>
      <c r="AE73" s="28"/>
      <c r="AF73" s="28"/>
      <c r="AG73" s="28"/>
      <c r="AH73" s="28"/>
      <c r="AI73" s="28"/>
      <c r="AJ73" s="28"/>
      <c r="AK73" s="28"/>
      <c r="AL73" s="27">
        <f t="shared" si="16"/>
        <v>2305</v>
      </c>
      <c r="AM73" s="27">
        <f t="shared" si="17"/>
        <v>0</v>
      </c>
      <c r="AN73" s="28"/>
      <c r="AO73" s="20">
        <v>0</v>
      </c>
      <c r="AP73" s="46"/>
      <c r="AQ73" s="110">
        <f t="shared" si="5"/>
        <v>0</v>
      </c>
    </row>
    <row r="74" spans="1:43" x14ac:dyDescent="0.2">
      <c r="A74" s="14"/>
      <c r="B74" s="13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8"/>
      <c r="S74" s="28"/>
      <c r="T74" s="28"/>
      <c r="U74" s="28"/>
      <c r="V74" s="28"/>
      <c r="W74" s="28"/>
      <c r="X74" s="28"/>
      <c r="Y74" s="28"/>
      <c r="Z74" s="28"/>
      <c r="AA74" s="28"/>
      <c r="AB74" s="28"/>
      <c r="AC74" s="28"/>
      <c r="AD74" s="28"/>
      <c r="AE74" s="28"/>
      <c r="AF74" s="28"/>
      <c r="AG74" s="28"/>
      <c r="AH74" s="28"/>
      <c r="AI74" s="28"/>
      <c r="AJ74" s="28"/>
      <c r="AK74" s="28"/>
      <c r="AL74" s="28"/>
      <c r="AM74" s="28"/>
      <c r="AN74" s="28"/>
      <c r="AO74" s="20"/>
      <c r="AP74" s="46"/>
      <c r="AQ74" s="110">
        <f t="shared" si="5"/>
        <v>0</v>
      </c>
    </row>
    <row r="75" spans="1:43" x14ac:dyDescent="0.2">
      <c r="A75" s="9" t="s">
        <v>4</v>
      </c>
      <c r="B75" s="8" t="s">
        <v>265</v>
      </c>
      <c r="C75" s="29">
        <f>SUM(C71:C74)</f>
        <v>660</v>
      </c>
      <c r="D75" s="29">
        <f>SUM(D71:D74)</f>
        <v>0</v>
      </c>
      <c r="E75" s="34"/>
      <c r="F75" s="29">
        <f>SUM(F71:F74)</f>
        <v>2093</v>
      </c>
      <c r="G75" s="29">
        <f>SUM(G71:G74)</f>
        <v>0</v>
      </c>
      <c r="H75" s="34"/>
      <c r="I75" s="29">
        <f>SUM(I71:I74)</f>
        <v>3820</v>
      </c>
      <c r="J75" s="29">
        <f>SUM(J71:J74)</f>
        <v>0</v>
      </c>
      <c r="K75" s="34"/>
      <c r="L75" s="29">
        <f>SUM(L71:L74)</f>
        <v>1505</v>
      </c>
      <c r="M75" s="29">
        <f>SUM(M71:M74)</f>
        <v>0</v>
      </c>
      <c r="N75" s="34"/>
      <c r="O75" s="29">
        <f>SUM(O71:O74)</f>
        <v>0</v>
      </c>
      <c r="P75" s="29">
        <f>SUM(P71:P74)</f>
        <v>0</v>
      </c>
      <c r="Q75" s="34"/>
      <c r="R75" s="29">
        <f>SUM(R71:R74)</f>
        <v>0</v>
      </c>
      <c r="S75" s="29">
        <f>SUM(S71:S74)</f>
        <v>0</v>
      </c>
      <c r="T75" s="34"/>
      <c r="U75" s="29">
        <f>SUM(U71:U74)</f>
        <v>0</v>
      </c>
      <c r="V75" s="29">
        <f>SUM(V71:V74)</f>
        <v>0</v>
      </c>
      <c r="W75" s="34"/>
      <c r="X75" s="29">
        <f>SUM(X71:X74)</f>
        <v>0</v>
      </c>
      <c r="Y75" s="29">
        <f>SUM(Y71:Y74)</f>
        <v>0</v>
      </c>
      <c r="Z75" s="34"/>
      <c r="AA75" s="43">
        <f>SUM(AA71:AA74)</f>
        <v>0</v>
      </c>
      <c r="AB75" s="29">
        <f>SUM(AB71:AB74)</f>
        <v>0</v>
      </c>
      <c r="AC75" s="34"/>
      <c r="AD75" s="41">
        <f>SUM(AD71:AD74)</f>
        <v>0</v>
      </c>
      <c r="AE75" s="29">
        <f>SUM(AE71:AE74)</f>
        <v>0</v>
      </c>
      <c r="AF75" s="34"/>
      <c r="AG75" s="41">
        <f>SUM(AG71:AG74)</f>
        <v>0</v>
      </c>
      <c r="AH75" s="29">
        <f>SUM(AH71:AH74)</f>
        <v>0</v>
      </c>
      <c r="AI75" s="34"/>
      <c r="AJ75" s="41">
        <f>SUM(AJ71:AJ74)</f>
        <v>0</v>
      </c>
      <c r="AK75" s="29">
        <f>SUM(AK71:AK74)</f>
        <v>0</v>
      </c>
      <c r="AL75" s="41">
        <f>SUM(AL71:AL74)</f>
        <v>8078</v>
      </c>
      <c r="AM75" s="29">
        <f>SUM(AM71:AM74)</f>
        <v>0</v>
      </c>
      <c r="AN75" s="34"/>
      <c r="AO75" s="29">
        <f>SUM(AO71:AO74)</f>
        <v>0</v>
      </c>
      <c r="AP75" s="46"/>
      <c r="AQ75" s="110">
        <f t="shared" si="5"/>
        <v>0</v>
      </c>
    </row>
    <row r="76" spans="1:43" x14ac:dyDescent="0.2"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50"/>
      <c r="AH76" s="50"/>
      <c r="AI76" s="50"/>
      <c r="AJ76" s="50"/>
      <c r="AK76" s="50"/>
      <c r="AL76" s="50"/>
      <c r="AM76" s="50"/>
      <c r="AN76" s="50"/>
      <c r="AO76" s="50"/>
      <c r="AP76" s="46"/>
      <c r="AQ76" s="110">
        <f t="shared" si="5"/>
        <v>0</v>
      </c>
    </row>
    <row r="77" spans="1:43" x14ac:dyDescent="0.2">
      <c r="A77" s="16" t="s">
        <v>264</v>
      </c>
      <c r="B77" s="15" t="s">
        <v>260</v>
      </c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51"/>
      <c r="AH77" s="51"/>
      <c r="AI77" s="51"/>
      <c r="AJ77" s="51"/>
      <c r="AK77" s="51"/>
      <c r="AL77" s="51"/>
      <c r="AM77" s="51"/>
      <c r="AN77" s="51"/>
      <c r="AO77" s="50"/>
      <c r="AP77" s="46"/>
      <c r="AQ77" s="110">
        <f t="shared" si="5"/>
        <v>0</v>
      </c>
    </row>
    <row r="78" spans="1:43" x14ac:dyDescent="0.2">
      <c r="A78" s="14" t="s">
        <v>263</v>
      </c>
      <c r="B78" s="13" t="s">
        <v>262</v>
      </c>
      <c r="C78" s="28">
        <v>36165.440000000002</v>
      </c>
      <c r="D78" s="28">
        <v>20834</v>
      </c>
      <c r="E78" s="28"/>
      <c r="F78" s="28">
        <v>37138.01</v>
      </c>
      <c r="G78" s="28">
        <v>20833</v>
      </c>
      <c r="H78" s="28"/>
      <c r="I78" s="28">
        <v>37367.5</v>
      </c>
      <c r="J78" s="28">
        <v>20833</v>
      </c>
      <c r="K78" s="28"/>
      <c r="L78" s="28">
        <v>34080.199999999997</v>
      </c>
      <c r="M78" s="28">
        <v>20833</v>
      </c>
      <c r="N78" s="28"/>
      <c r="O78" s="28"/>
      <c r="P78" s="28"/>
      <c r="Q78" s="28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8"/>
      <c r="AD78" s="28"/>
      <c r="AE78" s="28"/>
      <c r="AF78" s="28"/>
      <c r="AG78" s="28"/>
      <c r="AH78" s="28"/>
      <c r="AI78" s="28"/>
      <c r="AJ78" s="28"/>
      <c r="AK78" s="28"/>
      <c r="AL78" s="27">
        <f t="shared" ref="AL78:AL79" si="18">+C78+F78+I78+L78+O78+R78+U78+X78+AA78+AD78+AG78+AJ78</f>
        <v>144751.15000000002</v>
      </c>
      <c r="AM78" s="27">
        <f t="shared" ref="AM78:AM79" si="19">+D78+G78+J78+M78+P78+S78+V78+Y78+AB78+AE78+AH78+AK78</f>
        <v>83333</v>
      </c>
      <c r="AN78" s="28"/>
      <c r="AO78" s="20">
        <v>250000</v>
      </c>
      <c r="AP78" s="46"/>
      <c r="AQ78" s="110">
        <f t="shared" ref="AQ78:AQ142" si="20">+D78+G78-AM78</f>
        <v>-41666</v>
      </c>
    </row>
    <row r="79" spans="1:43" x14ac:dyDescent="0.2">
      <c r="A79" s="14" t="s">
        <v>261</v>
      </c>
      <c r="B79" s="13" t="s">
        <v>260</v>
      </c>
      <c r="C79" s="28">
        <v>3795.79</v>
      </c>
      <c r="D79" s="28">
        <v>0</v>
      </c>
      <c r="E79" s="28"/>
      <c r="F79" s="28">
        <v>3918.17</v>
      </c>
      <c r="G79" s="28">
        <v>0</v>
      </c>
      <c r="H79" s="28"/>
      <c r="I79" s="28">
        <v>7936.85</v>
      </c>
      <c r="J79" s="28"/>
      <c r="K79" s="28"/>
      <c r="L79" s="28">
        <v>2050.91</v>
      </c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  <c r="Y79" s="28"/>
      <c r="Z79" s="28"/>
      <c r="AA79" s="44"/>
      <c r="AB79" s="28"/>
      <c r="AC79" s="28"/>
      <c r="AD79" s="45"/>
      <c r="AE79" s="28"/>
      <c r="AF79" s="28"/>
      <c r="AG79" s="45"/>
      <c r="AH79" s="28"/>
      <c r="AI79" s="28"/>
      <c r="AJ79" s="45"/>
      <c r="AK79" s="28"/>
      <c r="AL79" s="27">
        <f t="shared" si="18"/>
        <v>17701.72</v>
      </c>
      <c r="AM79" s="27">
        <f t="shared" si="19"/>
        <v>0</v>
      </c>
      <c r="AN79" s="28"/>
      <c r="AO79" s="20">
        <v>0</v>
      </c>
      <c r="AP79" s="46"/>
      <c r="AQ79" s="110">
        <f t="shared" si="20"/>
        <v>0</v>
      </c>
    </row>
    <row r="80" spans="1:43" x14ac:dyDescent="0.2">
      <c r="A80" s="14"/>
      <c r="B80" s="13"/>
      <c r="C80" s="28"/>
      <c r="D80" s="28"/>
      <c r="E80" s="28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8"/>
      <c r="AD80" s="28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20">
        <v>0</v>
      </c>
      <c r="AP80" s="46"/>
      <c r="AQ80" s="110">
        <f t="shared" si="20"/>
        <v>0</v>
      </c>
    </row>
    <row r="81" spans="1:43" x14ac:dyDescent="0.2">
      <c r="A81" s="9" t="s">
        <v>4</v>
      </c>
      <c r="B81" s="8" t="s">
        <v>259</v>
      </c>
      <c r="C81" s="29">
        <f>SUM(C78:C80)</f>
        <v>39961.230000000003</v>
      </c>
      <c r="D81" s="29">
        <f>SUM(D78:D80)</f>
        <v>20834</v>
      </c>
      <c r="E81" s="34"/>
      <c r="F81" s="29">
        <f>SUM(F78:F80)</f>
        <v>41056.18</v>
      </c>
      <c r="G81" s="29">
        <f>SUM(G78:G80)</f>
        <v>20833</v>
      </c>
      <c r="H81" s="34"/>
      <c r="I81" s="29">
        <f>SUM(I78:I80)</f>
        <v>45304.35</v>
      </c>
      <c r="J81" s="29">
        <f>SUM(J78:J80)</f>
        <v>20833</v>
      </c>
      <c r="K81" s="34"/>
      <c r="L81" s="29">
        <f>SUM(L78:L80)</f>
        <v>36131.11</v>
      </c>
      <c r="M81" s="29">
        <f>SUM(M78:M80)</f>
        <v>20833</v>
      </c>
      <c r="N81" s="34"/>
      <c r="O81" s="29">
        <f>SUM(O78:O80)</f>
        <v>0</v>
      </c>
      <c r="P81" s="29">
        <f>SUM(P78:P80)</f>
        <v>0</v>
      </c>
      <c r="Q81" s="34"/>
      <c r="R81" s="29">
        <f>SUM(R78:R80)</f>
        <v>0</v>
      </c>
      <c r="S81" s="29">
        <f>SUM(S78:S80)</f>
        <v>0</v>
      </c>
      <c r="T81" s="34"/>
      <c r="U81" s="29">
        <f>SUM(U78:U80)</f>
        <v>0</v>
      </c>
      <c r="V81" s="29">
        <f>SUM(V78:V80)</f>
        <v>0</v>
      </c>
      <c r="W81" s="34"/>
      <c r="X81" s="29">
        <f>SUM(X78:X80)</f>
        <v>0</v>
      </c>
      <c r="Y81" s="29">
        <f>SUM(Y78:Y80)</f>
        <v>0</v>
      </c>
      <c r="Z81" s="34"/>
      <c r="AA81" s="29">
        <f>SUM(AA78:AA80)</f>
        <v>0</v>
      </c>
      <c r="AB81" s="29">
        <f>SUM(AB78:AB80)</f>
        <v>0</v>
      </c>
      <c r="AC81" s="34"/>
      <c r="AD81" s="29">
        <f>SUM(AD78:AD80)</f>
        <v>0</v>
      </c>
      <c r="AE81" s="29">
        <f>SUM(AE78:AE80)</f>
        <v>0</v>
      </c>
      <c r="AF81" s="34"/>
      <c r="AG81" s="29">
        <f>SUM(AG78:AG80)</f>
        <v>0</v>
      </c>
      <c r="AH81" s="29">
        <f>SUM(AH78:AH80)</f>
        <v>0</v>
      </c>
      <c r="AI81" s="34"/>
      <c r="AJ81" s="29">
        <f>SUM(AJ78:AJ80)</f>
        <v>0</v>
      </c>
      <c r="AK81" s="29">
        <f>SUM(AK78:AK80)</f>
        <v>0</v>
      </c>
      <c r="AL81" s="29">
        <f>SUM(AL78:AL80)</f>
        <v>162452.87000000002</v>
      </c>
      <c r="AM81" s="29">
        <f>SUM(AM78:AM80)</f>
        <v>83333</v>
      </c>
      <c r="AN81" s="34"/>
      <c r="AO81" s="29">
        <f>SUM(AO78:AO80)</f>
        <v>250000</v>
      </c>
      <c r="AP81" s="46"/>
      <c r="AQ81" s="110">
        <f t="shared" si="20"/>
        <v>-41666</v>
      </c>
    </row>
    <row r="82" spans="1:43" x14ac:dyDescent="0.2"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50"/>
      <c r="AH82" s="50"/>
      <c r="AI82" s="50"/>
      <c r="AJ82" s="50"/>
      <c r="AK82" s="50"/>
      <c r="AL82" s="50"/>
      <c r="AM82" s="50"/>
      <c r="AN82" s="50"/>
      <c r="AO82" s="50"/>
      <c r="AP82" s="46"/>
      <c r="AQ82" s="110">
        <f t="shared" si="20"/>
        <v>0</v>
      </c>
    </row>
    <row r="83" spans="1:43" x14ac:dyDescent="0.2">
      <c r="A83" s="16" t="s">
        <v>258</v>
      </c>
      <c r="B83" s="15" t="s">
        <v>257</v>
      </c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51"/>
      <c r="AH83" s="51"/>
      <c r="AI83" s="51"/>
      <c r="AJ83" s="51"/>
      <c r="AK83" s="51"/>
      <c r="AL83" s="51"/>
      <c r="AM83" s="51"/>
      <c r="AN83" s="51"/>
      <c r="AO83" s="50"/>
      <c r="AP83" s="46"/>
      <c r="AQ83" s="110">
        <f t="shared" si="20"/>
        <v>0</v>
      </c>
    </row>
    <row r="84" spans="1:43" x14ac:dyDescent="0.2">
      <c r="A84" s="14" t="s">
        <v>256</v>
      </c>
      <c r="B84" s="13" t="s">
        <v>255</v>
      </c>
      <c r="C84" s="28">
        <v>1426.05</v>
      </c>
      <c r="D84" s="28">
        <v>0</v>
      </c>
      <c r="E84" s="28"/>
      <c r="F84" s="28">
        <v>-7412.66</v>
      </c>
      <c r="G84" s="28">
        <v>0</v>
      </c>
      <c r="H84" s="28"/>
      <c r="I84" s="28">
        <v>25550.43</v>
      </c>
      <c r="J84" s="28"/>
      <c r="K84" s="28"/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7">
        <f t="shared" ref="AL84:AL85" si="21">+C84+F84+I84+L84+O84+R84+U84+X84+AA84+AD84+AG84+AJ84</f>
        <v>19563.82</v>
      </c>
      <c r="AM84" s="27">
        <f t="shared" ref="AM84:AM85" si="22">+D84+G84+J84+M84+P84+S84+V84+Y84+AB84+AE84+AH84+AK84</f>
        <v>0</v>
      </c>
      <c r="AN84" s="28"/>
      <c r="AO84" s="20">
        <v>0</v>
      </c>
      <c r="AP84" s="46"/>
      <c r="AQ84" s="110">
        <f t="shared" si="20"/>
        <v>0</v>
      </c>
    </row>
    <row r="85" spans="1:43" x14ac:dyDescent="0.2">
      <c r="A85" s="14">
        <v>4050400</v>
      </c>
      <c r="B85" s="13" t="s">
        <v>254</v>
      </c>
      <c r="C85" s="28">
        <v>0</v>
      </c>
      <c r="D85" s="28">
        <v>0</v>
      </c>
      <c r="E85" s="28"/>
      <c r="F85" s="28"/>
      <c r="G85" s="28">
        <v>0</v>
      </c>
      <c r="H85" s="28"/>
      <c r="I85" s="28">
        <v>-27539.119999999999</v>
      </c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7">
        <f t="shared" si="21"/>
        <v>-27539.119999999999</v>
      </c>
      <c r="AM85" s="27">
        <f t="shared" si="22"/>
        <v>0</v>
      </c>
      <c r="AN85" s="28"/>
      <c r="AO85" s="20">
        <v>0</v>
      </c>
      <c r="AP85" s="46"/>
      <c r="AQ85" s="110">
        <f t="shared" si="20"/>
        <v>0</v>
      </c>
    </row>
    <row r="86" spans="1:43" x14ac:dyDescent="0.2">
      <c r="A86" s="14"/>
      <c r="B86" s="13"/>
      <c r="C86" s="28"/>
      <c r="D86" s="28"/>
      <c r="E86" s="28"/>
      <c r="F86" s="28"/>
      <c r="G86" s="28"/>
      <c r="H86" s="28"/>
      <c r="I86" s="28"/>
      <c r="J86" s="28"/>
      <c r="K86" s="28"/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0"/>
      <c r="AP86" s="46"/>
      <c r="AQ86" s="110">
        <f t="shared" si="20"/>
        <v>0</v>
      </c>
    </row>
    <row r="87" spans="1:43" x14ac:dyDescent="0.2">
      <c r="A87" s="9" t="s">
        <v>4</v>
      </c>
      <c r="B87" s="8" t="s">
        <v>253</v>
      </c>
      <c r="C87" s="29">
        <f>SUM(C84:C86)</f>
        <v>1426.05</v>
      </c>
      <c r="D87" s="29">
        <f>SUM(D84:D86)</f>
        <v>0</v>
      </c>
      <c r="E87" s="34"/>
      <c r="F87" s="29">
        <f>SUM(F84:F86)</f>
        <v>-7412.66</v>
      </c>
      <c r="G87" s="29">
        <f>SUM(G84:G86)</f>
        <v>0</v>
      </c>
      <c r="H87" s="34"/>
      <c r="I87" s="29">
        <f>SUM(I84:I86)</f>
        <v>-1988.6899999999987</v>
      </c>
      <c r="J87" s="29">
        <f>SUM(J84:J86)</f>
        <v>0</v>
      </c>
      <c r="K87" s="34"/>
      <c r="L87" s="29">
        <f>SUM(L84:L86)</f>
        <v>0</v>
      </c>
      <c r="M87" s="29">
        <f>SUM(M84:M86)</f>
        <v>0</v>
      </c>
      <c r="N87" s="34"/>
      <c r="O87" s="29">
        <f>SUM(O84:O86)</f>
        <v>0</v>
      </c>
      <c r="P87" s="29">
        <f>SUM(P84:P86)</f>
        <v>0</v>
      </c>
      <c r="Q87" s="34"/>
      <c r="R87" s="29">
        <f>SUM(R84:R86)</f>
        <v>0</v>
      </c>
      <c r="S87" s="29">
        <f>SUM(S84:S86)</f>
        <v>0</v>
      </c>
      <c r="T87" s="34"/>
      <c r="U87" s="29">
        <f>SUM(U84:U86)</f>
        <v>0</v>
      </c>
      <c r="V87" s="29">
        <f>SUM(V84:V86)</f>
        <v>0</v>
      </c>
      <c r="W87" s="34"/>
      <c r="X87" s="29">
        <f>SUM(X84:X86)</f>
        <v>0</v>
      </c>
      <c r="Y87" s="29">
        <f>SUM(Y84:Y86)</f>
        <v>0</v>
      </c>
      <c r="Z87" s="34"/>
      <c r="AA87" s="43">
        <f>SUM(AA84:AA86)</f>
        <v>0</v>
      </c>
      <c r="AB87" s="29">
        <f>SUM(AB84:AB86)</f>
        <v>0</v>
      </c>
      <c r="AC87" s="34"/>
      <c r="AD87" s="41">
        <f>SUM(AD84:AD86)</f>
        <v>0</v>
      </c>
      <c r="AE87" s="29">
        <f>SUM(AE84:AE86)</f>
        <v>0</v>
      </c>
      <c r="AF87" s="34"/>
      <c r="AG87" s="41">
        <f>SUM(AG84:AG86)</f>
        <v>0</v>
      </c>
      <c r="AH87" s="29">
        <f>SUM(AH84:AH86)</f>
        <v>0</v>
      </c>
      <c r="AI87" s="34"/>
      <c r="AJ87" s="41">
        <f>SUM(AJ84:AJ86)</f>
        <v>0</v>
      </c>
      <c r="AK87" s="29">
        <f>SUM(AK84:AK86)</f>
        <v>0</v>
      </c>
      <c r="AL87" s="41">
        <f>SUM(AL84:AL86)</f>
        <v>-7975.2999999999993</v>
      </c>
      <c r="AM87" s="29">
        <f>SUM(AM84:AM86)</f>
        <v>0</v>
      </c>
      <c r="AN87" s="34"/>
      <c r="AO87" s="29">
        <f>SUM(AO84:AO86)</f>
        <v>0</v>
      </c>
      <c r="AP87" s="46"/>
      <c r="AQ87" s="110">
        <f t="shared" si="20"/>
        <v>0</v>
      </c>
    </row>
    <row r="88" spans="1:43" x14ac:dyDescent="0.2"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50"/>
      <c r="AH88" s="50"/>
      <c r="AI88" s="50"/>
      <c r="AJ88" s="50"/>
      <c r="AK88" s="50"/>
      <c r="AL88" s="50"/>
      <c r="AM88" s="50"/>
      <c r="AN88" s="50"/>
      <c r="AO88" s="50"/>
      <c r="AP88" s="46"/>
      <c r="AQ88" s="110">
        <f t="shared" si="20"/>
        <v>0</v>
      </c>
    </row>
    <row r="89" spans="1:43" x14ac:dyDescent="0.2">
      <c r="A89" s="16" t="s">
        <v>252</v>
      </c>
      <c r="B89" s="15" t="s">
        <v>251</v>
      </c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51"/>
      <c r="AH89" s="51"/>
      <c r="AI89" s="51"/>
      <c r="AJ89" s="51"/>
      <c r="AK89" s="51"/>
      <c r="AL89" s="51"/>
      <c r="AM89" s="51"/>
      <c r="AN89" s="51"/>
      <c r="AO89" s="50"/>
      <c r="AP89" s="46"/>
      <c r="AQ89" s="110">
        <f t="shared" si="20"/>
        <v>0</v>
      </c>
    </row>
    <row r="90" spans="1:43" x14ac:dyDescent="0.2">
      <c r="A90" s="14" t="s">
        <v>250</v>
      </c>
      <c r="B90" s="13" t="s">
        <v>249</v>
      </c>
      <c r="C90" s="45">
        <v>2250</v>
      </c>
      <c r="D90" s="45">
        <v>125</v>
      </c>
      <c r="E90" s="45"/>
      <c r="F90" s="45"/>
      <c r="G90" s="45">
        <v>125</v>
      </c>
      <c r="H90" s="45"/>
      <c r="I90" s="45"/>
      <c r="J90" s="45">
        <v>125</v>
      </c>
      <c r="K90" s="45"/>
      <c r="L90" s="45">
        <v>500</v>
      </c>
      <c r="M90" s="45">
        <v>125</v>
      </c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  <c r="AB90" s="45"/>
      <c r="AC90" s="45"/>
      <c r="AD90" s="45"/>
      <c r="AE90" s="45"/>
      <c r="AF90" s="45"/>
      <c r="AG90" s="45"/>
      <c r="AH90" s="45"/>
      <c r="AI90" s="45"/>
      <c r="AJ90" s="45"/>
      <c r="AK90" s="45"/>
      <c r="AL90" s="27">
        <f t="shared" ref="AL90:AL93" si="23">+C90+F90+I90+L90+O90+R90+U90+X90+AA90+AD90+AG90+AJ90</f>
        <v>2750</v>
      </c>
      <c r="AM90" s="27">
        <f t="shared" ref="AM90:AM93" si="24">+D90+G90+J90+M90+P90+S90+V90+Y90+AB90+AE90+AH90+AK90</f>
        <v>500</v>
      </c>
      <c r="AN90" s="28"/>
      <c r="AO90" s="20">
        <v>1500</v>
      </c>
      <c r="AP90" s="46"/>
      <c r="AQ90" s="110">
        <f t="shared" si="20"/>
        <v>-250</v>
      </c>
    </row>
    <row r="91" spans="1:43" x14ac:dyDescent="0.2">
      <c r="A91" s="14" t="s">
        <v>248</v>
      </c>
      <c r="B91" s="13" t="s">
        <v>9</v>
      </c>
      <c r="C91" s="45">
        <v>1324.01</v>
      </c>
      <c r="D91" s="45">
        <v>1042</v>
      </c>
      <c r="E91" s="45"/>
      <c r="F91" s="45">
        <v>3731.39</v>
      </c>
      <c r="G91" s="45">
        <v>1041</v>
      </c>
      <c r="H91" s="45"/>
      <c r="I91" s="45">
        <v>6140.68</v>
      </c>
      <c r="J91" s="45">
        <v>1042</v>
      </c>
      <c r="K91" s="45"/>
      <c r="L91" s="45">
        <v>3654.51</v>
      </c>
      <c r="M91" s="45">
        <v>1042</v>
      </c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  <c r="AB91" s="45"/>
      <c r="AC91" s="45"/>
      <c r="AD91" s="45"/>
      <c r="AE91" s="45"/>
      <c r="AF91" s="45"/>
      <c r="AG91" s="45"/>
      <c r="AH91" s="45"/>
      <c r="AI91" s="45"/>
      <c r="AJ91" s="45"/>
      <c r="AK91" s="45"/>
      <c r="AL91" s="27">
        <f t="shared" si="23"/>
        <v>14850.59</v>
      </c>
      <c r="AM91" s="27">
        <f t="shared" si="24"/>
        <v>4167</v>
      </c>
      <c r="AN91" s="28"/>
      <c r="AO91" s="20">
        <v>12500</v>
      </c>
      <c r="AP91" s="46"/>
      <c r="AQ91" s="110">
        <f t="shared" si="20"/>
        <v>-2084</v>
      </c>
    </row>
    <row r="92" spans="1:43" x14ac:dyDescent="0.2">
      <c r="A92" s="14" t="s">
        <v>247</v>
      </c>
      <c r="B92" s="13" t="s">
        <v>246</v>
      </c>
      <c r="C92" s="45">
        <v>0</v>
      </c>
      <c r="D92" s="45">
        <v>0</v>
      </c>
      <c r="E92" s="45"/>
      <c r="F92" s="45"/>
      <c r="G92" s="45">
        <v>0</v>
      </c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  <c r="AB92" s="45"/>
      <c r="AC92" s="45"/>
      <c r="AD92" s="45"/>
      <c r="AE92" s="45"/>
      <c r="AF92" s="45"/>
      <c r="AG92" s="45"/>
      <c r="AH92" s="45"/>
      <c r="AI92" s="45"/>
      <c r="AJ92" s="45"/>
      <c r="AK92" s="45"/>
      <c r="AL92" s="27">
        <f t="shared" si="23"/>
        <v>0</v>
      </c>
      <c r="AM92" s="27">
        <f t="shared" si="24"/>
        <v>0</v>
      </c>
      <c r="AN92" s="28"/>
      <c r="AO92" s="20">
        <v>0</v>
      </c>
      <c r="AP92" s="46"/>
      <c r="AQ92" s="110">
        <f t="shared" si="20"/>
        <v>0</v>
      </c>
    </row>
    <row r="93" spans="1:43" x14ac:dyDescent="0.2">
      <c r="A93" s="14" t="s">
        <v>245</v>
      </c>
      <c r="B93" s="13" t="s">
        <v>244</v>
      </c>
      <c r="C93" s="45">
        <v>0</v>
      </c>
      <c r="D93" s="45">
        <v>0</v>
      </c>
      <c r="E93" s="45"/>
      <c r="F93" s="45"/>
      <c r="G93" s="45">
        <v>0</v>
      </c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27">
        <f t="shared" si="23"/>
        <v>0</v>
      </c>
      <c r="AM93" s="27">
        <f t="shared" si="24"/>
        <v>0</v>
      </c>
      <c r="AN93" s="28"/>
      <c r="AO93" s="20">
        <v>50000</v>
      </c>
      <c r="AP93" s="46"/>
      <c r="AQ93" s="110">
        <f t="shared" si="20"/>
        <v>0</v>
      </c>
    </row>
    <row r="94" spans="1:43" x14ac:dyDescent="0.2">
      <c r="A94" s="12"/>
      <c r="B94" s="11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46"/>
      <c r="AQ94" s="110">
        <f t="shared" si="20"/>
        <v>0</v>
      </c>
    </row>
    <row r="95" spans="1:43" x14ac:dyDescent="0.2">
      <c r="A95" s="9" t="s">
        <v>4</v>
      </c>
      <c r="B95" s="8" t="s">
        <v>243</v>
      </c>
      <c r="C95" s="29">
        <f>SUM(C90:C94)</f>
        <v>3574.01</v>
      </c>
      <c r="D95" s="29">
        <f>SUM(D90:D94)</f>
        <v>1167</v>
      </c>
      <c r="E95" s="34"/>
      <c r="F95" s="29">
        <f>SUM(F90:F94)</f>
        <v>3731.39</v>
      </c>
      <c r="G95" s="29">
        <f>SUM(G90:G94)</f>
        <v>1166</v>
      </c>
      <c r="H95" s="34"/>
      <c r="I95" s="29">
        <f>SUM(I90:I94)</f>
        <v>6140.68</v>
      </c>
      <c r="J95" s="29">
        <f>SUM(J90:J94)</f>
        <v>1167</v>
      </c>
      <c r="K95" s="34"/>
      <c r="L95" s="29">
        <f>SUM(L90:L94)</f>
        <v>4154.51</v>
      </c>
      <c r="M95" s="29">
        <f>SUM(M90:M94)</f>
        <v>1167</v>
      </c>
      <c r="N95" s="34"/>
      <c r="O95" s="29">
        <f>SUM(O90:O94)</f>
        <v>0</v>
      </c>
      <c r="P95" s="29">
        <f>SUM(P90:P94)</f>
        <v>0</v>
      </c>
      <c r="Q95" s="34"/>
      <c r="R95" s="29">
        <f>SUM(R90:R94)</f>
        <v>0</v>
      </c>
      <c r="S95" s="29">
        <f>SUM(S90:S94)</f>
        <v>0</v>
      </c>
      <c r="T95" s="34"/>
      <c r="U95" s="29">
        <f>SUM(U90:U94)</f>
        <v>0</v>
      </c>
      <c r="V95" s="29">
        <f>SUM(V90:V94)</f>
        <v>0</v>
      </c>
      <c r="W95" s="34"/>
      <c r="X95" s="29">
        <f>SUM(X90:X94)</f>
        <v>0</v>
      </c>
      <c r="Y95" s="29">
        <f>SUM(Y90:Y94)</f>
        <v>0</v>
      </c>
      <c r="Z95" s="34"/>
      <c r="AA95" s="29">
        <f>SUM(AA90:AA94)</f>
        <v>0</v>
      </c>
      <c r="AB95" s="29">
        <f>SUM(AB90:AB94)</f>
        <v>0</v>
      </c>
      <c r="AC95" s="34"/>
      <c r="AD95" s="29">
        <f>SUM(AD90:AD94)</f>
        <v>0</v>
      </c>
      <c r="AE95" s="29">
        <f>SUM(AE90:AE94)</f>
        <v>0</v>
      </c>
      <c r="AF95" s="34"/>
      <c r="AG95" s="29">
        <f>SUM(AG90:AG94)</f>
        <v>0</v>
      </c>
      <c r="AH95" s="29">
        <f>SUM(AH90:AH94)</f>
        <v>0</v>
      </c>
      <c r="AI95" s="34"/>
      <c r="AJ95" s="29">
        <f>SUM(AJ90:AJ94)</f>
        <v>0</v>
      </c>
      <c r="AK95" s="29">
        <f>SUM(AK90:AK94)</f>
        <v>0</v>
      </c>
      <c r="AL95" s="29">
        <f>SUM(AL90:AL94)</f>
        <v>17600.59</v>
      </c>
      <c r="AM95" s="29">
        <f>SUM(AM90:AM94)</f>
        <v>4667</v>
      </c>
      <c r="AN95" s="34"/>
      <c r="AO95" s="29">
        <f>SUM(AO90:AO94)</f>
        <v>64000</v>
      </c>
      <c r="AP95" s="46"/>
      <c r="AQ95" s="110">
        <f t="shared" si="20"/>
        <v>-2334</v>
      </c>
    </row>
    <row r="96" spans="1:43" x14ac:dyDescent="0.2"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50"/>
      <c r="AH96" s="50"/>
      <c r="AI96" s="50"/>
      <c r="AJ96" s="50"/>
      <c r="AK96" s="50"/>
      <c r="AL96" s="50"/>
      <c r="AM96" s="50"/>
      <c r="AN96" s="50"/>
      <c r="AO96" s="50"/>
      <c r="AP96" s="46"/>
      <c r="AQ96" s="110">
        <f t="shared" si="20"/>
        <v>0</v>
      </c>
    </row>
    <row r="97" spans="1:43" ht="12" thickBot="1" x14ac:dyDescent="0.25">
      <c r="A97" s="6"/>
      <c r="B97" s="5" t="s">
        <v>242</v>
      </c>
      <c r="C97" s="30">
        <f>+C95+C87+C81+C75+C68+C57+C44+C34+C19</f>
        <v>498587.04</v>
      </c>
      <c r="D97" s="30">
        <f>+D95+D87+D81+D75+D68+D57+D44+D34+D19</f>
        <v>400123</v>
      </c>
      <c r="E97" s="34"/>
      <c r="F97" s="30">
        <f>+F95+F87+F81+F75+F68+F57+F44+F34+F19</f>
        <v>811090.25</v>
      </c>
      <c r="G97" s="30">
        <f>+G95+G87+G81+G75+G68+G57+G44+G34+G19</f>
        <v>718306</v>
      </c>
      <c r="H97" s="34"/>
      <c r="I97" s="30">
        <f>+I95+I87+I81+I75+I68+I57+I44+I34+I19</f>
        <v>1091060.3099999998</v>
      </c>
      <c r="J97" s="30">
        <f>+J95+J87+J81+J75+J68+J57+J44+J34+J19</f>
        <v>737966</v>
      </c>
      <c r="K97" s="34"/>
      <c r="L97" s="30">
        <f>+L95+L87+L81+L75+L68+L57+L44+L34+L19</f>
        <v>1130942.52</v>
      </c>
      <c r="M97" s="30">
        <f>+M95+M87+M81+M75+M68+M57+M44+M34+M19</f>
        <v>714904</v>
      </c>
      <c r="N97" s="34"/>
      <c r="O97" s="30">
        <f>+O95+O87+O81+O75+O68+O57+O44+O34+O19</f>
        <v>0</v>
      </c>
      <c r="P97" s="30">
        <f>+P95+P87+P81+P75+P68+P57+P44+P34+P19</f>
        <v>0</v>
      </c>
      <c r="Q97" s="34"/>
      <c r="R97" s="30">
        <f>+R95+R87+R81+R75+R68+R57+R44+R34+R19</f>
        <v>0</v>
      </c>
      <c r="S97" s="30">
        <f>+S95+S87+S81+S75+S68+S57+S44+S34+S19</f>
        <v>0</v>
      </c>
      <c r="T97" s="34"/>
      <c r="U97" s="30">
        <f>+U95+U87+U81+U75+U68+U57+U44+U34+U19</f>
        <v>0</v>
      </c>
      <c r="V97" s="30">
        <f>+V95+V87+V81+V75+V68+V57+V44+V34+V19</f>
        <v>0</v>
      </c>
      <c r="W97" s="34"/>
      <c r="X97" s="30">
        <f>+X95+X87+X81+X75+X68+X57+X44+X34+X19</f>
        <v>0</v>
      </c>
      <c r="Y97" s="30">
        <f>+Y95+Y87+Y81+Y75+Y68+Y57+Y44+Y34+Y19</f>
        <v>0</v>
      </c>
      <c r="Z97" s="34"/>
      <c r="AA97" s="30">
        <f>+AA95+AA87+AA81+AA75+AA68+AA57+AA44+AA34+AA19</f>
        <v>0</v>
      </c>
      <c r="AB97" s="30">
        <f>+AB95+AB87+AB81+AB75+AB68+AB57+AB44+AB34+AB19</f>
        <v>0</v>
      </c>
      <c r="AC97" s="34"/>
      <c r="AD97" s="30">
        <f>+AD95+AD87+AD81+AD75+AD68+AD57+AD44+AD34+AD19</f>
        <v>0</v>
      </c>
      <c r="AE97" s="30">
        <f>+AE95+AE87+AE81+AE75+AE68+AE57+AE44+AE34+AE19</f>
        <v>0</v>
      </c>
      <c r="AF97" s="34"/>
      <c r="AG97" s="30">
        <f>+AG95+AG87+AG81+AG75+AG68+AG57+AG44+AG34+AG19</f>
        <v>0</v>
      </c>
      <c r="AH97" s="30">
        <f>+AH95+AH87+AH81+AH75+AH68+AH57+AH44+AH34+AH19</f>
        <v>0</v>
      </c>
      <c r="AI97" s="34"/>
      <c r="AJ97" s="30">
        <f>+AJ95+AJ87+AJ81+AJ75+AJ68+AJ57+AJ44+AJ34+AJ19</f>
        <v>0</v>
      </c>
      <c r="AK97" s="30">
        <f>+AK95+AK87+AK81+AK75+AK68+AK57+AK44+AK34+AK19</f>
        <v>0</v>
      </c>
      <c r="AL97" s="30">
        <f>+AL95+AL87+AL81+AL75+AL68+AL57+AL44+AL34+AL19</f>
        <v>3531680.12</v>
      </c>
      <c r="AM97" s="30">
        <f>+AM95+AM87+AM81+AM75+AM68+AM57+AM44+AM34+AM19</f>
        <v>2571299</v>
      </c>
      <c r="AN97" s="34"/>
      <c r="AO97" s="30">
        <f>+AO95+AO87+AO81+AO75+AO68+AO57+AO44+AO34+AO19</f>
        <v>6192000</v>
      </c>
      <c r="AP97" s="46"/>
      <c r="AQ97" s="110">
        <f t="shared" si="20"/>
        <v>-1452870</v>
      </c>
    </row>
    <row r="98" spans="1:43" ht="12" thickTop="1" x14ac:dyDescent="0.2"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50"/>
      <c r="AH98" s="50"/>
      <c r="AI98" s="50"/>
      <c r="AJ98" s="50"/>
      <c r="AK98" s="50"/>
      <c r="AL98" s="50"/>
      <c r="AM98" s="50"/>
      <c r="AN98" s="50"/>
      <c r="AO98" s="50"/>
      <c r="AP98" s="46"/>
      <c r="AQ98" s="110">
        <f t="shared" si="20"/>
        <v>0</v>
      </c>
    </row>
    <row r="99" spans="1:43" x14ac:dyDescent="0.2">
      <c r="A99" s="22" t="s">
        <v>241</v>
      </c>
      <c r="B99" s="21" t="s">
        <v>240</v>
      </c>
      <c r="C99" s="37"/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52"/>
      <c r="AH99" s="52"/>
      <c r="AI99" s="52"/>
      <c r="AJ99" s="52"/>
      <c r="AK99" s="52"/>
      <c r="AL99" s="52"/>
      <c r="AM99" s="52"/>
      <c r="AN99" s="52"/>
      <c r="AO99" s="50"/>
      <c r="AP99" s="46"/>
      <c r="AQ99" s="110">
        <f t="shared" si="20"/>
        <v>0</v>
      </c>
    </row>
    <row r="100" spans="1:43" x14ac:dyDescent="0.2">
      <c r="A100" s="16" t="s">
        <v>239</v>
      </c>
      <c r="B100" s="15" t="s">
        <v>238</v>
      </c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51"/>
      <c r="AH100" s="51"/>
      <c r="AI100" s="51"/>
      <c r="AJ100" s="51"/>
      <c r="AK100" s="51"/>
      <c r="AL100" s="51"/>
      <c r="AM100" s="51"/>
      <c r="AN100" s="51"/>
      <c r="AO100" s="50"/>
      <c r="AP100" s="46"/>
      <c r="AQ100" s="110">
        <f t="shared" si="20"/>
        <v>0</v>
      </c>
    </row>
    <row r="101" spans="1:43" x14ac:dyDescent="0.2">
      <c r="A101" s="14" t="s">
        <v>237</v>
      </c>
      <c r="B101" s="13" t="s">
        <v>236</v>
      </c>
      <c r="C101" s="45">
        <v>1370.38</v>
      </c>
      <c r="D101" s="45">
        <v>1250</v>
      </c>
      <c r="E101" s="45"/>
      <c r="F101" s="45">
        <v>3162.4</v>
      </c>
      <c r="G101" s="45">
        <v>1250</v>
      </c>
      <c r="H101" s="45"/>
      <c r="I101" s="45">
        <v>3698.49</v>
      </c>
      <c r="J101" s="45">
        <v>1250</v>
      </c>
      <c r="K101" s="45"/>
      <c r="L101" s="45">
        <f>3978.13+0.1</f>
        <v>3978.23</v>
      </c>
      <c r="M101" s="45">
        <v>1250</v>
      </c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27">
        <f t="shared" ref="AL101:AL121" si="25">+C101+F101+I101+L101+O101+R101+U101+X101+AA101+AD101+AG101+AJ101</f>
        <v>12209.5</v>
      </c>
      <c r="AM101" s="27">
        <f t="shared" ref="AM101:AM121" si="26">+D101+G101+J101+M101+P101+S101+V101+Y101+AB101+AE101+AH101+AK101</f>
        <v>5000</v>
      </c>
      <c r="AN101" s="28"/>
      <c r="AO101" s="20">
        <v>15000</v>
      </c>
      <c r="AP101" s="46"/>
      <c r="AQ101" s="110">
        <f t="shared" si="20"/>
        <v>-2500</v>
      </c>
    </row>
    <row r="102" spans="1:43" x14ac:dyDescent="0.2">
      <c r="A102" s="14" t="s">
        <v>235</v>
      </c>
      <c r="B102" s="13" t="s">
        <v>234</v>
      </c>
      <c r="C102" s="45">
        <v>0</v>
      </c>
      <c r="D102" s="45">
        <v>0</v>
      </c>
      <c r="E102" s="45"/>
      <c r="F102" s="45">
        <v>917.25</v>
      </c>
      <c r="G102" s="45">
        <v>700</v>
      </c>
      <c r="H102" s="45"/>
      <c r="I102" s="45">
        <v>2034.68</v>
      </c>
      <c r="J102" s="45">
        <v>840</v>
      </c>
      <c r="K102" s="45"/>
      <c r="L102" s="45">
        <v>627.77</v>
      </c>
      <c r="M102" s="45">
        <v>630</v>
      </c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27">
        <f t="shared" si="25"/>
        <v>3579.7000000000003</v>
      </c>
      <c r="AM102" s="27">
        <f t="shared" si="26"/>
        <v>2170</v>
      </c>
      <c r="AN102" s="28"/>
      <c r="AO102" s="20">
        <f>+AO13*0.01</f>
        <v>7000</v>
      </c>
      <c r="AP102" s="46"/>
      <c r="AQ102" s="110">
        <f t="shared" si="20"/>
        <v>-1470</v>
      </c>
    </row>
    <row r="103" spans="1:43" x14ac:dyDescent="0.2">
      <c r="A103" s="14" t="s">
        <v>233</v>
      </c>
      <c r="B103" s="13" t="s">
        <v>232</v>
      </c>
      <c r="C103" s="45">
        <v>1031.73</v>
      </c>
      <c r="D103" s="45">
        <v>0</v>
      </c>
      <c r="E103" s="45"/>
      <c r="F103" s="45"/>
      <c r="G103" s="45">
        <v>0</v>
      </c>
      <c r="H103" s="45"/>
      <c r="I103" s="45">
        <v>764.31</v>
      </c>
      <c r="J103" s="45">
        <v>0</v>
      </c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27">
        <f t="shared" si="25"/>
        <v>1796.04</v>
      </c>
      <c r="AM103" s="27">
        <f t="shared" si="26"/>
        <v>0</v>
      </c>
      <c r="AN103" s="28"/>
      <c r="AO103" s="20">
        <v>0</v>
      </c>
      <c r="AP103" s="46"/>
      <c r="AQ103" s="110">
        <f t="shared" si="20"/>
        <v>0</v>
      </c>
    </row>
    <row r="104" spans="1:43" x14ac:dyDescent="0.2">
      <c r="A104" s="14" t="s">
        <v>231</v>
      </c>
      <c r="B104" s="13" t="s">
        <v>230</v>
      </c>
      <c r="C104" s="45">
        <v>70</v>
      </c>
      <c r="D104" s="45">
        <v>0</v>
      </c>
      <c r="E104" s="45"/>
      <c r="F104" s="45">
        <v>202.33</v>
      </c>
      <c r="G104" s="45">
        <v>0</v>
      </c>
      <c r="H104" s="45"/>
      <c r="I104" s="45">
        <v>367.5</v>
      </c>
      <c r="J104" s="45">
        <v>0</v>
      </c>
      <c r="K104" s="45"/>
      <c r="L104" s="45">
        <v>685.25</v>
      </c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27">
        <f t="shared" si="25"/>
        <v>1325.08</v>
      </c>
      <c r="AM104" s="27">
        <f t="shared" si="26"/>
        <v>0</v>
      </c>
      <c r="AN104" s="28"/>
      <c r="AO104" s="20">
        <v>0</v>
      </c>
      <c r="AP104" s="46"/>
      <c r="AQ104" s="110">
        <f t="shared" si="20"/>
        <v>0</v>
      </c>
    </row>
    <row r="105" spans="1:43" x14ac:dyDescent="0.2">
      <c r="A105" s="14" t="s">
        <v>229</v>
      </c>
      <c r="B105" s="13" t="s">
        <v>228</v>
      </c>
      <c r="C105" s="45">
        <v>147</v>
      </c>
      <c r="D105" s="45">
        <v>250</v>
      </c>
      <c r="E105" s="45"/>
      <c r="F105" s="45">
        <v>130</v>
      </c>
      <c r="G105" s="45">
        <v>250</v>
      </c>
      <c r="H105" s="45"/>
      <c r="I105" s="45">
        <v>166.4</v>
      </c>
      <c r="J105" s="45">
        <v>250</v>
      </c>
      <c r="K105" s="45"/>
      <c r="L105" s="45">
        <v>40</v>
      </c>
      <c r="M105" s="45">
        <v>250</v>
      </c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27">
        <f t="shared" si="25"/>
        <v>483.4</v>
      </c>
      <c r="AM105" s="27">
        <f t="shared" si="26"/>
        <v>1000</v>
      </c>
      <c r="AN105" s="28"/>
      <c r="AO105" s="20">
        <v>3000</v>
      </c>
      <c r="AP105" s="46"/>
      <c r="AQ105" s="110">
        <f t="shared" si="20"/>
        <v>-500</v>
      </c>
    </row>
    <row r="106" spans="1:43" x14ac:dyDescent="0.2">
      <c r="A106" s="14" t="s">
        <v>227</v>
      </c>
      <c r="B106" s="13" t="s">
        <v>226</v>
      </c>
      <c r="C106" s="45">
        <v>0</v>
      </c>
      <c r="D106" s="45">
        <v>0</v>
      </c>
      <c r="E106" s="45"/>
      <c r="F106" s="45">
        <v>0</v>
      </c>
      <c r="G106" s="45">
        <v>0</v>
      </c>
      <c r="H106" s="45"/>
      <c r="I106" s="45">
        <v>0</v>
      </c>
      <c r="J106" s="45">
        <v>0</v>
      </c>
      <c r="K106" s="45"/>
      <c r="L106" s="45"/>
      <c r="M106" s="45">
        <v>500</v>
      </c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  <c r="AB106" s="45"/>
      <c r="AC106" s="45"/>
      <c r="AD106" s="45"/>
      <c r="AE106" s="45"/>
      <c r="AF106" s="45"/>
      <c r="AG106" s="45"/>
      <c r="AH106" s="45"/>
      <c r="AI106" s="45"/>
      <c r="AJ106" s="45"/>
      <c r="AK106" s="45"/>
      <c r="AL106" s="27">
        <f t="shared" si="25"/>
        <v>0</v>
      </c>
      <c r="AM106" s="27">
        <f t="shared" si="26"/>
        <v>500</v>
      </c>
      <c r="AN106" s="28"/>
      <c r="AO106" s="20">
        <v>5000</v>
      </c>
      <c r="AP106" s="46"/>
      <c r="AQ106" s="110">
        <f t="shared" si="20"/>
        <v>-500</v>
      </c>
    </row>
    <row r="107" spans="1:43" x14ac:dyDescent="0.2">
      <c r="A107" s="14" t="s">
        <v>225</v>
      </c>
      <c r="B107" s="13" t="s">
        <v>224</v>
      </c>
      <c r="C107" s="45">
        <v>0</v>
      </c>
      <c r="D107" s="45">
        <v>0</v>
      </c>
      <c r="E107" s="45"/>
      <c r="F107" s="45">
        <v>0</v>
      </c>
      <c r="G107" s="45">
        <v>0</v>
      </c>
      <c r="H107" s="45"/>
      <c r="I107" s="45">
        <v>0</v>
      </c>
      <c r="J107" s="45">
        <v>0</v>
      </c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  <c r="AB107" s="45"/>
      <c r="AC107" s="45"/>
      <c r="AD107" s="45"/>
      <c r="AE107" s="45"/>
      <c r="AF107" s="45"/>
      <c r="AG107" s="45"/>
      <c r="AH107" s="45"/>
      <c r="AI107" s="45"/>
      <c r="AJ107" s="45"/>
      <c r="AK107" s="45"/>
      <c r="AL107" s="27">
        <f t="shared" si="25"/>
        <v>0</v>
      </c>
      <c r="AM107" s="27">
        <f t="shared" si="26"/>
        <v>0</v>
      </c>
      <c r="AN107" s="28"/>
      <c r="AO107" s="20">
        <v>10000</v>
      </c>
      <c r="AP107" s="46"/>
      <c r="AQ107" s="110">
        <f t="shared" si="20"/>
        <v>0</v>
      </c>
    </row>
    <row r="108" spans="1:43" x14ac:dyDescent="0.2">
      <c r="A108" s="14" t="s">
        <v>223</v>
      </c>
      <c r="B108" s="13" t="s">
        <v>222</v>
      </c>
      <c r="C108" s="45">
        <v>0</v>
      </c>
      <c r="D108" s="45">
        <v>0</v>
      </c>
      <c r="E108" s="45"/>
      <c r="F108" s="45">
        <v>0</v>
      </c>
      <c r="G108" s="45">
        <v>0</v>
      </c>
      <c r="H108" s="45"/>
      <c r="I108" s="45">
        <v>1545</v>
      </c>
      <c r="J108" s="45">
        <v>2500</v>
      </c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  <c r="AB108" s="45"/>
      <c r="AC108" s="45"/>
      <c r="AD108" s="45"/>
      <c r="AE108" s="45"/>
      <c r="AF108" s="45"/>
      <c r="AG108" s="45"/>
      <c r="AH108" s="45"/>
      <c r="AI108" s="45"/>
      <c r="AJ108" s="45"/>
      <c r="AK108" s="45"/>
      <c r="AL108" s="27">
        <f t="shared" si="25"/>
        <v>1545</v>
      </c>
      <c r="AM108" s="27">
        <f t="shared" si="26"/>
        <v>2500</v>
      </c>
      <c r="AN108" s="28"/>
      <c r="AO108" s="20">
        <v>5000</v>
      </c>
      <c r="AP108" s="46"/>
      <c r="AQ108" s="110">
        <f t="shared" si="20"/>
        <v>-2500</v>
      </c>
    </row>
    <row r="109" spans="1:43" x14ac:dyDescent="0.2">
      <c r="A109" s="14" t="s">
        <v>221</v>
      </c>
      <c r="B109" s="13" t="s">
        <v>220</v>
      </c>
      <c r="C109" s="45">
        <v>3322.5</v>
      </c>
      <c r="D109" s="45">
        <v>8333</v>
      </c>
      <c r="E109" s="45"/>
      <c r="F109" s="45">
        <v>1155</v>
      </c>
      <c r="G109" s="45">
        <v>8334</v>
      </c>
      <c r="H109" s="45"/>
      <c r="I109" s="45">
        <v>6366.25</v>
      </c>
      <c r="J109" s="45">
        <v>8333</v>
      </c>
      <c r="K109" s="45"/>
      <c r="L109" s="45">
        <v>1265</v>
      </c>
      <c r="M109" s="45">
        <v>8333</v>
      </c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27">
        <f t="shared" si="25"/>
        <v>12108.75</v>
      </c>
      <c r="AM109" s="27">
        <f t="shared" si="26"/>
        <v>33333</v>
      </c>
      <c r="AN109" s="28"/>
      <c r="AO109" s="20">
        <v>100000</v>
      </c>
      <c r="AP109" s="46"/>
      <c r="AQ109" s="110">
        <f t="shared" si="20"/>
        <v>-16666</v>
      </c>
    </row>
    <row r="110" spans="1:43" x14ac:dyDescent="0.2">
      <c r="A110" s="14" t="s">
        <v>219</v>
      </c>
      <c r="B110" s="13" t="s">
        <v>218</v>
      </c>
      <c r="C110" s="45">
        <v>0</v>
      </c>
      <c r="D110" s="45">
        <v>0</v>
      </c>
      <c r="E110" s="45"/>
      <c r="F110" s="45">
        <v>0</v>
      </c>
      <c r="G110" s="45">
        <v>5000</v>
      </c>
      <c r="H110" s="45"/>
      <c r="I110" s="45">
        <v>0</v>
      </c>
      <c r="J110" s="45">
        <v>0</v>
      </c>
      <c r="K110" s="45"/>
      <c r="L110" s="45">
        <v>5590</v>
      </c>
      <c r="M110" s="45">
        <v>30000</v>
      </c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  <c r="AB110" s="45"/>
      <c r="AC110" s="45"/>
      <c r="AD110" s="45"/>
      <c r="AE110" s="45"/>
      <c r="AF110" s="45"/>
      <c r="AG110" s="45"/>
      <c r="AH110" s="45"/>
      <c r="AI110" s="45"/>
      <c r="AJ110" s="45"/>
      <c r="AK110" s="45"/>
      <c r="AL110" s="27">
        <f t="shared" si="25"/>
        <v>5590</v>
      </c>
      <c r="AM110" s="27">
        <f t="shared" si="26"/>
        <v>35000</v>
      </c>
      <c r="AN110" s="28"/>
      <c r="AO110" s="20">
        <v>65000</v>
      </c>
      <c r="AP110" s="46"/>
      <c r="AQ110" s="110">
        <f t="shared" si="20"/>
        <v>-30000</v>
      </c>
    </row>
    <row r="111" spans="1:43" x14ac:dyDescent="0.2">
      <c r="A111" s="14" t="s">
        <v>217</v>
      </c>
      <c r="B111" s="13" t="s">
        <v>216</v>
      </c>
      <c r="C111" s="45">
        <v>0</v>
      </c>
      <c r="D111" s="45">
        <v>0</v>
      </c>
      <c r="E111" s="45"/>
      <c r="F111" s="45">
        <v>0</v>
      </c>
      <c r="G111" s="45">
        <v>0</v>
      </c>
      <c r="H111" s="45"/>
      <c r="I111" s="45">
        <v>0</v>
      </c>
      <c r="J111" s="45">
        <v>0</v>
      </c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  <c r="AB111" s="45"/>
      <c r="AC111" s="45"/>
      <c r="AD111" s="45"/>
      <c r="AE111" s="45"/>
      <c r="AF111" s="45"/>
      <c r="AG111" s="45"/>
      <c r="AH111" s="45"/>
      <c r="AI111" s="45"/>
      <c r="AJ111" s="45"/>
      <c r="AK111" s="45"/>
      <c r="AL111" s="27">
        <f t="shared" si="25"/>
        <v>0</v>
      </c>
      <c r="AM111" s="27">
        <f t="shared" si="26"/>
        <v>0</v>
      </c>
      <c r="AN111" s="28"/>
      <c r="AO111" s="20">
        <v>0</v>
      </c>
      <c r="AP111" s="46"/>
      <c r="AQ111" s="110">
        <f t="shared" si="20"/>
        <v>0</v>
      </c>
    </row>
    <row r="112" spans="1:43" x14ac:dyDescent="0.2">
      <c r="A112" s="14" t="s">
        <v>215</v>
      </c>
      <c r="B112" s="13" t="s">
        <v>214</v>
      </c>
      <c r="C112" s="45">
        <v>826.5</v>
      </c>
      <c r="D112" s="45">
        <v>0</v>
      </c>
      <c r="E112" s="45"/>
      <c r="F112" s="45">
        <v>0</v>
      </c>
      <c r="G112" s="45">
        <v>0</v>
      </c>
      <c r="H112" s="45"/>
      <c r="I112" s="45">
        <v>750</v>
      </c>
      <c r="J112" s="45">
        <v>1000</v>
      </c>
      <c r="K112" s="45"/>
      <c r="L112" s="45">
        <v>119.94</v>
      </c>
      <c r="M112" s="45">
        <v>1000</v>
      </c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  <c r="AB112" s="45"/>
      <c r="AC112" s="45"/>
      <c r="AD112" s="45"/>
      <c r="AE112" s="45"/>
      <c r="AF112" s="45"/>
      <c r="AG112" s="45"/>
      <c r="AH112" s="45"/>
      <c r="AI112" s="45"/>
      <c r="AJ112" s="45"/>
      <c r="AK112" s="45"/>
      <c r="AL112" s="27">
        <f t="shared" si="25"/>
        <v>1696.44</v>
      </c>
      <c r="AM112" s="27">
        <f t="shared" si="26"/>
        <v>2000</v>
      </c>
      <c r="AN112" s="28"/>
      <c r="AO112" s="20">
        <v>3000</v>
      </c>
      <c r="AP112" s="46"/>
      <c r="AQ112" s="110">
        <f t="shared" si="20"/>
        <v>-2000</v>
      </c>
    </row>
    <row r="113" spans="1:43" x14ac:dyDescent="0.2">
      <c r="A113" s="14">
        <v>6010850</v>
      </c>
      <c r="B113" s="13" t="s">
        <v>213</v>
      </c>
      <c r="C113" s="45">
        <v>788.98</v>
      </c>
      <c r="D113" s="45">
        <v>0</v>
      </c>
      <c r="E113" s="45"/>
      <c r="F113" s="45">
        <v>817</v>
      </c>
      <c r="G113" s="45">
        <v>0</v>
      </c>
      <c r="H113" s="45"/>
      <c r="I113" s="45">
        <v>2313.7199999999998</v>
      </c>
      <c r="J113" s="45">
        <v>0</v>
      </c>
      <c r="K113" s="45"/>
      <c r="L113" s="45">
        <v>11.74</v>
      </c>
      <c r="M113" s="45">
        <v>0</v>
      </c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  <c r="AB113" s="45"/>
      <c r="AC113" s="45"/>
      <c r="AD113" s="45"/>
      <c r="AE113" s="45"/>
      <c r="AF113" s="45"/>
      <c r="AG113" s="45"/>
      <c r="AH113" s="45"/>
      <c r="AI113" s="45"/>
      <c r="AJ113" s="45"/>
      <c r="AK113" s="45"/>
      <c r="AL113" s="27">
        <f t="shared" si="25"/>
        <v>3931.4399999999996</v>
      </c>
      <c r="AM113" s="27">
        <f t="shared" si="26"/>
        <v>0</v>
      </c>
      <c r="AN113" s="28"/>
      <c r="AO113" s="20">
        <f>+AO62</f>
        <v>0</v>
      </c>
      <c r="AP113" s="46"/>
      <c r="AQ113" s="110">
        <f t="shared" si="20"/>
        <v>0</v>
      </c>
    </row>
    <row r="114" spans="1:43" x14ac:dyDescent="0.2">
      <c r="A114" s="14" t="s">
        <v>212</v>
      </c>
      <c r="B114" s="13" t="s">
        <v>211</v>
      </c>
      <c r="C114" s="45">
        <v>25003.29</v>
      </c>
      <c r="D114" s="45">
        <v>9167</v>
      </c>
      <c r="E114" s="45"/>
      <c r="F114" s="45">
        <v>9163.83</v>
      </c>
      <c r="G114" s="45">
        <v>9167</v>
      </c>
      <c r="H114" s="45"/>
      <c r="I114" s="45">
        <v>8790.59</v>
      </c>
      <c r="J114" s="45">
        <v>9166</v>
      </c>
      <c r="K114" s="45"/>
      <c r="L114" s="45">
        <v>4516.18</v>
      </c>
      <c r="M114" s="45">
        <v>9167</v>
      </c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  <c r="AB114" s="45"/>
      <c r="AC114" s="45"/>
      <c r="AD114" s="45"/>
      <c r="AE114" s="45"/>
      <c r="AF114" s="45"/>
      <c r="AG114" s="45"/>
      <c r="AH114" s="45"/>
      <c r="AI114" s="45"/>
      <c r="AJ114" s="45"/>
      <c r="AK114" s="45"/>
      <c r="AL114" s="27">
        <f t="shared" si="25"/>
        <v>47473.890000000007</v>
      </c>
      <c r="AM114" s="27">
        <f t="shared" si="26"/>
        <v>36667</v>
      </c>
      <c r="AN114" s="28"/>
      <c r="AO114" s="20">
        <v>110000</v>
      </c>
      <c r="AP114" s="46"/>
      <c r="AQ114" s="110">
        <f t="shared" si="20"/>
        <v>-18333</v>
      </c>
    </row>
    <row r="115" spans="1:43" x14ac:dyDescent="0.2">
      <c r="A115" s="14">
        <v>6010950</v>
      </c>
      <c r="B115" s="13" t="s">
        <v>210</v>
      </c>
      <c r="C115" s="45">
        <v>1764.31</v>
      </c>
      <c r="D115" s="45">
        <v>416</v>
      </c>
      <c r="E115" s="45"/>
      <c r="F115" s="45">
        <v>1398.69</v>
      </c>
      <c r="G115" s="45">
        <v>417</v>
      </c>
      <c r="H115" s="45"/>
      <c r="I115" s="45">
        <v>4140.58</v>
      </c>
      <c r="J115" s="45">
        <v>417</v>
      </c>
      <c r="K115" s="45"/>
      <c r="L115" s="45">
        <v>-105.75</v>
      </c>
      <c r="M115" s="45">
        <v>416</v>
      </c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  <c r="AB115" s="45"/>
      <c r="AC115" s="45"/>
      <c r="AD115" s="45"/>
      <c r="AE115" s="45"/>
      <c r="AF115" s="45"/>
      <c r="AG115" s="45"/>
      <c r="AH115" s="45"/>
      <c r="AI115" s="45"/>
      <c r="AJ115" s="45"/>
      <c r="AK115" s="45"/>
      <c r="AL115" s="27">
        <f t="shared" si="25"/>
        <v>7197.83</v>
      </c>
      <c r="AM115" s="27">
        <f t="shared" si="26"/>
        <v>1666</v>
      </c>
      <c r="AN115" s="28"/>
      <c r="AO115" s="20">
        <v>5000</v>
      </c>
      <c r="AP115" s="46"/>
      <c r="AQ115" s="110">
        <f t="shared" si="20"/>
        <v>-833</v>
      </c>
    </row>
    <row r="116" spans="1:43" x14ac:dyDescent="0.2">
      <c r="A116" s="14" t="s">
        <v>209</v>
      </c>
      <c r="B116" s="13" t="s">
        <v>208</v>
      </c>
      <c r="C116" s="45">
        <v>0</v>
      </c>
      <c r="D116" s="45">
        <v>0</v>
      </c>
      <c r="E116" s="45"/>
      <c r="F116" s="45">
        <v>0</v>
      </c>
      <c r="G116" s="45">
        <v>0</v>
      </c>
      <c r="H116" s="45"/>
      <c r="I116" s="45"/>
      <c r="J116" s="45"/>
      <c r="K116" s="45"/>
      <c r="L116" s="45">
        <v>0</v>
      </c>
      <c r="M116" s="45">
        <v>0</v>
      </c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  <c r="AB116" s="45"/>
      <c r="AC116" s="45"/>
      <c r="AD116" s="45"/>
      <c r="AE116" s="45"/>
      <c r="AF116" s="45"/>
      <c r="AG116" s="45"/>
      <c r="AH116" s="45"/>
      <c r="AI116" s="45"/>
      <c r="AJ116" s="45"/>
      <c r="AK116" s="45"/>
      <c r="AL116" s="27">
        <f t="shared" si="25"/>
        <v>0</v>
      </c>
      <c r="AM116" s="27">
        <f t="shared" si="26"/>
        <v>0</v>
      </c>
      <c r="AN116" s="28"/>
      <c r="AO116" s="20">
        <v>20000</v>
      </c>
      <c r="AP116" s="46"/>
      <c r="AQ116" s="110">
        <f t="shared" si="20"/>
        <v>0</v>
      </c>
    </row>
    <row r="117" spans="1:43" x14ac:dyDescent="0.2">
      <c r="A117" s="14" t="s">
        <v>207</v>
      </c>
      <c r="B117" s="13" t="s">
        <v>134</v>
      </c>
      <c r="C117" s="45">
        <v>1006.51</v>
      </c>
      <c r="D117" s="45">
        <v>1154</v>
      </c>
      <c r="E117" s="45"/>
      <c r="F117" s="45">
        <v>1951.61</v>
      </c>
      <c r="G117" s="45">
        <v>1154</v>
      </c>
      <c r="H117" s="45"/>
      <c r="I117" s="45">
        <v>1956.73</v>
      </c>
      <c r="J117" s="45">
        <v>1154</v>
      </c>
      <c r="K117" s="45"/>
      <c r="L117" s="45">
        <v>21012.6</v>
      </c>
      <c r="M117" s="45">
        <v>1731</v>
      </c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  <c r="AB117" s="45"/>
      <c r="AC117" s="45"/>
      <c r="AD117" s="45"/>
      <c r="AE117" s="45"/>
      <c r="AF117" s="45"/>
      <c r="AG117" s="45"/>
      <c r="AH117" s="45"/>
      <c r="AI117" s="45"/>
      <c r="AJ117" s="45"/>
      <c r="AK117" s="45"/>
      <c r="AL117" s="27">
        <f t="shared" si="25"/>
        <v>25927.449999999997</v>
      </c>
      <c r="AM117" s="27">
        <f t="shared" si="26"/>
        <v>5193</v>
      </c>
      <c r="AN117" s="28"/>
      <c r="AO117" s="20">
        <v>15000</v>
      </c>
      <c r="AP117" s="46"/>
      <c r="AQ117" s="110">
        <f t="shared" si="20"/>
        <v>-2885</v>
      </c>
    </row>
    <row r="118" spans="1:43" x14ac:dyDescent="0.2">
      <c r="A118" s="14" t="s">
        <v>206</v>
      </c>
      <c r="B118" s="13" t="s">
        <v>205</v>
      </c>
      <c r="C118" s="45">
        <v>233.11</v>
      </c>
      <c r="D118" s="45">
        <v>0</v>
      </c>
      <c r="E118" s="45"/>
      <c r="F118" s="45">
        <v>0</v>
      </c>
      <c r="G118" s="45">
        <v>0</v>
      </c>
      <c r="H118" s="45"/>
      <c r="I118" s="45">
        <v>322.88</v>
      </c>
      <c r="J118" s="45">
        <v>250</v>
      </c>
      <c r="K118" s="45"/>
      <c r="L118" s="45">
        <v>50</v>
      </c>
      <c r="M118" s="45">
        <v>0</v>
      </c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  <c r="AB118" s="45"/>
      <c r="AC118" s="45"/>
      <c r="AD118" s="45"/>
      <c r="AE118" s="45"/>
      <c r="AF118" s="45"/>
      <c r="AG118" s="45"/>
      <c r="AH118" s="45"/>
      <c r="AI118" s="45"/>
      <c r="AJ118" s="45"/>
      <c r="AK118" s="45"/>
      <c r="AL118" s="27">
        <f t="shared" si="25"/>
        <v>605.99</v>
      </c>
      <c r="AM118" s="27">
        <f t="shared" si="26"/>
        <v>250</v>
      </c>
      <c r="AN118" s="28"/>
      <c r="AO118" s="20">
        <v>2500</v>
      </c>
      <c r="AP118" s="46"/>
      <c r="AQ118" s="110">
        <f t="shared" si="20"/>
        <v>-250</v>
      </c>
    </row>
    <row r="119" spans="1:43" x14ac:dyDescent="0.2">
      <c r="A119" s="14" t="s">
        <v>204</v>
      </c>
      <c r="B119" s="13" t="s">
        <v>203</v>
      </c>
      <c r="C119" s="45">
        <v>1145.8900000000001</v>
      </c>
      <c r="D119" s="45">
        <v>625</v>
      </c>
      <c r="E119" s="45"/>
      <c r="F119" s="45">
        <v>0</v>
      </c>
      <c r="G119" s="45"/>
      <c r="H119" s="45"/>
      <c r="I119" s="45">
        <v>272.16000000000003</v>
      </c>
      <c r="J119" s="45">
        <v>625</v>
      </c>
      <c r="K119" s="45"/>
      <c r="L119" s="45">
        <v>0</v>
      </c>
      <c r="M119" s="45">
        <v>625</v>
      </c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  <c r="AB119" s="45"/>
      <c r="AC119" s="45"/>
      <c r="AD119" s="45"/>
      <c r="AE119" s="45"/>
      <c r="AF119" s="45"/>
      <c r="AG119" s="45"/>
      <c r="AH119" s="45"/>
      <c r="AI119" s="45"/>
      <c r="AJ119" s="45"/>
      <c r="AK119" s="45"/>
      <c r="AL119" s="27">
        <f t="shared" si="25"/>
        <v>1418.0500000000002</v>
      </c>
      <c r="AM119" s="27">
        <f t="shared" si="26"/>
        <v>1875</v>
      </c>
      <c r="AN119" s="28"/>
      <c r="AO119" s="20">
        <v>7500</v>
      </c>
      <c r="AP119" s="46"/>
      <c r="AQ119" s="110">
        <f t="shared" si="20"/>
        <v>-1250</v>
      </c>
    </row>
    <row r="120" spans="1:43" x14ac:dyDescent="0.2">
      <c r="A120" s="14" t="s">
        <v>202</v>
      </c>
      <c r="B120" s="13" t="s">
        <v>201</v>
      </c>
      <c r="C120" s="45">
        <v>-5266.98</v>
      </c>
      <c r="D120" s="45">
        <v>0</v>
      </c>
      <c r="E120" s="45"/>
      <c r="F120" s="45">
        <v>-15584.53</v>
      </c>
      <c r="G120" s="45">
        <v>625</v>
      </c>
      <c r="H120" s="45"/>
      <c r="I120" s="45">
        <v>-4345.8500000000004</v>
      </c>
      <c r="J120" s="45">
        <v>0</v>
      </c>
      <c r="K120" s="45"/>
      <c r="L120" s="45">
        <v>-3328.31</v>
      </c>
      <c r="M120" s="45"/>
      <c r="N120" s="45"/>
      <c r="O120" s="45"/>
      <c r="P120" s="45"/>
      <c r="Q120" s="45"/>
      <c r="R120" s="45"/>
      <c r="S120" s="45"/>
      <c r="T120" s="45"/>
      <c r="U120" s="45"/>
      <c r="V120" s="45"/>
      <c r="W120" s="45"/>
      <c r="X120" s="45"/>
      <c r="Y120" s="45"/>
      <c r="Z120" s="45"/>
      <c r="AA120" s="45"/>
      <c r="AB120" s="45"/>
      <c r="AC120" s="45"/>
      <c r="AD120" s="45"/>
      <c r="AE120" s="45"/>
      <c r="AF120" s="45"/>
      <c r="AG120" s="45"/>
      <c r="AH120" s="45"/>
      <c r="AI120" s="45"/>
      <c r="AJ120" s="45"/>
      <c r="AK120" s="45"/>
      <c r="AL120" s="27">
        <f t="shared" si="25"/>
        <v>-28525.670000000002</v>
      </c>
      <c r="AM120" s="27">
        <f t="shared" si="26"/>
        <v>625</v>
      </c>
      <c r="AN120" s="28"/>
      <c r="AO120" s="20">
        <v>0</v>
      </c>
      <c r="AP120" s="46"/>
      <c r="AQ120" s="110">
        <f t="shared" si="20"/>
        <v>0</v>
      </c>
    </row>
    <row r="121" spans="1:43" x14ac:dyDescent="0.2">
      <c r="A121" s="14" t="s">
        <v>200</v>
      </c>
      <c r="B121" s="13" t="s">
        <v>199</v>
      </c>
      <c r="C121" s="45">
        <v>4801.67</v>
      </c>
      <c r="D121" s="45">
        <v>834</v>
      </c>
      <c r="E121" s="45"/>
      <c r="F121" s="45">
        <v>6.52</v>
      </c>
      <c r="G121" s="45">
        <v>833</v>
      </c>
      <c r="H121" s="45"/>
      <c r="I121" s="45">
        <v>112.82</v>
      </c>
      <c r="J121" s="45">
        <v>833</v>
      </c>
      <c r="K121" s="45"/>
      <c r="L121" s="45">
        <v>940.76</v>
      </c>
      <c r="M121" s="45">
        <v>834</v>
      </c>
      <c r="N121" s="45"/>
      <c r="O121" s="45"/>
      <c r="P121" s="45"/>
      <c r="Q121" s="45"/>
      <c r="R121" s="45"/>
      <c r="S121" s="45"/>
      <c r="T121" s="45"/>
      <c r="U121" s="45"/>
      <c r="V121" s="45"/>
      <c r="W121" s="45"/>
      <c r="X121" s="45"/>
      <c r="Y121" s="45"/>
      <c r="Z121" s="45"/>
      <c r="AA121" s="45"/>
      <c r="AB121" s="45"/>
      <c r="AC121" s="45"/>
      <c r="AD121" s="45"/>
      <c r="AE121" s="45"/>
      <c r="AF121" s="45"/>
      <c r="AG121" s="45"/>
      <c r="AH121" s="45"/>
      <c r="AI121" s="45"/>
      <c r="AJ121" s="45"/>
      <c r="AK121" s="45"/>
      <c r="AL121" s="27">
        <f t="shared" si="25"/>
        <v>5861.77</v>
      </c>
      <c r="AM121" s="27">
        <f t="shared" si="26"/>
        <v>3334</v>
      </c>
      <c r="AN121" s="28"/>
      <c r="AO121" s="20">
        <v>10000</v>
      </c>
      <c r="AP121" s="46"/>
      <c r="AQ121" s="110">
        <f t="shared" si="20"/>
        <v>-1667</v>
      </c>
    </row>
    <row r="122" spans="1:43" x14ac:dyDescent="0.2">
      <c r="A122" s="14"/>
      <c r="B122" s="13"/>
      <c r="C122" s="28"/>
      <c r="D122" s="28"/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  <c r="Z122" s="28"/>
      <c r="AA122" s="28"/>
      <c r="AB122" s="28"/>
      <c r="AC122" s="28"/>
      <c r="AD122" s="28"/>
      <c r="AE122" s="28"/>
      <c r="AF122" s="28"/>
      <c r="AG122" s="28"/>
      <c r="AH122" s="28"/>
      <c r="AI122" s="28"/>
      <c r="AJ122" s="28"/>
      <c r="AK122" s="28"/>
      <c r="AL122" s="28"/>
      <c r="AM122" s="28"/>
      <c r="AN122" s="28"/>
      <c r="AO122" s="20"/>
      <c r="AP122" s="46"/>
      <c r="AQ122" s="110">
        <f t="shared" si="20"/>
        <v>0</v>
      </c>
    </row>
    <row r="123" spans="1:43" s="19" customFormat="1" x14ac:dyDescent="0.2">
      <c r="A123" s="18"/>
      <c r="B123" s="17" t="s">
        <v>198</v>
      </c>
      <c r="C123" s="31">
        <f>SUM(C101:C121)</f>
        <v>36244.890000000007</v>
      </c>
      <c r="D123" s="31">
        <f>SUM(D101:D121)</f>
        <v>22029</v>
      </c>
      <c r="E123" s="34"/>
      <c r="F123" s="31">
        <f>SUM(F101:F121)</f>
        <v>3320.1</v>
      </c>
      <c r="G123" s="31">
        <f>SUM(G101:G121)</f>
        <v>27730</v>
      </c>
      <c r="H123" s="34"/>
      <c r="I123" s="31">
        <f>SUM(I101:I121)</f>
        <v>29256.260000000002</v>
      </c>
      <c r="J123" s="31">
        <f>SUM(J101:J121)</f>
        <v>26618</v>
      </c>
      <c r="K123" s="34"/>
      <c r="L123" s="31">
        <f>SUM(L101:L121)</f>
        <v>35403.410000000003</v>
      </c>
      <c r="M123" s="31">
        <f>SUM(M101:M121)</f>
        <v>54736</v>
      </c>
      <c r="N123" s="34"/>
      <c r="O123" s="31">
        <f>SUM(O101:O121)</f>
        <v>0</v>
      </c>
      <c r="P123" s="31">
        <f>SUM(P101:P121)</f>
        <v>0</v>
      </c>
      <c r="Q123" s="34"/>
      <c r="R123" s="31">
        <f>SUM(R101:R121)</f>
        <v>0</v>
      </c>
      <c r="S123" s="31">
        <f>SUM(S101:S121)</f>
        <v>0</v>
      </c>
      <c r="T123" s="34"/>
      <c r="U123" s="31">
        <f>SUM(U101:U121)</f>
        <v>0</v>
      </c>
      <c r="V123" s="31">
        <f>SUM(V101:V121)</f>
        <v>0</v>
      </c>
      <c r="W123" s="34"/>
      <c r="X123" s="31">
        <f>SUM(X101:X121)</f>
        <v>0</v>
      </c>
      <c r="Y123" s="31">
        <f>SUM(Y101:Y121)</f>
        <v>0</v>
      </c>
      <c r="Z123" s="34"/>
      <c r="AA123" s="31">
        <f>SUM(AA101:AA121)</f>
        <v>0</v>
      </c>
      <c r="AB123" s="31">
        <f>SUM(AB101:AB121)</f>
        <v>0</v>
      </c>
      <c r="AC123" s="34"/>
      <c r="AD123" s="31">
        <f>SUM(AD101:AD121)</f>
        <v>0</v>
      </c>
      <c r="AE123" s="31">
        <f>SUM(AE101:AE121)</f>
        <v>0</v>
      </c>
      <c r="AF123" s="34"/>
      <c r="AG123" s="31">
        <f>SUM(AG101:AG121)</f>
        <v>0</v>
      </c>
      <c r="AH123" s="31">
        <f>SUM(AH101:AH121)</f>
        <v>0</v>
      </c>
      <c r="AI123" s="34"/>
      <c r="AJ123" s="31">
        <f>SUM(AJ101:AJ121)</f>
        <v>0</v>
      </c>
      <c r="AK123" s="31">
        <f>SUM(AK101:AK121)</f>
        <v>0</v>
      </c>
      <c r="AL123" s="40">
        <f>SUM(AL101:AL121)</f>
        <v>104224.66000000003</v>
      </c>
      <c r="AM123" s="31">
        <f>SUM(AM101:AM121)</f>
        <v>131113</v>
      </c>
      <c r="AN123" s="34"/>
      <c r="AO123" s="31">
        <f>SUM(AO101:AO121)</f>
        <v>383000</v>
      </c>
      <c r="AP123" s="53"/>
      <c r="AQ123" s="110">
        <f t="shared" si="20"/>
        <v>-81354</v>
      </c>
    </row>
    <row r="124" spans="1:43" s="19" customFormat="1" x14ac:dyDescent="0.2">
      <c r="A124" s="18"/>
      <c r="B124" s="17"/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45"/>
      <c r="AM124" s="34"/>
      <c r="AN124" s="34"/>
      <c r="AO124" s="32"/>
      <c r="AP124" s="53"/>
      <c r="AQ124" s="110">
        <f t="shared" si="20"/>
        <v>0</v>
      </c>
    </row>
    <row r="125" spans="1:43" x14ac:dyDescent="0.2">
      <c r="A125" s="14" t="s">
        <v>197</v>
      </c>
      <c r="B125" s="13" t="s">
        <v>41</v>
      </c>
      <c r="C125" s="28">
        <v>30578.79</v>
      </c>
      <c r="D125" s="45">
        <v>29285</v>
      </c>
      <c r="E125" s="45"/>
      <c r="F125" s="45">
        <v>33027.22</v>
      </c>
      <c r="G125" s="45">
        <v>29285</v>
      </c>
      <c r="H125" s="45"/>
      <c r="I125" s="45">
        <v>33592.49</v>
      </c>
      <c r="J125" s="45">
        <v>29285</v>
      </c>
      <c r="K125" s="45"/>
      <c r="L125" s="45">
        <v>47338.48</v>
      </c>
      <c r="M125" s="45">
        <v>44750</v>
      </c>
      <c r="N125" s="45"/>
      <c r="O125" s="45"/>
      <c r="P125" s="45"/>
      <c r="Q125" s="45"/>
      <c r="R125" s="45"/>
      <c r="S125" s="45"/>
      <c r="T125" s="45"/>
      <c r="U125" s="45"/>
      <c r="V125" s="45"/>
      <c r="W125" s="45"/>
      <c r="X125" s="45"/>
      <c r="Y125" s="45"/>
      <c r="Z125" s="45"/>
      <c r="AA125" s="45"/>
      <c r="AB125" s="45"/>
      <c r="AC125" s="45"/>
      <c r="AD125" s="45"/>
      <c r="AE125" s="45"/>
      <c r="AF125" s="45"/>
      <c r="AG125" s="45"/>
      <c r="AH125" s="45"/>
      <c r="AI125" s="45"/>
      <c r="AJ125" s="45"/>
      <c r="AK125" s="45"/>
      <c r="AL125" s="27">
        <f t="shared" ref="AL125:AL148" si="27">+C125+F125+I125+L125+O125+R125+U125+X125+AA125+AD125+AG125+AJ125</f>
        <v>144536.98000000001</v>
      </c>
      <c r="AM125" s="27">
        <f t="shared" ref="AM125:AM148" si="28">+D125+G125+J125+M125+P125+S125+V125+Y125+AB125+AE125+AH125+AK125</f>
        <v>132605</v>
      </c>
      <c r="AN125" s="28"/>
      <c r="AO125" s="20">
        <v>402098</v>
      </c>
      <c r="AP125" s="46"/>
      <c r="AQ125" s="110">
        <f t="shared" si="20"/>
        <v>-74035</v>
      </c>
    </row>
    <row r="126" spans="1:43" x14ac:dyDescent="0.2">
      <c r="A126" s="14">
        <v>6020105</v>
      </c>
      <c r="B126" s="13" t="s">
        <v>387</v>
      </c>
      <c r="C126" s="28">
        <v>220.99</v>
      </c>
      <c r="D126" s="45">
        <v>1646</v>
      </c>
      <c r="E126" s="45"/>
      <c r="F126" s="45">
        <v>1299.5899999999999</v>
      </c>
      <c r="G126" s="45">
        <v>1646</v>
      </c>
      <c r="H126" s="45"/>
      <c r="I126" s="45">
        <v>586.91</v>
      </c>
      <c r="J126" s="45">
        <v>1646</v>
      </c>
      <c r="K126" s="45"/>
      <c r="L126" s="45">
        <v>546.12</v>
      </c>
      <c r="M126" s="45">
        <v>1646</v>
      </c>
      <c r="N126" s="45"/>
      <c r="O126" s="45"/>
      <c r="P126" s="45"/>
      <c r="Q126" s="45"/>
      <c r="R126" s="45"/>
      <c r="S126" s="45"/>
      <c r="T126" s="45"/>
      <c r="U126" s="45"/>
      <c r="V126" s="45"/>
      <c r="W126" s="45"/>
      <c r="X126" s="45"/>
      <c r="Y126" s="45"/>
      <c r="Z126" s="45"/>
      <c r="AA126" s="45"/>
      <c r="AB126" s="45"/>
      <c r="AC126" s="45"/>
      <c r="AD126" s="45"/>
      <c r="AE126" s="45"/>
      <c r="AF126" s="45"/>
      <c r="AG126" s="45"/>
      <c r="AH126" s="45"/>
      <c r="AI126" s="45"/>
      <c r="AJ126" s="45"/>
      <c r="AK126" s="45"/>
      <c r="AL126" s="27">
        <f t="shared" si="27"/>
        <v>2653.6099999999997</v>
      </c>
      <c r="AM126" s="27">
        <f t="shared" si="28"/>
        <v>6584</v>
      </c>
      <c r="AN126" s="28"/>
      <c r="AO126" s="20">
        <v>0</v>
      </c>
      <c r="AP126" s="46"/>
      <c r="AQ126" s="110">
        <f t="shared" si="20"/>
        <v>-3292</v>
      </c>
    </row>
    <row r="127" spans="1:43" x14ac:dyDescent="0.2">
      <c r="A127" s="14" t="s">
        <v>196</v>
      </c>
      <c r="B127" s="13" t="s">
        <v>39</v>
      </c>
      <c r="C127" s="28">
        <v>2294.5</v>
      </c>
      <c r="D127" s="45">
        <v>2474</v>
      </c>
      <c r="E127" s="45"/>
      <c r="F127" s="45">
        <v>2426.8000000000002</v>
      </c>
      <c r="G127" s="45">
        <v>2475</v>
      </c>
      <c r="H127" s="45"/>
      <c r="I127" s="45">
        <v>5434.74</v>
      </c>
      <c r="J127" s="45">
        <v>2475</v>
      </c>
      <c r="K127" s="45"/>
      <c r="L127" s="45">
        <v>3530.49</v>
      </c>
      <c r="M127" s="45">
        <v>3713</v>
      </c>
      <c r="N127" s="45"/>
      <c r="O127" s="45"/>
      <c r="P127" s="45"/>
      <c r="Q127" s="45"/>
      <c r="R127" s="45"/>
      <c r="S127" s="45"/>
      <c r="T127" s="45"/>
      <c r="U127" s="45"/>
      <c r="V127" s="45"/>
      <c r="W127" s="45"/>
      <c r="X127" s="45"/>
      <c r="Y127" s="45"/>
      <c r="Z127" s="45"/>
      <c r="AA127" s="45"/>
      <c r="AB127" s="45"/>
      <c r="AC127" s="45"/>
      <c r="AD127" s="45"/>
      <c r="AE127" s="45"/>
      <c r="AF127" s="45"/>
      <c r="AG127" s="45"/>
      <c r="AH127" s="45"/>
      <c r="AI127" s="45"/>
      <c r="AJ127" s="45"/>
      <c r="AK127" s="45"/>
      <c r="AL127" s="27">
        <f t="shared" si="27"/>
        <v>13686.53</v>
      </c>
      <c r="AM127" s="27">
        <f t="shared" si="28"/>
        <v>11137</v>
      </c>
      <c r="AN127" s="28"/>
      <c r="AO127" s="20">
        <v>32168</v>
      </c>
      <c r="AP127" s="46"/>
      <c r="AQ127" s="110">
        <f t="shared" si="20"/>
        <v>-6188</v>
      </c>
    </row>
    <row r="128" spans="1:43" x14ac:dyDescent="0.2">
      <c r="A128" s="14" t="s">
        <v>195</v>
      </c>
      <c r="B128" s="13" t="s">
        <v>37</v>
      </c>
      <c r="C128" s="28">
        <v>6964.74</v>
      </c>
      <c r="D128" s="45">
        <v>7461</v>
      </c>
      <c r="E128" s="45"/>
      <c r="F128" s="45">
        <v>6964.74</v>
      </c>
      <c r="G128" s="45">
        <v>7460</v>
      </c>
      <c r="H128" s="45"/>
      <c r="I128" s="45">
        <v>7111.94</v>
      </c>
      <c r="J128" s="45">
        <v>7461</v>
      </c>
      <c r="K128" s="45"/>
      <c r="L128" s="45">
        <v>7153.48</v>
      </c>
      <c r="M128" s="45">
        <v>7460</v>
      </c>
      <c r="N128" s="45"/>
      <c r="O128" s="45"/>
      <c r="P128" s="45"/>
      <c r="Q128" s="45"/>
      <c r="R128" s="45"/>
      <c r="S128" s="45"/>
      <c r="T128" s="45"/>
      <c r="U128" s="45"/>
      <c r="V128" s="45"/>
      <c r="W128" s="45"/>
      <c r="X128" s="45"/>
      <c r="Y128" s="45"/>
      <c r="Z128" s="45"/>
      <c r="AA128" s="45"/>
      <c r="AB128" s="45"/>
      <c r="AC128" s="45"/>
      <c r="AD128" s="45"/>
      <c r="AE128" s="45"/>
      <c r="AF128" s="45"/>
      <c r="AG128" s="45"/>
      <c r="AH128" s="45"/>
      <c r="AI128" s="45"/>
      <c r="AJ128" s="45"/>
      <c r="AK128" s="45"/>
      <c r="AL128" s="27">
        <f t="shared" si="27"/>
        <v>28194.899999999998</v>
      </c>
      <c r="AM128" s="27">
        <f t="shared" si="28"/>
        <v>29842</v>
      </c>
      <c r="AN128" s="28"/>
      <c r="AO128" s="20">
        <v>89526</v>
      </c>
      <c r="AP128" s="46"/>
      <c r="AQ128" s="110">
        <f t="shared" si="20"/>
        <v>-14921</v>
      </c>
    </row>
    <row r="129" spans="1:43" x14ac:dyDescent="0.2">
      <c r="A129" s="14" t="s">
        <v>194</v>
      </c>
      <c r="B129" s="13" t="s">
        <v>59</v>
      </c>
      <c r="C129" s="28">
        <v>331.31</v>
      </c>
      <c r="D129" s="45">
        <v>334</v>
      </c>
      <c r="E129" s="45"/>
      <c r="F129" s="45">
        <v>336.51</v>
      </c>
      <c r="G129" s="45">
        <v>334</v>
      </c>
      <c r="H129" s="45"/>
      <c r="I129" s="45">
        <v>331.44</v>
      </c>
      <c r="J129" s="45">
        <v>334</v>
      </c>
      <c r="K129" s="45"/>
      <c r="L129" s="45">
        <v>1227.56</v>
      </c>
      <c r="M129" s="45">
        <v>501</v>
      </c>
      <c r="N129" s="45"/>
      <c r="O129" s="45"/>
      <c r="P129" s="45"/>
      <c r="Q129" s="45"/>
      <c r="R129" s="45"/>
      <c r="S129" s="45"/>
      <c r="T129" s="45"/>
      <c r="U129" s="45"/>
      <c r="V129" s="45"/>
      <c r="W129" s="45"/>
      <c r="X129" s="45"/>
      <c r="Y129" s="45"/>
      <c r="Z129" s="45"/>
      <c r="AA129" s="45"/>
      <c r="AB129" s="45"/>
      <c r="AC129" s="45"/>
      <c r="AD129" s="45"/>
      <c r="AE129" s="45"/>
      <c r="AF129" s="45"/>
      <c r="AG129" s="45"/>
      <c r="AH129" s="45"/>
      <c r="AI129" s="45"/>
      <c r="AJ129" s="45"/>
      <c r="AK129" s="45"/>
      <c r="AL129" s="27">
        <f t="shared" si="27"/>
        <v>2226.8199999999997</v>
      </c>
      <c r="AM129" s="27">
        <f t="shared" si="28"/>
        <v>1503</v>
      </c>
      <c r="AN129" s="28"/>
      <c r="AO129" s="20">
        <v>4342</v>
      </c>
      <c r="AP129" s="46"/>
      <c r="AQ129" s="110">
        <f t="shared" si="20"/>
        <v>-835</v>
      </c>
    </row>
    <row r="130" spans="1:43" x14ac:dyDescent="0.2">
      <c r="A130" s="14">
        <v>6020150</v>
      </c>
      <c r="B130" s="13" t="s">
        <v>57</v>
      </c>
      <c r="C130" s="28">
        <v>0</v>
      </c>
      <c r="D130" s="45">
        <v>0</v>
      </c>
      <c r="E130" s="45"/>
      <c r="F130" s="45">
        <v>162.31</v>
      </c>
      <c r="G130" s="45">
        <v>0</v>
      </c>
      <c r="H130" s="45"/>
      <c r="I130" s="45">
        <v>0</v>
      </c>
      <c r="J130" s="45">
        <v>0</v>
      </c>
      <c r="K130" s="45"/>
      <c r="L130" s="45"/>
      <c r="M130" s="45"/>
      <c r="N130" s="45"/>
      <c r="O130" s="45"/>
      <c r="P130" s="45"/>
      <c r="Q130" s="45"/>
      <c r="R130" s="45"/>
      <c r="S130" s="45"/>
      <c r="T130" s="45"/>
      <c r="U130" s="45"/>
      <c r="V130" s="45"/>
      <c r="W130" s="45"/>
      <c r="X130" s="45"/>
      <c r="Y130" s="45"/>
      <c r="Z130" s="45"/>
      <c r="AA130" s="45"/>
      <c r="AB130" s="45"/>
      <c r="AC130" s="45"/>
      <c r="AD130" s="45"/>
      <c r="AE130" s="45"/>
      <c r="AF130" s="45"/>
      <c r="AG130" s="45"/>
      <c r="AH130" s="45"/>
      <c r="AI130" s="45"/>
      <c r="AJ130" s="45"/>
      <c r="AK130" s="45"/>
      <c r="AL130" s="27">
        <f t="shared" ref="AL130" si="29">+C130+F130+I130+L130+O130+R130+U130+X130+AA130+AD130+AG130+AJ130</f>
        <v>162.31</v>
      </c>
      <c r="AM130" s="27">
        <f t="shared" ref="AM130" si="30">+D130+G130+J130+M130+P130+S130+V130+Y130+AB130+AE130+AH130+AK130</f>
        <v>0</v>
      </c>
      <c r="AN130" s="28"/>
      <c r="AO130" s="20">
        <v>0</v>
      </c>
      <c r="AP130" s="46"/>
      <c r="AQ130" s="110">
        <f t="shared" si="20"/>
        <v>0</v>
      </c>
    </row>
    <row r="131" spans="1:43" x14ac:dyDescent="0.2">
      <c r="A131" s="14" t="s">
        <v>193</v>
      </c>
      <c r="B131" s="13" t="s">
        <v>35</v>
      </c>
      <c r="C131" s="28">
        <v>40.71</v>
      </c>
      <c r="D131" s="45">
        <v>40</v>
      </c>
      <c r="E131" s="45"/>
      <c r="F131" s="45">
        <v>40.71</v>
      </c>
      <c r="G131" s="45">
        <v>40</v>
      </c>
      <c r="H131" s="45"/>
      <c r="I131" s="45">
        <v>40.71</v>
      </c>
      <c r="J131" s="45">
        <v>40</v>
      </c>
      <c r="K131" s="45"/>
      <c r="L131" s="45">
        <v>40.71</v>
      </c>
      <c r="M131" s="45">
        <v>60</v>
      </c>
      <c r="N131" s="45"/>
      <c r="O131" s="45"/>
      <c r="P131" s="45"/>
      <c r="Q131" s="45"/>
      <c r="R131" s="45"/>
      <c r="S131" s="45"/>
      <c r="T131" s="45"/>
      <c r="U131" s="45"/>
      <c r="V131" s="45"/>
      <c r="W131" s="45"/>
      <c r="X131" s="45"/>
      <c r="Y131" s="45"/>
      <c r="Z131" s="45"/>
      <c r="AA131" s="45"/>
      <c r="AB131" s="45"/>
      <c r="AC131" s="45"/>
      <c r="AD131" s="45"/>
      <c r="AE131" s="45"/>
      <c r="AF131" s="45"/>
      <c r="AG131" s="45"/>
      <c r="AH131" s="45"/>
      <c r="AI131" s="45"/>
      <c r="AJ131" s="45"/>
      <c r="AK131" s="45"/>
      <c r="AL131" s="27">
        <f t="shared" si="27"/>
        <v>162.84</v>
      </c>
      <c r="AM131" s="27">
        <f t="shared" si="28"/>
        <v>180</v>
      </c>
      <c r="AN131" s="28"/>
      <c r="AO131" s="20">
        <v>524</v>
      </c>
      <c r="AP131" s="47"/>
      <c r="AQ131" s="110">
        <f t="shared" si="20"/>
        <v>-100</v>
      </c>
    </row>
    <row r="132" spans="1:43" x14ac:dyDescent="0.2">
      <c r="A132" s="14" t="s">
        <v>192</v>
      </c>
      <c r="B132" s="13" t="s">
        <v>34</v>
      </c>
      <c r="C132" s="28">
        <v>0</v>
      </c>
      <c r="D132" s="45">
        <v>0</v>
      </c>
      <c r="E132" s="45"/>
      <c r="F132" s="45">
        <v>654.5</v>
      </c>
      <c r="G132" s="45">
        <v>909</v>
      </c>
      <c r="H132" s="45"/>
      <c r="I132" s="45">
        <v>933.3</v>
      </c>
      <c r="J132" s="45">
        <v>909</v>
      </c>
      <c r="K132" s="45"/>
      <c r="L132" s="45">
        <v>1856.8</v>
      </c>
      <c r="M132" s="45">
        <v>1364</v>
      </c>
      <c r="N132" s="45"/>
      <c r="O132" s="45"/>
      <c r="P132" s="45"/>
      <c r="Q132" s="45"/>
      <c r="R132" s="45"/>
      <c r="S132" s="45"/>
      <c r="T132" s="45"/>
      <c r="U132" s="45"/>
      <c r="V132" s="45"/>
      <c r="W132" s="45"/>
      <c r="X132" s="45"/>
      <c r="Y132" s="45"/>
      <c r="Z132" s="45"/>
      <c r="AA132" s="45"/>
      <c r="AB132" s="45"/>
      <c r="AC132" s="45"/>
      <c r="AD132" s="45"/>
      <c r="AE132" s="45"/>
      <c r="AF132" s="45"/>
      <c r="AG132" s="45"/>
      <c r="AH132" s="45"/>
      <c r="AI132" s="45"/>
      <c r="AJ132" s="45"/>
      <c r="AK132" s="45"/>
      <c r="AL132" s="27">
        <f t="shared" si="27"/>
        <v>3444.6</v>
      </c>
      <c r="AM132" s="27">
        <f t="shared" si="28"/>
        <v>3182</v>
      </c>
      <c r="AN132" s="28"/>
      <c r="AO132" s="20">
        <v>5000</v>
      </c>
      <c r="AP132" s="46"/>
      <c r="AQ132" s="110">
        <f t="shared" si="20"/>
        <v>-2273</v>
      </c>
    </row>
    <row r="133" spans="1:43" x14ac:dyDescent="0.2">
      <c r="A133" s="14" t="s">
        <v>191</v>
      </c>
      <c r="B133" s="13" t="s">
        <v>33</v>
      </c>
      <c r="C133" s="28">
        <v>0</v>
      </c>
      <c r="D133" s="45">
        <v>0</v>
      </c>
      <c r="E133" s="45"/>
      <c r="F133" s="45">
        <v>50.15</v>
      </c>
      <c r="G133" s="45">
        <v>82</v>
      </c>
      <c r="H133" s="45"/>
      <c r="I133" s="45">
        <v>71.5</v>
      </c>
      <c r="J133" s="45">
        <v>82</v>
      </c>
      <c r="K133" s="45"/>
      <c r="L133" s="45">
        <v>142.28</v>
      </c>
      <c r="M133" s="45">
        <v>123</v>
      </c>
      <c r="N133" s="45"/>
      <c r="O133" s="45"/>
      <c r="P133" s="45"/>
      <c r="Q133" s="45"/>
      <c r="R133" s="45"/>
      <c r="S133" s="45"/>
      <c r="T133" s="45"/>
      <c r="U133" s="45"/>
      <c r="V133" s="45"/>
      <c r="W133" s="45"/>
      <c r="X133" s="45"/>
      <c r="Y133" s="45"/>
      <c r="Z133" s="45"/>
      <c r="AA133" s="45"/>
      <c r="AB133" s="45"/>
      <c r="AC133" s="45"/>
      <c r="AD133" s="45"/>
      <c r="AE133" s="45"/>
      <c r="AF133" s="45"/>
      <c r="AG133" s="45"/>
      <c r="AH133" s="45"/>
      <c r="AI133" s="45"/>
      <c r="AJ133" s="45"/>
      <c r="AK133" s="45"/>
      <c r="AL133" s="27">
        <f t="shared" si="27"/>
        <v>263.93</v>
      </c>
      <c r="AM133" s="27">
        <f t="shared" si="28"/>
        <v>287</v>
      </c>
      <c r="AN133" s="28"/>
      <c r="AO133" s="20">
        <v>450</v>
      </c>
      <c r="AP133" s="46"/>
      <c r="AQ133" s="110">
        <f t="shared" si="20"/>
        <v>-205</v>
      </c>
    </row>
    <row r="134" spans="1:43" x14ac:dyDescent="0.2">
      <c r="A134" s="14" t="s">
        <v>190</v>
      </c>
      <c r="B134" s="13" t="s">
        <v>31</v>
      </c>
      <c r="C134" s="28">
        <v>1.22</v>
      </c>
      <c r="D134" s="45">
        <v>1</v>
      </c>
      <c r="E134" s="45"/>
      <c r="F134" s="45">
        <v>1.22</v>
      </c>
      <c r="G134" s="45">
        <v>1</v>
      </c>
      <c r="H134" s="45"/>
      <c r="I134" s="45">
        <v>1.22</v>
      </c>
      <c r="J134" s="45">
        <v>2</v>
      </c>
      <c r="K134" s="45"/>
      <c r="L134" s="45">
        <v>1.22</v>
      </c>
      <c r="M134" s="45">
        <v>2</v>
      </c>
      <c r="N134" s="45"/>
      <c r="O134" s="45"/>
      <c r="P134" s="45"/>
      <c r="Q134" s="45"/>
      <c r="R134" s="45"/>
      <c r="S134" s="45"/>
      <c r="T134" s="45"/>
      <c r="U134" s="45"/>
      <c r="V134" s="45"/>
      <c r="W134" s="45"/>
      <c r="X134" s="45"/>
      <c r="Y134" s="45"/>
      <c r="Z134" s="45"/>
      <c r="AA134" s="45"/>
      <c r="AB134" s="45"/>
      <c r="AC134" s="45"/>
      <c r="AD134" s="45"/>
      <c r="AE134" s="45"/>
      <c r="AF134" s="45"/>
      <c r="AG134" s="45"/>
      <c r="AH134" s="45"/>
      <c r="AI134" s="45"/>
      <c r="AJ134" s="45"/>
      <c r="AK134" s="45"/>
      <c r="AL134" s="27">
        <f t="shared" si="27"/>
        <v>4.88</v>
      </c>
      <c r="AM134" s="27">
        <f t="shared" si="28"/>
        <v>6</v>
      </c>
      <c r="AN134" s="28"/>
      <c r="AO134" s="20">
        <v>15</v>
      </c>
      <c r="AP134" s="47"/>
      <c r="AQ134" s="110">
        <f t="shared" si="20"/>
        <v>-4</v>
      </c>
    </row>
    <row r="135" spans="1:43" x14ac:dyDescent="0.2">
      <c r="A135" s="14" t="s">
        <v>189</v>
      </c>
      <c r="B135" s="13" t="s">
        <v>29</v>
      </c>
      <c r="C135" s="28">
        <v>2154.0300000000002</v>
      </c>
      <c r="D135" s="45">
        <v>2500</v>
      </c>
      <c r="E135" s="45"/>
      <c r="F135" s="45">
        <v>2286.19</v>
      </c>
      <c r="G135" s="45">
        <v>2500</v>
      </c>
      <c r="H135" s="45"/>
      <c r="I135" s="45">
        <v>2194.46</v>
      </c>
      <c r="J135" s="45">
        <v>2500</v>
      </c>
      <c r="K135" s="45"/>
      <c r="L135" s="45">
        <v>2346.08</v>
      </c>
      <c r="M135" s="45">
        <v>2500</v>
      </c>
      <c r="N135" s="45"/>
      <c r="O135" s="45"/>
      <c r="P135" s="45"/>
      <c r="Q135" s="45"/>
      <c r="R135" s="45"/>
      <c r="S135" s="45"/>
      <c r="T135" s="45"/>
      <c r="U135" s="45"/>
      <c r="V135" s="45"/>
      <c r="W135" s="45"/>
      <c r="X135" s="45"/>
      <c r="Y135" s="45"/>
      <c r="Z135" s="45"/>
      <c r="AA135" s="45"/>
      <c r="AB135" s="45"/>
      <c r="AC135" s="45"/>
      <c r="AD135" s="45"/>
      <c r="AE135" s="45"/>
      <c r="AF135" s="45"/>
      <c r="AG135" s="45"/>
      <c r="AH135" s="45"/>
      <c r="AI135" s="45"/>
      <c r="AJ135" s="45"/>
      <c r="AK135" s="45"/>
      <c r="AL135" s="27">
        <f t="shared" si="27"/>
        <v>8980.76</v>
      </c>
      <c r="AM135" s="27">
        <f t="shared" si="28"/>
        <v>10000</v>
      </c>
      <c r="AN135" s="28"/>
      <c r="AO135" s="20">
        <v>30000</v>
      </c>
      <c r="AP135" s="46"/>
      <c r="AQ135" s="110">
        <f t="shared" si="20"/>
        <v>-5000</v>
      </c>
    </row>
    <row r="136" spans="1:43" x14ac:dyDescent="0.2">
      <c r="A136" s="14" t="s">
        <v>188</v>
      </c>
      <c r="B136" s="13" t="s">
        <v>27</v>
      </c>
      <c r="C136" s="28">
        <v>1125</v>
      </c>
      <c r="D136" s="45">
        <v>792</v>
      </c>
      <c r="E136" s="45"/>
      <c r="F136" s="45">
        <v>0</v>
      </c>
      <c r="G136" s="45">
        <v>792</v>
      </c>
      <c r="H136" s="45"/>
      <c r="I136" s="45">
        <v>750</v>
      </c>
      <c r="J136" s="45">
        <v>792</v>
      </c>
      <c r="K136" s="45"/>
      <c r="L136" s="45">
        <v>900</v>
      </c>
      <c r="M136" s="45">
        <v>792</v>
      </c>
      <c r="N136" s="45"/>
      <c r="O136" s="45"/>
      <c r="P136" s="45"/>
      <c r="Q136" s="45"/>
      <c r="R136" s="45"/>
      <c r="S136" s="45"/>
      <c r="T136" s="45"/>
      <c r="U136" s="45"/>
      <c r="V136" s="45"/>
      <c r="W136" s="45"/>
      <c r="X136" s="45"/>
      <c r="Y136" s="45"/>
      <c r="Z136" s="45"/>
      <c r="AA136" s="45"/>
      <c r="AB136" s="45"/>
      <c r="AC136" s="45"/>
      <c r="AD136" s="45"/>
      <c r="AE136" s="45"/>
      <c r="AF136" s="45"/>
      <c r="AG136" s="45"/>
      <c r="AH136" s="45"/>
      <c r="AI136" s="45"/>
      <c r="AJ136" s="45"/>
      <c r="AK136" s="45"/>
      <c r="AL136" s="27">
        <f t="shared" si="27"/>
        <v>2775</v>
      </c>
      <c r="AM136" s="27">
        <f t="shared" si="28"/>
        <v>3168</v>
      </c>
      <c r="AN136" s="28"/>
      <c r="AO136" s="20">
        <v>9500</v>
      </c>
      <c r="AP136" s="46"/>
      <c r="AQ136" s="110">
        <f t="shared" si="20"/>
        <v>-1584</v>
      </c>
    </row>
    <row r="137" spans="1:43" x14ac:dyDescent="0.2">
      <c r="A137" s="14" t="s">
        <v>187</v>
      </c>
      <c r="B137" s="13" t="s">
        <v>101</v>
      </c>
      <c r="C137" s="28">
        <v>444</v>
      </c>
      <c r="D137" s="45">
        <v>500</v>
      </c>
      <c r="E137" s="45"/>
      <c r="F137" s="45">
        <v>0</v>
      </c>
      <c r="G137" s="45">
        <v>0</v>
      </c>
      <c r="H137" s="45"/>
      <c r="I137" s="45">
        <v>0</v>
      </c>
      <c r="J137" s="45">
        <v>0</v>
      </c>
      <c r="K137" s="45"/>
      <c r="L137" s="45">
        <v>0</v>
      </c>
      <c r="M137" s="45">
        <v>0</v>
      </c>
      <c r="N137" s="45"/>
      <c r="O137" s="45"/>
      <c r="P137" s="45"/>
      <c r="Q137" s="45"/>
      <c r="R137" s="45"/>
      <c r="S137" s="45"/>
      <c r="T137" s="45"/>
      <c r="U137" s="45"/>
      <c r="V137" s="45"/>
      <c r="W137" s="45"/>
      <c r="X137" s="45"/>
      <c r="Y137" s="45"/>
      <c r="Z137" s="45"/>
      <c r="AA137" s="45"/>
      <c r="AB137" s="45"/>
      <c r="AC137" s="45"/>
      <c r="AD137" s="45"/>
      <c r="AE137" s="45"/>
      <c r="AF137" s="45"/>
      <c r="AG137" s="45"/>
      <c r="AH137" s="45"/>
      <c r="AI137" s="45"/>
      <c r="AJ137" s="45"/>
      <c r="AK137" s="45"/>
      <c r="AL137" s="27">
        <f t="shared" si="27"/>
        <v>444</v>
      </c>
      <c r="AM137" s="27">
        <f t="shared" si="28"/>
        <v>500</v>
      </c>
      <c r="AN137" s="28"/>
      <c r="AO137" s="20">
        <v>500</v>
      </c>
      <c r="AP137" s="46"/>
      <c r="AQ137" s="110">
        <f t="shared" si="20"/>
        <v>0</v>
      </c>
    </row>
    <row r="138" spans="1:43" x14ac:dyDescent="0.2">
      <c r="A138" s="14" t="s">
        <v>186</v>
      </c>
      <c r="B138" s="13" t="s">
        <v>25</v>
      </c>
      <c r="C138" s="28">
        <v>0</v>
      </c>
      <c r="D138" s="45">
        <v>333</v>
      </c>
      <c r="E138" s="45"/>
      <c r="F138" s="45">
        <v>1819.98</v>
      </c>
      <c r="G138" s="45">
        <v>333</v>
      </c>
      <c r="H138" s="45"/>
      <c r="I138" s="45">
        <v>1070.19</v>
      </c>
      <c r="J138" s="45">
        <v>334</v>
      </c>
      <c r="K138" s="45"/>
      <c r="L138" s="45">
        <v>-49.48</v>
      </c>
      <c r="M138" s="45">
        <v>333</v>
      </c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27">
        <f t="shared" si="27"/>
        <v>2840.69</v>
      </c>
      <c r="AM138" s="27">
        <f t="shared" si="28"/>
        <v>1333</v>
      </c>
      <c r="AN138" s="28"/>
      <c r="AO138" s="20">
        <v>4000</v>
      </c>
      <c r="AP138" s="46"/>
      <c r="AQ138" s="110">
        <f t="shared" si="20"/>
        <v>-667</v>
      </c>
    </row>
    <row r="139" spans="1:43" x14ac:dyDescent="0.2">
      <c r="A139" s="14">
        <v>6020600</v>
      </c>
      <c r="B139" s="13" t="s">
        <v>23</v>
      </c>
      <c r="C139" s="28"/>
      <c r="D139" s="45"/>
      <c r="E139" s="45"/>
      <c r="F139" s="45">
        <v>0</v>
      </c>
      <c r="G139" s="45">
        <v>0</v>
      </c>
      <c r="H139" s="45"/>
      <c r="I139" s="45">
        <v>0</v>
      </c>
      <c r="J139" s="45">
        <v>0</v>
      </c>
      <c r="K139" s="45"/>
      <c r="L139" s="45">
        <v>37.11</v>
      </c>
      <c r="M139" s="45">
        <v>0</v>
      </c>
      <c r="N139" s="45"/>
      <c r="O139" s="45"/>
      <c r="P139" s="45"/>
      <c r="Q139" s="45"/>
      <c r="R139" s="45"/>
      <c r="S139" s="45"/>
      <c r="T139" s="45"/>
      <c r="U139" s="45"/>
      <c r="V139" s="45"/>
      <c r="W139" s="45"/>
      <c r="X139" s="45"/>
      <c r="Y139" s="45"/>
      <c r="Z139" s="45"/>
      <c r="AA139" s="45"/>
      <c r="AB139" s="45"/>
      <c r="AC139" s="45"/>
      <c r="AD139" s="45"/>
      <c r="AE139" s="45"/>
      <c r="AF139" s="45"/>
      <c r="AG139" s="45"/>
      <c r="AH139" s="45"/>
      <c r="AI139" s="45"/>
      <c r="AJ139" s="45"/>
      <c r="AK139" s="45"/>
      <c r="AL139" s="27">
        <f t="shared" ref="AL139" si="31">+C139+F139+I139+L139+O139+R139+U139+X139+AA139+AD139+AG139+AJ139</f>
        <v>37.11</v>
      </c>
      <c r="AM139" s="27">
        <f t="shared" ref="AM139" si="32">+D139+G139+J139+M139+P139+S139+V139+Y139+AB139+AE139+AH139+AK139</f>
        <v>0</v>
      </c>
      <c r="AN139" s="28"/>
      <c r="AO139" s="20">
        <v>0</v>
      </c>
      <c r="AP139" s="46"/>
      <c r="AQ139" s="110"/>
    </row>
    <row r="140" spans="1:43" x14ac:dyDescent="0.2">
      <c r="A140" s="14" t="s">
        <v>185</v>
      </c>
      <c r="B140" s="13" t="s">
        <v>184</v>
      </c>
      <c r="C140" s="28">
        <v>415</v>
      </c>
      <c r="D140" s="45">
        <v>583</v>
      </c>
      <c r="E140" s="45"/>
      <c r="F140" s="45">
        <v>415</v>
      </c>
      <c r="G140" s="45">
        <v>583</v>
      </c>
      <c r="H140" s="45"/>
      <c r="I140" s="45">
        <v>415</v>
      </c>
      <c r="J140" s="45">
        <v>583</v>
      </c>
      <c r="K140" s="45"/>
      <c r="L140" s="45">
        <v>622.5</v>
      </c>
      <c r="M140" s="45">
        <v>583</v>
      </c>
      <c r="N140" s="45"/>
      <c r="O140" s="45"/>
      <c r="P140" s="45"/>
      <c r="Q140" s="45"/>
      <c r="R140" s="45"/>
      <c r="S140" s="45"/>
      <c r="T140" s="45"/>
      <c r="U140" s="45"/>
      <c r="V140" s="45"/>
      <c r="W140" s="45"/>
      <c r="X140" s="45"/>
      <c r="Y140" s="45"/>
      <c r="Z140" s="45"/>
      <c r="AA140" s="45"/>
      <c r="AB140" s="45"/>
      <c r="AC140" s="45"/>
      <c r="AD140" s="45"/>
      <c r="AE140" s="45"/>
      <c r="AF140" s="45"/>
      <c r="AG140" s="45"/>
      <c r="AH140" s="45"/>
      <c r="AI140" s="45"/>
      <c r="AJ140" s="45"/>
      <c r="AK140" s="45"/>
      <c r="AL140" s="27">
        <f t="shared" si="27"/>
        <v>1867.5</v>
      </c>
      <c r="AM140" s="27">
        <f t="shared" si="28"/>
        <v>2332</v>
      </c>
      <c r="AN140" s="28"/>
      <c r="AO140" s="20">
        <v>7000</v>
      </c>
      <c r="AP140" s="46"/>
      <c r="AQ140" s="110">
        <f t="shared" si="20"/>
        <v>-1166</v>
      </c>
    </row>
    <row r="141" spans="1:43" x14ac:dyDescent="0.2">
      <c r="A141" s="14" t="s">
        <v>183</v>
      </c>
      <c r="B141" s="13" t="s">
        <v>182</v>
      </c>
      <c r="C141" s="28">
        <v>107.01</v>
      </c>
      <c r="D141" s="45">
        <v>833</v>
      </c>
      <c r="E141" s="45"/>
      <c r="F141" s="45">
        <v>2219.75</v>
      </c>
      <c r="G141" s="45">
        <v>834</v>
      </c>
      <c r="H141" s="45"/>
      <c r="I141" s="45">
        <v>2192.48</v>
      </c>
      <c r="J141" s="45">
        <v>833</v>
      </c>
      <c r="K141" s="45"/>
      <c r="L141" s="45">
        <v>152.35</v>
      </c>
      <c r="M141" s="45">
        <v>834</v>
      </c>
      <c r="N141" s="45"/>
      <c r="O141" s="45"/>
      <c r="P141" s="45"/>
      <c r="Q141" s="45"/>
      <c r="R141" s="45"/>
      <c r="S141" s="45"/>
      <c r="T141" s="45"/>
      <c r="U141" s="45"/>
      <c r="V141" s="45"/>
      <c r="W141" s="45"/>
      <c r="X141" s="45"/>
      <c r="Y141" s="45"/>
      <c r="Z141" s="45"/>
      <c r="AA141" s="45"/>
      <c r="AB141" s="45"/>
      <c r="AC141" s="45"/>
      <c r="AD141" s="45"/>
      <c r="AE141" s="45"/>
      <c r="AF141" s="45"/>
      <c r="AG141" s="45"/>
      <c r="AH141" s="45"/>
      <c r="AI141" s="45"/>
      <c r="AJ141" s="45"/>
      <c r="AK141" s="45"/>
      <c r="AL141" s="27">
        <f t="shared" si="27"/>
        <v>4671.59</v>
      </c>
      <c r="AM141" s="27">
        <f t="shared" si="28"/>
        <v>3334</v>
      </c>
      <c r="AN141" s="28"/>
      <c r="AO141" s="20">
        <v>10000</v>
      </c>
      <c r="AP141" s="46"/>
      <c r="AQ141" s="110">
        <f t="shared" si="20"/>
        <v>-1667</v>
      </c>
    </row>
    <row r="142" spans="1:43" x14ac:dyDescent="0.2">
      <c r="A142" s="14" t="s">
        <v>181</v>
      </c>
      <c r="B142" s="13" t="s">
        <v>97</v>
      </c>
      <c r="C142" s="28">
        <v>4398.7700000000004</v>
      </c>
      <c r="D142" s="45">
        <v>4583</v>
      </c>
      <c r="E142" s="45"/>
      <c r="F142" s="45">
        <v>4092.52</v>
      </c>
      <c r="G142" s="45">
        <v>4583</v>
      </c>
      <c r="H142" s="45"/>
      <c r="I142" s="45">
        <v>5032.5200000000004</v>
      </c>
      <c r="J142" s="45">
        <v>4583</v>
      </c>
      <c r="K142" s="45"/>
      <c r="L142" s="45">
        <v>4062.52</v>
      </c>
      <c r="M142" s="45">
        <v>4583</v>
      </c>
      <c r="N142" s="45"/>
      <c r="O142" s="45"/>
      <c r="P142" s="45"/>
      <c r="Q142" s="45"/>
      <c r="R142" s="45"/>
      <c r="S142" s="45"/>
      <c r="T142" s="45"/>
      <c r="U142" s="45"/>
      <c r="V142" s="45"/>
      <c r="W142" s="45"/>
      <c r="X142" s="45"/>
      <c r="Y142" s="45"/>
      <c r="Z142" s="45"/>
      <c r="AA142" s="45"/>
      <c r="AB142" s="45"/>
      <c r="AC142" s="45"/>
      <c r="AD142" s="45"/>
      <c r="AE142" s="45"/>
      <c r="AF142" s="45"/>
      <c r="AG142" s="45"/>
      <c r="AH142" s="45"/>
      <c r="AI142" s="45"/>
      <c r="AJ142" s="45"/>
      <c r="AK142" s="45"/>
      <c r="AL142" s="27">
        <f t="shared" si="27"/>
        <v>17586.330000000002</v>
      </c>
      <c r="AM142" s="27">
        <f t="shared" si="28"/>
        <v>18332</v>
      </c>
      <c r="AN142" s="28"/>
      <c r="AO142" s="20">
        <v>55000</v>
      </c>
      <c r="AP142" s="46"/>
      <c r="AQ142" s="110">
        <f t="shared" si="20"/>
        <v>-9166</v>
      </c>
    </row>
    <row r="143" spans="1:43" x14ac:dyDescent="0.2">
      <c r="A143" s="14" t="s">
        <v>180</v>
      </c>
      <c r="B143" s="13" t="s">
        <v>19</v>
      </c>
      <c r="C143" s="28">
        <v>5517.76</v>
      </c>
      <c r="D143" s="45">
        <v>5834</v>
      </c>
      <c r="E143" s="45"/>
      <c r="F143" s="45">
        <v>6479.09</v>
      </c>
      <c r="G143" s="45">
        <v>5833</v>
      </c>
      <c r="H143" s="45"/>
      <c r="I143" s="45">
        <v>6479.09</v>
      </c>
      <c r="J143" s="45">
        <v>5834</v>
      </c>
      <c r="K143" s="45"/>
      <c r="L143" s="45">
        <v>6479.09</v>
      </c>
      <c r="M143" s="45">
        <v>5833</v>
      </c>
      <c r="N143" s="45"/>
      <c r="O143" s="45"/>
      <c r="P143" s="45"/>
      <c r="Q143" s="45"/>
      <c r="R143" s="45"/>
      <c r="S143" s="45"/>
      <c r="T143" s="45"/>
      <c r="U143" s="45"/>
      <c r="V143" s="45"/>
      <c r="W143" s="45"/>
      <c r="X143" s="45"/>
      <c r="Y143" s="45"/>
      <c r="Z143" s="45"/>
      <c r="AA143" s="45"/>
      <c r="AB143" s="45"/>
      <c r="AC143" s="45"/>
      <c r="AD143" s="45"/>
      <c r="AE143" s="45"/>
      <c r="AF143" s="45"/>
      <c r="AG143" s="45"/>
      <c r="AH143" s="45"/>
      <c r="AI143" s="45"/>
      <c r="AJ143" s="45"/>
      <c r="AK143" s="45"/>
      <c r="AL143" s="27">
        <f t="shared" si="27"/>
        <v>24955.030000000002</v>
      </c>
      <c r="AM143" s="27">
        <f t="shared" si="28"/>
        <v>23334</v>
      </c>
      <c r="AN143" s="28"/>
      <c r="AO143" s="20">
        <v>70000</v>
      </c>
      <c r="AP143" s="46"/>
      <c r="AQ143" s="110">
        <f t="shared" ref="AQ143:AQ206" si="33">+D143+G143-AM143</f>
        <v>-11667</v>
      </c>
    </row>
    <row r="144" spans="1:43" x14ac:dyDescent="0.2">
      <c r="A144" s="14" t="s">
        <v>179</v>
      </c>
      <c r="B144" s="13" t="s">
        <v>17</v>
      </c>
      <c r="C144" s="28">
        <v>0</v>
      </c>
      <c r="D144" s="45">
        <v>125</v>
      </c>
      <c r="E144" s="45"/>
      <c r="F144" s="45">
        <v>0</v>
      </c>
      <c r="G144" s="45">
        <v>125</v>
      </c>
      <c r="H144" s="45"/>
      <c r="I144" s="45">
        <v>0</v>
      </c>
      <c r="J144" s="45">
        <v>125</v>
      </c>
      <c r="K144" s="45"/>
      <c r="L144" s="45">
        <v>445.4</v>
      </c>
      <c r="M144" s="45">
        <v>125</v>
      </c>
      <c r="N144" s="45"/>
      <c r="O144" s="45"/>
      <c r="P144" s="45"/>
      <c r="Q144" s="45"/>
      <c r="R144" s="45"/>
      <c r="S144" s="45"/>
      <c r="T144" s="45"/>
      <c r="U144" s="45"/>
      <c r="V144" s="45"/>
      <c r="W144" s="45"/>
      <c r="X144" s="45"/>
      <c r="Y144" s="45"/>
      <c r="Z144" s="45"/>
      <c r="AA144" s="45"/>
      <c r="AB144" s="45"/>
      <c r="AC144" s="45"/>
      <c r="AD144" s="45"/>
      <c r="AE144" s="45"/>
      <c r="AF144" s="45"/>
      <c r="AG144" s="45"/>
      <c r="AH144" s="45"/>
      <c r="AI144" s="45"/>
      <c r="AJ144" s="45"/>
      <c r="AK144" s="45"/>
      <c r="AL144" s="27">
        <f t="shared" si="27"/>
        <v>445.4</v>
      </c>
      <c r="AM144" s="27">
        <f t="shared" si="28"/>
        <v>500</v>
      </c>
      <c r="AN144" s="28"/>
      <c r="AO144" s="20">
        <v>1500</v>
      </c>
      <c r="AP144" s="46"/>
      <c r="AQ144" s="110">
        <f t="shared" si="33"/>
        <v>-250</v>
      </c>
    </row>
    <row r="145" spans="1:43" x14ac:dyDescent="0.2">
      <c r="A145" s="14" t="s">
        <v>178</v>
      </c>
      <c r="B145" s="13" t="s">
        <v>15</v>
      </c>
      <c r="C145" s="28">
        <v>625</v>
      </c>
      <c r="D145" s="45">
        <v>625</v>
      </c>
      <c r="E145" s="45"/>
      <c r="F145" s="45">
        <v>300</v>
      </c>
      <c r="G145" s="45">
        <v>625</v>
      </c>
      <c r="H145" s="45"/>
      <c r="I145" s="45">
        <v>1595</v>
      </c>
      <c r="J145" s="45">
        <v>625</v>
      </c>
      <c r="K145" s="45"/>
      <c r="L145" s="45">
        <v>1118.02</v>
      </c>
      <c r="M145" s="45">
        <v>625</v>
      </c>
      <c r="N145" s="45"/>
      <c r="O145" s="45"/>
      <c r="P145" s="45"/>
      <c r="Q145" s="45"/>
      <c r="R145" s="45"/>
      <c r="S145" s="45"/>
      <c r="T145" s="45"/>
      <c r="U145" s="45"/>
      <c r="V145" s="45"/>
      <c r="W145" s="45"/>
      <c r="X145" s="45"/>
      <c r="Y145" s="45"/>
      <c r="Z145" s="45"/>
      <c r="AA145" s="45"/>
      <c r="AB145" s="45"/>
      <c r="AC145" s="45"/>
      <c r="AD145" s="45"/>
      <c r="AE145" s="45"/>
      <c r="AF145" s="45"/>
      <c r="AG145" s="45"/>
      <c r="AH145" s="45"/>
      <c r="AI145" s="45"/>
      <c r="AJ145" s="45"/>
      <c r="AK145" s="45"/>
      <c r="AL145" s="27">
        <f t="shared" si="27"/>
        <v>3638.02</v>
      </c>
      <c r="AM145" s="27">
        <f t="shared" si="28"/>
        <v>2500</v>
      </c>
      <c r="AN145" s="28"/>
      <c r="AO145" s="20">
        <v>7500</v>
      </c>
      <c r="AP145" s="46"/>
      <c r="AQ145" s="110">
        <f t="shared" si="33"/>
        <v>-1250</v>
      </c>
    </row>
    <row r="146" spans="1:43" x14ac:dyDescent="0.2">
      <c r="A146" s="14" t="s">
        <v>177</v>
      </c>
      <c r="B146" s="13" t="s">
        <v>13</v>
      </c>
      <c r="C146" s="28">
        <v>929.89</v>
      </c>
      <c r="D146" s="45">
        <v>833</v>
      </c>
      <c r="E146" s="45"/>
      <c r="F146" s="45">
        <v>732.22</v>
      </c>
      <c r="G146" s="45">
        <v>833</v>
      </c>
      <c r="H146" s="45"/>
      <c r="I146" s="45">
        <v>1743.18</v>
      </c>
      <c r="J146" s="45">
        <v>833</v>
      </c>
      <c r="K146" s="45"/>
      <c r="L146" s="45">
        <v>1248.0899999999999</v>
      </c>
      <c r="M146" s="45">
        <v>833</v>
      </c>
      <c r="N146" s="45"/>
      <c r="O146" s="45"/>
      <c r="P146" s="45"/>
      <c r="Q146" s="45"/>
      <c r="R146" s="45"/>
      <c r="S146" s="45"/>
      <c r="T146" s="45"/>
      <c r="U146" s="45"/>
      <c r="V146" s="45"/>
      <c r="W146" s="45"/>
      <c r="X146" s="45"/>
      <c r="Y146" s="45"/>
      <c r="Z146" s="45"/>
      <c r="AA146" s="45"/>
      <c r="AB146" s="45"/>
      <c r="AC146" s="45"/>
      <c r="AD146" s="45"/>
      <c r="AE146" s="45"/>
      <c r="AF146" s="45"/>
      <c r="AG146" s="45"/>
      <c r="AH146" s="45"/>
      <c r="AI146" s="45"/>
      <c r="AJ146" s="45"/>
      <c r="AK146" s="45"/>
      <c r="AL146" s="27">
        <f t="shared" si="27"/>
        <v>4653.38</v>
      </c>
      <c r="AM146" s="27">
        <f t="shared" si="28"/>
        <v>3332</v>
      </c>
      <c r="AN146" s="28"/>
      <c r="AO146" s="20">
        <v>10000</v>
      </c>
      <c r="AP146" s="46"/>
      <c r="AQ146" s="110">
        <f t="shared" si="33"/>
        <v>-1666</v>
      </c>
    </row>
    <row r="147" spans="1:43" x14ac:dyDescent="0.2">
      <c r="A147" s="14" t="s">
        <v>176</v>
      </c>
      <c r="B147" s="13" t="s">
        <v>9</v>
      </c>
      <c r="C147" s="28">
        <v>314.95</v>
      </c>
      <c r="D147" s="45">
        <v>416</v>
      </c>
      <c r="E147" s="45"/>
      <c r="F147" s="45">
        <v>116.95</v>
      </c>
      <c r="G147" s="45">
        <v>417</v>
      </c>
      <c r="H147" s="45"/>
      <c r="I147" s="45">
        <v>173.77</v>
      </c>
      <c r="J147" s="45">
        <v>416</v>
      </c>
      <c r="K147" s="45"/>
      <c r="L147" s="45">
        <v>167.79</v>
      </c>
      <c r="M147" s="45">
        <v>417</v>
      </c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5"/>
      <c r="AB147" s="45"/>
      <c r="AC147" s="45"/>
      <c r="AD147" s="45"/>
      <c r="AE147" s="45"/>
      <c r="AF147" s="45"/>
      <c r="AG147" s="45"/>
      <c r="AH147" s="45"/>
      <c r="AI147" s="45"/>
      <c r="AJ147" s="45"/>
      <c r="AK147" s="45"/>
      <c r="AL147" s="27">
        <f t="shared" si="27"/>
        <v>773.45999999999992</v>
      </c>
      <c r="AM147" s="27">
        <f t="shared" si="28"/>
        <v>1666</v>
      </c>
      <c r="AN147" s="28"/>
      <c r="AO147" s="20">
        <v>5000</v>
      </c>
      <c r="AP147" s="46"/>
      <c r="AQ147" s="110">
        <f t="shared" si="33"/>
        <v>-833</v>
      </c>
    </row>
    <row r="148" spans="1:43" x14ac:dyDescent="0.2">
      <c r="A148" s="14">
        <v>6022050</v>
      </c>
      <c r="B148" s="13" t="s">
        <v>375</v>
      </c>
      <c r="C148" s="28">
        <v>16118.84</v>
      </c>
      <c r="D148" s="45">
        <v>0</v>
      </c>
      <c r="E148" s="45"/>
      <c r="F148" s="45">
        <v>205632.1</v>
      </c>
      <c r="G148" s="45">
        <v>0</v>
      </c>
      <c r="H148" s="45"/>
      <c r="I148" s="45">
        <v>586997.51</v>
      </c>
      <c r="J148" s="45">
        <v>0</v>
      </c>
      <c r="K148" s="45"/>
      <c r="L148" s="45">
        <v>219527.76</v>
      </c>
      <c r="M148" s="45">
        <v>0</v>
      </c>
      <c r="N148" s="45"/>
      <c r="O148" s="45"/>
      <c r="P148" s="45"/>
      <c r="Q148" s="45"/>
      <c r="R148" s="45"/>
      <c r="S148" s="45"/>
      <c r="T148" s="45"/>
      <c r="U148" s="45"/>
      <c r="V148" s="45"/>
      <c r="W148" s="45"/>
      <c r="X148" s="45"/>
      <c r="Y148" s="45"/>
      <c r="Z148" s="45"/>
      <c r="AA148" s="45"/>
      <c r="AB148" s="45"/>
      <c r="AC148" s="45"/>
      <c r="AD148" s="45"/>
      <c r="AE148" s="45"/>
      <c r="AF148" s="45"/>
      <c r="AG148" s="45"/>
      <c r="AH148" s="45"/>
      <c r="AI148" s="45"/>
      <c r="AJ148" s="45"/>
      <c r="AK148" s="45"/>
      <c r="AL148" s="27">
        <f t="shared" si="27"/>
        <v>1028276.21</v>
      </c>
      <c r="AM148" s="27">
        <f t="shared" si="28"/>
        <v>0</v>
      </c>
      <c r="AN148" s="28"/>
      <c r="AO148" s="20">
        <v>0</v>
      </c>
      <c r="AP148" s="46"/>
      <c r="AQ148" s="110">
        <f t="shared" si="33"/>
        <v>0</v>
      </c>
    </row>
    <row r="149" spans="1:43" x14ac:dyDescent="0.2">
      <c r="A149" s="14"/>
      <c r="B149" s="13"/>
      <c r="C149" s="28"/>
      <c r="D149" s="28"/>
      <c r="E149" s="28"/>
      <c r="F149" s="28"/>
      <c r="G149" s="28"/>
      <c r="H149" s="28"/>
      <c r="I149" s="28"/>
      <c r="J149" s="28"/>
      <c r="K149" s="28"/>
      <c r="L149" s="28"/>
      <c r="M149" s="28"/>
      <c r="N149" s="28"/>
      <c r="O149" s="28"/>
      <c r="P149" s="28"/>
      <c r="Q149" s="28"/>
      <c r="R149" s="28"/>
      <c r="S149" s="28"/>
      <c r="T149" s="28"/>
      <c r="U149" s="28"/>
      <c r="V149" s="28"/>
      <c r="W149" s="28"/>
      <c r="X149" s="28"/>
      <c r="Y149" s="28"/>
      <c r="Z149" s="28"/>
      <c r="AA149" s="28"/>
      <c r="AB149" s="28"/>
      <c r="AC149" s="28"/>
      <c r="AD149" s="28"/>
      <c r="AE149" s="28"/>
      <c r="AF149" s="28"/>
      <c r="AG149" s="28"/>
      <c r="AH149" s="28"/>
      <c r="AI149" s="28"/>
      <c r="AJ149" s="28"/>
      <c r="AK149" s="28"/>
      <c r="AL149" s="28"/>
      <c r="AM149" s="28"/>
      <c r="AN149" s="28"/>
      <c r="AO149" s="20"/>
      <c r="AP149" s="46"/>
      <c r="AQ149" s="110">
        <f t="shared" si="33"/>
        <v>0</v>
      </c>
    </row>
    <row r="150" spans="1:43" x14ac:dyDescent="0.2">
      <c r="A150" s="18"/>
      <c r="B150" s="17" t="s">
        <v>175</v>
      </c>
      <c r="C150" s="31">
        <f>SUM(C125:C148)</f>
        <v>72582.509999999995</v>
      </c>
      <c r="D150" s="31">
        <f>SUM(D125:D148)</f>
        <v>59198</v>
      </c>
      <c r="E150" s="34"/>
      <c r="F150" s="31">
        <f>SUM(F125:F148)</f>
        <v>269057.55</v>
      </c>
      <c r="G150" s="31">
        <f>SUM(G125:G148)</f>
        <v>59690</v>
      </c>
      <c r="H150" s="34"/>
      <c r="I150" s="31">
        <f>SUM(I125:I148)</f>
        <v>656747.44999999995</v>
      </c>
      <c r="J150" s="31">
        <f>SUM(J125:J148)</f>
        <v>59692</v>
      </c>
      <c r="K150" s="34"/>
      <c r="L150" s="31">
        <f>SUM(L125:L148)</f>
        <v>298894.37</v>
      </c>
      <c r="M150" s="31">
        <f>SUM(M125:M148)</f>
        <v>77077</v>
      </c>
      <c r="N150" s="34"/>
      <c r="O150" s="31">
        <f>SUM(O125:O148)</f>
        <v>0</v>
      </c>
      <c r="P150" s="31">
        <f>SUM(P125:P148)</f>
        <v>0</v>
      </c>
      <c r="Q150" s="34"/>
      <c r="R150" s="31">
        <f>SUM(R125:R148)</f>
        <v>0</v>
      </c>
      <c r="S150" s="31">
        <f>SUM(S125:S148)</f>
        <v>0</v>
      </c>
      <c r="T150" s="34"/>
      <c r="U150" s="31">
        <f>SUM(U125:U148)</f>
        <v>0</v>
      </c>
      <c r="V150" s="31">
        <f>SUM(V125:V148)</f>
        <v>0</v>
      </c>
      <c r="W150" s="34"/>
      <c r="X150" s="31">
        <f>SUM(X125:X148)</f>
        <v>0</v>
      </c>
      <c r="Y150" s="31">
        <f>SUM(Y125:Y148)</f>
        <v>0</v>
      </c>
      <c r="Z150" s="34"/>
      <c r="AA150" s="31">
        <f>SUM(AA125:AA148)</f>
        <v>0</v>
      </c>
      <c r="AB150" s="31">
        <f>SUM(AB125:AB148)</f>
        <v>0</v>
      </c>
      <c r="AC150" s="34"/>
      <c r="AD150" s="31">
        <f>SUM(AD125:AD148)</f>
        <v>0</v>
      </c>
      <c r="AE150" s="31">
        <f>SUM(AE125:AE148)</f>
        <v>0</v>
      </c>
      <c r="AF150" s="34"/>
      <c r="AG150" s="31">
        <f>SUM(AG125:AG148)</f>
        <v>0</v>
      </c>
      <c r="AH150" s="31">
        <f>SUM(AH125:AH148)</f>
        <v>0</v>
      </c>
      <c r="AI150" s="34"/>
      <c r="AJ150" s="31">
        <f>SUM(AJ125:AJ148)</f>
        <v>0</v>
      </c>
      <c r="AK150" s="31">
        <f>SUM(AK125:AK148)</f>
        <v>0</v>
      </c>
      <c r="AL150" s="31">
        <f>SUM(AL125:AL148)</f>
        <v>1297281.8799999999</v>
      </c>
      <c r="AM150" s="31">
        <f>SUM(AM125:AM148)</f>
        <v>255657</v>
      </c>
      <c r="AN150" s="34"/>
      <c r="AO150" s="31">
        <f>SUM(AO125:AO148)</f>
        <v>744123</v>
      </c>
      <c r="AP150" s="46"/>
      <c r="AQ150" s="110">
        <f t="shared" si="33"/>
        <v>-136769</v>
      </c>
    </row>
    <row r="151" spans="1:43" x14ac:dyDescent="0.2">
      <c r="A151" s="18"/>
      <c r="B151" s="17"/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2"/>
      <c r="AP151" s="46"/>
      <c r="AQ151" s="110">
        <f t="shared" si="33"/>
        <v>0</v>
      </c>
    </row>
    <row r="152" spans="1:43" x14ac:dyDescent="0.2">
      <c r="A152" s="14" t="s">
        <v>174</v>
      </c>
      <c r="B152" s="13" t="s">
        <v>41</v>
      </c>
      <c r="C152" s="28">
        <v>6319.59</v>
      </c>
      <c r="D152" s="28">
        <v>5914</v>
      </c>
      <c r="E152" s="28"/>
      <c r="F152" s="28">
        <v>6329.57</v>
      </c>
      <c r="G152" s="28">
        <v>4745</v>
      </c>
      <c r="H152" s="28"/>
      <c r="I152" s="28">
        <v>6440.29</v>
      </c>
      <c r="J152" s="28">
        <v>4745</v>
      </c>
      <c r="K152" s="28"/>
      <c r="L152" s="28">
        <v>10087.219999999999</v>
      </c>
      <c r="M152" s="28">
        <v>7702</v>
      </c>
      <c r="N152" s="28"/>
      <c r="O152" s="28"/>
      <c r="P152" s="28"/>
      <c r="Q152" s="28"/>
      <c r="R152" s="28"/>
      <c r="S152" s="28"/>
      <c r="T152" s="28"/>
      <c r="U152" s="28"/>
      <c r="V152" s="28"/>
      <c r="W152" s="28"/>
      <c r="X152" s="28"/>
      <c r="Y152" s="28"/>
      <c r="Z152" s="28"/>
      <c r="AA152" s="28"/>
      <c r="AB152" s="28"/>
      <c r="AC152" s="28"/>
      <c r="AD152" s="28"/>
      <c r="AE152" s="28"/>
      <c r="AF152" s="28"/>
      <c r="AG152" s="28"/>
      <c r="AH152" s="28"/>
      <c r="AI152" s="28"/>
      <c r="AJ152" s="28"/>
      <c r="AK152" s="28"/>
      <c r="AL152" s="27">
        <f t="shared" ref="AL152:AL174" si="34">+C152+F152+I152+L152+O152+R152+U152+X152+AA152+AD152+AG152+AJ152</f>
        <v>29176.67</v>
      </c>
      <c r="AM152" s="27">
        <f t="shared" ref="AM152:AM174" si="35">+D152+G152+J152+M152+P152+S152+V152+Y152+AB152+AE152+AH152+AK152</f>
        <v>23106</v>
      </c>
      <c r="AN152" s="28"/>
      <c r="AO152" s="20">
        <v>76871</v>
      </c>
      <c r="AP152" s="46"/>
      <c r="AQ152" s="110">
        <f t="shared" si="33"/>
        <v>-12447</v>
      </c>
    </row>
    <row r="153" spans="1:43" x14ac:dyDescent="0.2">
      <c r="A153" s="14">
        <v>6050105</v>
      </c>
      <c r="B153" s="13" t="s">
        <v>387</v>
      </c>
      <c r="C153" s="28">
        <v>35.06</v>
      </c>
      <c r="D153" s="28">
        <v>0</v>
      </c>
      <c r="E153" s="28"/>
      <c r="F153" s="28">
        <v>792.36</v>
      </c>
      <c r="G153" s="28">
        <v>1168</v>
      </c>
      <c r="H153" s="28"/>
      <c r="I153" s="28">
        <v>845.65</v>
      </c>
      <c r="J153" s="28">
        <v>1168</v>
      </c>
      <c r="K153" s="28"/>
      <c r="L153" s="28">
        <v>1181.99</v>
      </c>
      <c r="M153" s="28">
        <v>1168</v>
      </c>
      <c r="N153" s="28"/>
      <c r="O153" s="28"/>
      <c r="P153" s="28"/>
      <c r="Q153" s="28"/>
      <c r="R153" s="28"/>
      <c r="S153" s="28"/>
      <c r="T153" s="28"/>
      <c r="U153" s="28"/>
      <c r="V153" s="28"/>
      <c r="W153" s="28"/>
      <c r="X153" s="28"/>
      <c r="Y153" s="28"/>
      <c r="Z153" s="28"/>
      <c r="AA153" s="28"/>
      <c r="AB153" s="28"/>
      <c r="AC153" s="28"/>
      <c r="AD153" s="28"/>
      <c r="AE153" s="28"/>
      <c r="AF153" s="28"/>
      <c r="AG153" s="28"/>
      <c r="AH153" s="28"/>
      <c r="AI153" s="28"/>
      <c r="AJ153" s="28"/>
      <c r="AK153" s="28"/>
      <c r="AL153" s="27">
        <f t="shared" ref="AL153" si="36">+C153+F153+I153+L153+O153+R153+U153+X153+AA153+AD153+AG153+AJ153</f>
        <v>2855.0600000000004</v>
      </c>
      <c r="AM153" s="27">
        <f t="shared" ref="AM153" si="37">+D153+G153+J153+M153+P153+S153+V153+Y153+AB153+AE153+AH153+AK153</f>
        <v>3504</v>
      </c>
      <c r="AN153" s="28"/>
      <c r="AO153" s="20">
        <v>0</v>
      </c>
      <c r="AP153" s="46"/>
      <c r="AQ153" s="110">
        <f t="shared" si="33"/>
        <v>-2336</v>
      </c>
    </row>
    <row r="154" spans="1:43" x14ac:dyDescent="0.2">
      <c r="A154" s="14" t="s">
        <v>173</v>
      </c>
      <c r="B154" s="13" t="s">
        <v>39</v>
      </c>
      <c r="C154" s="28">
        <v>454.18</v>
      </c>
      <c r="D154" s="28">
        <v>473</v>
      </c>
      <c r="E154" s="28"/>
      <c r="F154" s="28">
        <v>512.91</v>
      </c>
      <c r="G154" s="28">
        <v>473</v>
      </c>
      <c r="H154" s="28"/>
      <c r="I154" s="28">
        <v>525.45000000000005</v>
      </c>
      <c r="J154" s="28">
        <v>473</v>
      </c>
      <c r="K154" s="28"/>
      <c r="L154" s="28">
        <v>829.96</v>
      </c>
      <c r="M154" s="28">
        <v>710</v>
      </c>
      <c r="N154" s="28"/>
      <c r="O154" s="28"/>
      <c r="P154" s="28"/>
      <c r="Q154" s="28"/>
      <c r="R154" s="28"/>
      <c r="S154" s="28"/>
      <c r="T154" s="28"/>
      <c r="U154" s="28"/>
      <c r="V154" s="28"/>
      <c r="W154" s="28"/>
      <c r="X154" s="28"/>
      <c r="Y154" s="28"/>
      <c r="Z154" s="28"/>
      <c r="AA154" s="28"/>
      <c r="AB154" s="28"/>
      <c r="AC154" s="28"/>
      <c r="AD154" s="28"/>
      <c r="AE154" s="28"/>
      <c r="AF154" s="28"/>
      <c r="AG154" s="28"/>
      <c r="AH154" s="28"/>
      <c r="AI154" s="28"/>
      <c r="AJ154" s="28"/>
      <c r="AK154" s="28"/>
      <c r="AL154" s="27">
        <f t="shared" si="34"/>
        <v>2322.5</v>
      </c>
      <c r="AM154" s="27">
        <f t="shared" si="35"/>
        <v>2129</v>
      </c>
      <c r="AN154" s="28"/>
      <c r="AO154" s="20">
        <v>6150</v>
      </c>
      <c r="AP154" s="46"/>
      <c r="AQ154" s="110">
        <f t="shared" si="33"/>
        <v>-1183</v>
      </c>
    </row>
    <row r="155" spans="1:43" x14ac:dyDescent="0.2">
      <c r="A155" s="14" t="s">
        <v>172</v>
      </c>
      <c r="B155" s="13" t="s">
        <v>37</v>
      </c>
      <c r="C155" s="28">
        <v>3462.64</v>
      </c>
      <c r="D155" s="28">
        <v>3790</v>
      </c>
      <c r="E155" s="28"/>
      <c r="F155" s="28">
        <v>3462.64</v>
      </c>
      <c r="G155" s="28">
        <v>3789</v>
      </c>
      <c r="H155" s="28"/>
      <c r="I155" s="28">
        <v>3526.34</v>
      </c>
      <c r="J155" s="28">
        <v>3790</v>
      </c>
      <c r="K155" s="28"/>
      <c r="L155" s="28">
        <v>3569.56</v>
      </c>
      <c r="M155" s="28">
        <v>3789</v>
      </c>
      <c r="N155" s="28"/>
      <c r="O155" s="28"/>
      <c r="P155" s="28"/>
      <c r="Q155" s="28"/>
      <c r="R155" s="28"/>
      <c r="S155" s="28"/>
      <c r="T155" s="28"/>
      <c r="U155" s="28"/>
      <c r="V155" s="28"/>
      <c r="W155" s="28"/>
      <c r="X155" s="28"/>
      <c r="Y155" s="28"/>
      <c r="Z155" s="28"/>
      <c r="AA155" s="28"/>
      <c r="AB155" s="28"/>
      <c r="AC155" s="28"/>
      <c r="AD155" s="28"/>
      <c r="AE155" s="28"/>
      <c r="AF155" s="28"/>
      <c r="AG155" s="28"/>
      <c r="AH155" s="28"/>
      <c r="AI155" s="28"/>
      <c r="AJ155" s="28"/>
      <c r="AK155" s="28"/>
      <c r="AL155" s="27">
        <f t="shared" si="34"/>
        <v>14021.179999999998</v>
      </c>
      <c r="AM155" s="27">
        <f t="shared" si="35"/>
        <v>15158</v>
      </c>
      <c r="AN155" s="28"/>
      <c r="AO155" s="20">
        <v>45470</v>
      </c>
      <c r="AP155" s="46"/>
      <c r="AQ155" s="110">
        <f t="shared" si="33"/>
        <v>-7579</v>
      </c>
    </row>
    <row r="156" spans="1:43" x14ac:dyDescent="0.2">
      <c r="A156" s="14" t="s">
        <v>171</v>
      </c>
      <c r="B156" s="13" t="s">
        <v>57</v>
      </c>
      <c r="C156" s="28">
        <v>0</v>
      </c>
      <c r="D156" s="28">
        <v>500</v>
      </c>
      <c r="E156" s="28"/>
      <c r="F156" s="28">
        <v>0</v>
      </c>
      <c r="G156" s="28">
        <v>0</v>
      </c>
      <c r="H156" s="28"/>
      <c r="I156" s="28">
        <v>0</v>
      </c>
      <c r="J156" s="28">
        <v>0</v>
      </c>
      <c r="K156" s="28"/>
      <c r="L156" s="28">
        <v>0</v>
      </c>
      <c r="M156" s="28">
        <v>0</v>
      </c>
      <c r="N156" s="28"/>
      <c r="O156" s="28"/>
      <c r="P156" s="28"/>
      <c r="Q156" s="28"/>
      <c r="R156" s="28"/>
      <c r="S156" s="28"/>
      <c r="T156" s="28"/>
      <c r="U156" s="28"/>
      <c r="V156" s="28"/>
      <c r="W156" s="28"/>
      <c r="X156" s="28"/>
      <c r="Y156" s="28"/>
      <c r="Z156" s="28"/>
      <c r="AA156" s="28"/>
      <c r="AB156" s="28"/>
      <c r="AC156" s="28"/>
      <c r="AD156" s="28"/>
      <c r="AE156" s="28"/>
      <c r="AF156" s="28"/>
      <c r="AG156" s="28"/>
      <c r="AH156" s="28"/>
      <c r="AI156" s="28"/>
      <c r="AJ156" s="28"/>
      <c r="AK156" s="28"/>
      <c r="AL156" s="27">
        <f t="shared" si="34"/>
        <v>0</v>
      </c>
      <c r="AM156" s="27">
        <f t="shared" si="35"/>
        <v>500</v>
      </c>
      <c r="AN156" s="28"/>
      <c r="AO156" s="20">
        <v>500</v>
      </c>
      <c r="AP156" s="46"/>
      <c r="AQ156" s="110">
        <f t="shared" si="33"/>
        <v>0</v>
      </c>
    </row>
    <row r="157" spans="1:43" x14ac:dyDescent="0.2">
      <c r="A157" s="14" t="s">
        <v>170</v>
      </c>
      <c r="B157" s="13" t="s">
        <v>35</v>
      </c>
      <c r="C157" s="28">
        <v>26.54</v>
      </c>
      <c r="D157" s="28">
        <v>26</v>
      </c>
      <c r="E157" s="28"/>
      <c r="F157" s="28">
        <v>26.54</v>
      </c>
      <c r="G157" s="28">
        <v>26</v>
      </c>
      <c r="H157" s="28"/>
      <c r="I157" s="28">
        <v>26.54</v>
      </c>
      <c r="J157" s="28">
        <v>26</v>
      </c>
      <c r="K157" s="28"/>
      <c r="L157" s="28">
        <v>26.54</v>
      </c>
      <c r="M157" s="28">
        <v>40</v>
      </c>
      <c r="N157" s="28"/>
      <c r="O157" s="28"/>
      <c r="P157" s="28"/>
      <c r="Q157" s="28"/>
      <c r="R157" s="28"/>
      <c r="S157" s="28"/>
      <c r="T157" s="28"/>
      <c r="U157" s="28"/>
      <c r="V157" s="28"/>
      <c r="W157" s="28"/>
      <c r="X157" s="28"/>
      <c r="Y157" s="28"/>
      <c r="Z157" s="28"/>
      <c r="AA157" s="28"/>
      <c r="AB157" s="28"/>
      <c r="AC157" s="28"/>
      <c r="AD157" s="28"/>
      <c r="AE157" s="28"/>
      <c r="AF157" s="28"/>
      <c r="AG157" s="28"/>
      <c r="AH157" s="28"/>
      <c r="AI157" s="28"/>
      <c r="AJ157" s="28"/>
      <c r="AK157" s="28"/>
      <c r="AL157" s="27">
        <f t="shared" si="34"/>
        <v>106.16</v>
      </c>
      <c r="AM157" s="27">
        <f t="shared" si="35"/>
        <v>118</v>
      </c>
      <c r="AN157" s="28"/>
      <c r="AO157" s="20">
        <v>339</v>
      </c>
      <c r="AP157" s="47"/>
      <c r="AQ157" s="110">
        <f t="shared" si="33"/>
        <v>-66</v>
      </c>
    </row>
    <row r="158" spans="1:43" x14ac:dyDescent="0.2">
      <c r="A158" s="14" t="s">
        <v>169</v>
      </c>
      <c r="B158" s="13" t="s">
        <v>34</v>
      </c>
      <c r="C158" s="28">
        <v>0</v>
      </c>
      <c r="D158" s="28">
        <v>0</v>
      </c>
      <c r="E158" s="28"/>
      <c r="F158" s="28">
        <v>3287.36</v>
      </c>
      <c r="G158" s="28">
        <v>0</v>
      </c>
      <c r="H158" s="28"/>
      <c r="I158" s="28">
        <v>19600.080000000002</v>
      </c>
      <c r="J158" s="28">
        <v>21072</v>
      </c>
      <c r="K158" s="28"/>
      <c r="L158" s="28">
        <v>41636.550000000003</v>
      </c>
      <c r="M158" s="28">
        <v>31608</v>
      </c>
      <c r="N158" s="28"/>
      <c r="O158" s="28"/>
      <c r="P158" s="28"/>
      <c r="Q158" s="28"/>
      <c r="R158" s="28"/>
      <c r="S158" s="28"/>
      <c r="T158" s="28"/>
      <c r="U158" s="28"/>
      <c r="V158" s="28"/>
      <c r="W158" s="28"/>
      <c r="X158" s="28"/>
      <c r="Y158" s="28"/>
      <c r="Z158" s="28"/>
      <c r="AA158" s="28"/>
      <c r="AB158" s="28"/>
      <c r="AC158" s="28"/>
      <c r="AD158" s="28"/>
      <c r="AE158" s="28"/>
      <c r="AF158" s="28"/>
      <c r="AG158" s="28"/>
      <c r="AH158" s="28"/>
      <c r="AI158" s="28"/>
      <c r="AJ158" s="28"/>
      <c r="AK158" s="28"/>
      <c r="AL158" s="27">
        <f t="shared" si="34"/>
        <v>64523.990000000005</v>
      </c>
      <c r="AM158" s="27">
        <f t="shared" si="35"/>
        <v>52680</v>
      </c>
      <c r="AN158" s="28"/>
      <c r="AO158" s="20">
        <v>94825</v>
      </c>
      <c r="AP158" s="46"/>
      <c r="AQ158" s="110">
        <f t="shared" si="33"/>
        <v>-52680</v>
      </c>
    </row>
    <row r="159" spans="1:43" x14ac:dyDescent="0.2">
      <c r="A159" s="14">
        <v>6050305</v>
      </c>
      <c r="B159" s="13" t="s">
        <v>388</v>
      </c>
      <c r="C159" s="28">
        <v>0</v>
      </c>
      <c r="D159" s="28">
        <v>0</v>
      </c>
      <c r="E159" s="28"/>
      <c r="F159" s="28">
        <v>0</v>
      </c>
      <c r="G159" s="28">
        <v>0</v>
      </c>
      <c r="H159" s="28"/>
      <c r="I159" s="28">
        <v>103.72</v>
      </c>
      <c r="J159" s="28">
        <v>0</v>
      </c>
      <c r="K159" s="28"/>
      <c r="L159" s="28">
        <v>248.63</v>
      </c>
      <c r="M159" s="28">
        <v>0</v>
      </c>
      <c r="N159" s="28"/>
      <c r="O159" s="28"/>
      <c r="P159" s="28"/>
      <c r="Q159" s="28"/>
      <c r="R159" s="28"/>
      <c r="S159" s="28"/>
      <c r="T159" s="28"/>
      <c r="U159" s="28"/>
      <c r="V159" s="28"/>
      <c r="W159" s="28"/>
      <c r="X159" s="28"/>
      <c r="Y159" s="28"/>
      <c r="Z159" s="28"/>
      <c r="AA159" s="28"/>
      <c r="AB159" s="28"/>
      <c r="AC159" s="28"/>
      <c r="AD159" s="28"/>
      <c r="AE159" s="28"/>
      <c r="AF159" s="28"/>
      <c r="AG159" s="28"/>
      <c r="AH159" s="28"/>
      <c r="AI159" s="28"/>
      <c r="AJ159" s="28"/>
      <c r="AK159" s="28"/>
      <c r="AL159" s="27">
        <f t="shared" ref="AL159" si="38">+C159+F159+I159+L159+O159+R159+U159+X159+AA159+AD159+AG159+AJ159</f>
        <v>352.35</v>
      </c>
      <c r="AM159" s="27">
        <f t="shared" ref="AM159" si="39">+D159+G159+J159+M159+P159+S159+V159+Y159+AB159+AE159+AH159+AK159</f>
        <v>0</v>
      </c>
      <c r="AN159" s="28"/>
      <c r="AO159" s="20">
        <v>0</v>
      </c>
      <c r="AP159" s="46"/>
      <c r="AQ159" s="110">
        <f t="shared" si="33"/>
        <v>0</v>
      </c>
    </row>
    <row r="160" spans="1:43" x14ac:dyDescent="0.2">
      <c r="A160" s="14" t="s">
        <v>168</v>
      </c>
      <c r="B160" s="13" t="s">
        <v>33</v>
      </c>
      <c r="C160" s="28">
        <v>0</v>
      </c>
      <c r="D160" s="28">
        <v>0</v>
      </c>
      <c r="E160" s="28"/>
      <c r="F160" s="28">
        <v>251.87</v>
      </c>
      <c r="G160" s="28">
        <v>0</v>
      </c>
      <c r="H160" s="28"/>
      <c r="I160" s="28">
        <v>1409.65</v>
      </c>
      <c r="J160" s="28">
        <v>2100</v>
      </c>
      <c r="K160" s="28"/>
      <c r="L160" s="28">
        <v>2093.19</v>
      </c>
      <c r="M160" s="28">
        <v>3150</v>
      </c>
      <c r="N160" s="28"/>
      <c r="O160" s="28"/>
      <c r="P160" s="28"/>
      <c r="Q160" s="28"/>
      <c r="R160" s="28"/>
      <c r="S160" s="28"/>
      <c r="T160" s="28"/>
      <c r="U160" s="28"/>
      <c r="V160" s="28"/>
      <c r="W160" s="28"/>
      <c r="X160" s="28"/>
      <c r="Y160" s="28"/>
      <c r="Z160" s="28"/>
      <c r="AA160" s="28"/>
      <c r="AB160" s="28"/>
      <c r="AC160" s="28"/>
      <c r="AD160" s="28"/>
      <c r="AE160" s="28"/>
      <c r="AF160" s="28"/>
      <c r="AG160" s="28"/>
      <c r="AH160" s="28"/>
      <c r="AI160" s="28"/>
      <c r="AJ160" s="28"/>
      <c r="AK160" s="28"/>
      <c r="AL160" s="27">
        <f t="shared" si="34"/>
        <v>3754.71</v>
      </c>
      <c r="AM160" s="27">
        <f t="shared" si="35"/>
        <v>5250</v>
      </c>
      <c r="AN160" s="28"/>
      <c r="AO160" s="20">
        <v>9450</v>
      </c>
      <c r="AP160" s="46"/>
      <c r="AQ160" s="110">
        <f t="shared" si="33"/>
        <v>-5250</v>
      </c>
    </row>
    <row r="161" spans="1:43" x14ac:dyDescent="0.2">
      <c r="A161" s="14" t="s">
        <v>167</v>
      </c>
      <c r="B161" s="13" t="s">
        <v>32</v>
      </c>
      <c r="C161" s="28">
        <v>3637.07</v>
      </c>
      <c r="D161" s="28">
        <v>3000</v>
      </c>
      <c r="E161" s="28"/>
      <c r="F161" s="28">
        <v>0</v>
      </c>
      <c r="G161" s="28">
        <v>0</v>
      </c>
      <c r="H161" s="28"/>
      <c r="I161" s="28">
        <v>0</v>
      </c>
      <c r="J161" s="28">
        <v>0</v>
      </c>
      <c r="K161" s="28"/>
      <c r="L161" s="28">
        <v>0</v>
      </c>
      <c r="M161" s="28">
        <v>0</v>
      </c>
      <c r="N161" s="28"/>
      <c r="O161" s="28"/>
      <c r="P161" s="28"/>
      <c r="Q161" s="28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8"/>
      <c r="AD161" s="28"/>
      <c r="AE161" s="28"/>
      <c r="AF161" s="28"/>
      <c r="AG161" s="28"/>
      <c r="AH161" s="28"/>
      <c r="AI161" s="28"/>
      <c r="AJ161" s="28"/>
      <c r="AK161" s="28"/>
      <c r="AL161" s="27">
        <f t="shared" si="34"/>
        <v>3637.07</v>
      </c>
      <c r="AM161" s="27">
        <f t="shared" si="35"/>
        <v>3000</v>
      </c>
      <c r="AN161" s="28"/>
      <c r="AO161" s="20">
        <v>3000</v>
      </c>
      <c r="AP161" s="46"/>
      <c r="AQ161" s="110">
        <f t="shared" si="33"/>
        <v>0</v>
      </c>
    </row>
    <row r="162" spans="1:43" x14ac:dyDescent="0.2">
      <c r="A162" s="14" t="s">
        <v>166</v>
      </c>
      <c r="B162" s="13" t="s">
        <v>31</v>
      </c>
      <c r="C162" s="28">
        <v>29.83</v>
      </c>
      <c r="D162" s="28">
        <v>32</v>
      </c>
      <c r="E162" s="28"/>
      <c r="F162" s="28">
        <v>29.83</v>
      </c>
      <c r="G162" s="28">
        <v>32</v>
      </c>
      <c r="H162" s="28"/>
      <c r="I162" s="28">
        <v>29.83</v>
      </c>
      <c r="J162" s="28">
        <v>33</v>
      </c>
      <c r="K162" s="28"/>
      <c r="L162" s="28">
        <v>29.83</v>
      </c>
      <c r="M162" s="28">
        <v>49</v>
      </c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8"/>
      <c r="AD162" s="28"/>
      <c r="AE162" s="28"/>
      <c r="AF162" s="28"/>
      <c r="AG162" s="28"/>
      <c r="AH162" s="28"/>
      <c r="AI162" s="28"/>
      <c r="AJ162" s="28"/>
      <c r="AK162" s="28"/>
      <c r="AL162" s="27">
        <f t="shared" si="34"/>
        <v>119.32</v>
      </c>
      <c r="AM162" s="27">
        <f t="shared" si="35"/>
        <v>146</v>
      </c>
      <c r="AN162" s="28"/>
      <c r="AO162" s="20">
        <v>420</v>
      </c>
      <c r="AP162" s="47"/>
      <c r="AQ162" s="110">
        <f t="shared" si="33"/>
        <v>-82</v>
      </c>
    </row>
    <row r="163" spans="1:43" x14ac:dyDescent="0.2">
      <c r="A163" s="14" t="s">
        <v>165</v>
      </c>
      <c r="B163" s="13" t="s">
        <v>29</v>
      </c>
      <c r="C163" s="28">
        <v>138.22999999999999</v>
      </c>
      <c r="D163" s="28">
        <v>834</v>
      </c>
      <c r="E163" s="28"/>
      <c r="F163" s="28">
        <v>5038.96</v>
      </c>
      <c r="G163" s="28">
        <v>833</v>
      </c>
      <c r="H163" s="28"/>
      <c r="I163" s="28">
        <v>599.70000000000005</v>
      </c>
      <c r="J163" s="28">
        <v>833</v>
      </c>
      <c r="K163" s="28"/>
      <c r="L163" s="28">
        <v>325.3</v>
      </c>
      <c r="M163" s="28">
        <v>834</v>
      </c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8"/>
      <c r="AD163" s="28"/>
      <c r="AE163" s="28"/>
      <c r="AF163" s="28"/>
      <c r="AG163" s="28"/>
      <c r="AH163" s="28"/>
      <c r="AI163" s="28"/>
      <c r="AJ163" s="28"/>
      <c r="AK163" s="28"/>
      <c r="AL163" s="27">
        <f t="shared" si="34"/>
        <v>6102.19</v>
      </c>
      <c r="AM163" s="27">
        <f t="shared" si="35"/>
        <v>3334</v>
      </c>
      <c r="AN163" s="28"/>
      <c r="AO163" s="20">
        <v>10000</v>
      </c>
      <c r="AP163" s="46"/>
      <c r="AQ163" s="110">
        <f t="shared" si="33"/>
        <v>-1667</v>
      </c>
    </row>
    <row r="164" spans="1:43" x14ac:dyDescent="0.2">
      <c r="A164" s="14" t="s">
        <v>164</v>
      </c>
      <c r="B164" s="13" t="s">
        <v>27</v>
      </c>
      <c r="C164" s="28">
        <v>200</v>
      </c>
      <c r="D164" s="28">
        <v>283</v>
      </c>
      <c r="E164" s="28"/>
      <c r="F164" s="28">
        <v>0</v>
      </c>
      <c r="G164" s="28">
        <v>284</v>
      </c>
      <c r="H164" s="28"/>
      <c r="I164" s="28">
        <v>160</v>
      </c>
      <c r="J164" s="28">
        <v>283</v>
      </c>
      <c r="K164" s="28"/>
      <c r="L164" s="28">
        <v>160</v>
      </c>
      <c r="M164" s="28">
        <v>284</v>
      </c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8"/>
      <c r="AD164" s="28"/>
      <c r="AE164" s="28"/>
      <c r="AF164" s="28"/>
      <c r="AG164" s="28"/>
      <c r="AH164" s="28"/>
      <c r="AI164" s="28"/>
      <c r="AJ164" s="28"/>
      <c r="AK164" s="28"/>
      <c r="AL164" s="27">
        <f t="shared" si="34"/>
        <v>520</v>
      </c>
      <c r="AM164" s="27">
        <f t="shared" si="35"/>
        <v>1134</v>
      </c>
      <c r="AN164" s="28"/>
      <c r="AO164" s="20">
        <v>3400</v>
      </c>
      <c r="AP164" s="46"/>
      <c r="AQ164" s="110">
        <f t="shared" si="33"/>
        <v>-567</v>
      </c>
    </row>
    <row r="165" spans="1:43" x14ac:dyDescent="0.2">
      <c r="A165" s="14" t="s">
        <v>163</v>
      </c>
      <c r="B165" s="13" t="s">
        <v>25</v>
      </c>
      <c r="C165" s="28"/>
      <c r="D165" s="28"/>
      <c r="E165" s="28"/>
      <c r="F165" s="28">
        <v>66</v>
      </c>
      <c r="G165" s="28">
        <v>0</v>
      </c>
      <c r="H165" s="28"/>
      <c r="I165" s="28">
        <v>0</v>
      </c>
      <c r="J165" s="28">
        <v>0</v>
      </c>
      <c r="K165" s="28"/>
      <c r="L165" s="28">
        <v>0</v>
      </c>
      <c r="M165" s="28">
        <v>0</v>
      </c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8"/>
      <c r="AD165" s="28"/>
      <c r="AE165" s="28"/>
      <c r="AF165" s="28"/>
      <c r="AG165" s="28"/>
      <c r="AH165" s="28"/>
      <c r="AI165" s="28"/>
      <c r="AJ165" s="28"/>
      <c r="AK165" s="28"/>
      <c r="AL165" s="27">
        <f t="shared" si="34"/>
        <v>66</v>
      </c>
      <c r="AM165" s="27">
        <f t="shared" si="35"/>
        <v>0</v>
      </c>
      <c r="AN165" s="28"/>
      <c r="AO165" s="20">
        <v>0</v>
      </c>
      <c r="AP165" s="46"/>
      <c r="AQ165" s="110">
        <f t="shared" si="33"/>
        <v>0</v>
      </c>
    </row>
    <row r="166" spans="1:43" x14ac:dyDescent="0.2">
      <c r="A166" s="14" t="s">
        <v>162</v>
      </c>
      <c r="B166" s="13" t="s">
        <v>23</v>
      </c>
      <c r="C166" s="28">
        <v>0</v>
      </c>
      <c r="D166" s="28">
        <v>0</v>
      </c>
      <c r="E166" s="28"/>
      <c r="F166" s="28">
        <v>9.3800000000000008</v>
      </c>
      <c r="G166" s="28">
        <v>0</v>
      </c>
      <c r="H166" s="28"/>
      <c r="I166" s="28">
        <v>0</v>
      </c>
      <c r="J166" s="28">
        <v>25</v>
      </c>
      <c r="K166" s="28"/>
      <c r="L166" s="28">
        <v>10.55</v>
      </c>
      <c r="M166" s="28">
        <v>25</v>
      </c>
      <c r="N166" s="28"/>
      <c r="O166" s="28"/>
      <c r="P166" s="28"/>
      <c r="Q166" s="28"/>
      <c r="R166" s="28"/>
      <c r="S166" s="28"/>
      <c r="T166" s="28"/>
      <c r="U166" s="28"/>
      <c r="V166" s="28"/>
      <c r="W166" s="28"/>
      <c r="X166" s="28"/>
      <c r="Y166" s="28"/>
      <c r="Z166" s="28"/>
      <c r="AA166" s="28"/>
      <c r="AB166" s="28"/>
      <c r="AC166" s="28"/>
      <c r="AD166" s="28"/>
      <c r="AE166" s="28"/>
      <c r="AF166" s="28"/>
      <c r="AG166" s="28"/>
      <c r="AH166" s="28"/>
      <c r="AI166" s="28"/>
      <c r="AJ166" s="28"/>
      <c r="AK166" s="28"/>
      <c r="AL166" s="27">
        <f t="shared" si="34"/>
        <v>19.93</v>
      </c>
      <c r="AM166" s="27">
        <f t="shared" si="35"/>
        <v>50</v>
      </c>
      <c r="AN166" s="28"/>
      <c r="AO166" s="20">
        <v>100</v>
      </c>
      <c r="AP166" s="46"/>
      <c r="AQ166" s="110">
        <f t="shared" si="33"/>
        <v>-50</v>
      </c>
    </row>
    <row r="167" spans="1:43" x14ac:dyDescent="0.2">
      <c r="A167" s="14" t="s">
        <v>161</v>
      </c>
      <c r="B167" s="13" t="s">
        <v>21</v>
      </c>
      <c r="C167" s="28">
        <v>0</v>
      </c>
      <c r="D167" s="28">
        <v>83</v>
      </c>
      <c r="E167" s="28"/>
      <c r="F167" s="28">
        <v>0</v>
      </c>
      <c r="G167" s="28">
        <v>83</v>
      </c>
      <c r="H167" s="28"/>
      <c r="I167" s="28">
        <v>0</v>
      </c>
      <c r="J167" s="28">
        <v>83</v>
      </c>
      <c r="K167" s="28"/>
      <c r="L167" s="28">
        <v>215</v>
      </c>
      <c r="M167" s="28">
        <v>83</v>
      </c>
      <c r="N167" s="28"/>
      <c r="O167" s="28"/>
      <c r="P167" s="28"/>
      <c r="Q167" s="28"/>
      <c r="R167" s="28"/>
      <c r="S167" s="28"/>
      <c r="T167" s="28"/>
      <c r="U167" s="28"/>
      <c r="V167" s="28"/>
      <c r="W167" s="28"/>
      <c r="X167" s="28"/>
      <c r="Y167" s="28"/>
      <c r="Z167" s="28"/>
      <c r="AA167" s="28"/>
      <c r="AB167" s="28"/>
      <c r="AC167" s="28"/>
      <c r="AD167" s="28"/>
      <c r="AE167" s="28"/>
      <c r="AF167" s="28"/>
      <c r="AG167" s="28"/>
      <c r="AH167" s="28"/>
      <c r="AI167" s="28"/>
      <c r="AJ167" s="28"/>
      <c r="AK167" s="28"/>
      <c r="AL167" s="27">
        <f t="shared" si="34"/>
        <v>215</v>
      </c>
      <c r="AM167" s="27">
        <f t="shared" si="35"/>
        <v>332</v>
      </c>
      <c r="AN167" s="28"/>
      <c r="AO167" s="20">
        <v>1000</v>
      </c>
      <c r="AP167" s="46"/>
      <c r="AQ167" s="110">
        <f t="shared" si="33"/>
        <v>-166</v>
      </c>
    </row>
    <row r="168" spans="1:43" x14ac:dyDescent="0.2">
      <c r="A168" s="14" t="s">
        <v>160</v>
      </c>
      <c r="B168" s="13" t="s">
        <v>97</v>
      </c>
      <c r="C168" s="28">
        <v>0</v>
      </c>
      <c r="D168" s="28">
        <v>41</v>
      </c>
      <c r="E168" s="28"/>
      <c r="F168" s="28">
        <v>26.89</v>
      </c>
      <c r="G168" s="28">
        <v>42</v>
      </c>
      <c r="H168" s="28"/>
      <c r="I168" s="28">
        <v>26.89</v>
      </c>
      <c r="J168" s="28">
        <v>41</v>
      </c>
      <c r="K168" s="28"/>
      <c r="L168" s="28">
        <v>26.89</v>
      </c>
      <c r="M168" s="28">
        <v>42</v>
      </c>
      <c r="N168" s="28"/>
      <c r="O168" s="28"/>
      <c r="P168" s="28"/>
      <c r="Q168" s="28"/>
      <c r="R168" s="28"/>
      <c r="S168" s="28"/>
      <c r="T168" s="28"/>
      <c r="U168" s="28"/>
      <c r="V168" s="28"/>
      <c r="W168" s="28"/>
      <c r="X168" s="28"/>
      <c r="Y168" s="28"/>
      <c r="Z168" s="28"/>
      <c r="AA168" s="28"/>
      <c r="AB168" s="28"/>
      <c r="AC168" s="28"/>
      <c r="AD168" s="28"/>
      <c r="AE168" s="28"/>
      <c r="AF168" s="28"/>
      <c r="AG168" s="28"/>
      <c r="AH168" s="28"/>
      <c r="AI168" s="28"/>
      <c r="AJ168" s="28"/>
      <c r="AK168" s="28"/>
      <c r="AL168" s="27">
        <f t="shared" si="34"/>
        <v>80.67</v>
      </c>
      <c r="AM168" s="27">
        <f t="shared" si="35"/>
        <v>166</v>
      </c>
      <c r="AN168" s="28"/>
      <c r="AO168" s="20">
        <v>500</v>
      </c>
      <c r="AP168" s="46"/>
      <c r="AQ168" s="110">
        <f t="shared" si="33"/>
        <v>-83</v>
      </c>
    </row>
    <row r="169" spans="1:43" x14ac:dyDescent="0.2">
      <c r="A169" s="14" t="s">
        <v>159</v>
      </c>
      <c r="B169" s="13" t="s">
        <v>15</v>
      </c>
      <c r="C169" s="28">
        <v>0</v>
      </c>
      <c r="D169" s="28">
        <v>84</v>
      </c>
      <c r="E169" s="28"/>
      <c r="F169" s="28">
        <v>0</v>
      </c>
      <c r="G169" s="28">
        <v>83</v>
      </c>
      <c r="H169" s="28"/>
      <c r="I169" s="28">
        <v>0</v>
      </c>
      <c r="J169" s="28">
        <v>84</v>
      </c>
      <c r="K169" s="28"/>
      <c r="L169" s="28">
        <v>0</v>
      </c>
      <c r="M169" s="28">
        <v>83</v>
      </c>
      <c r="N169" s="28"/>
      <c r="O169" s="28"/>
      <c r="P169" s="28"/>
      <c r="Q169" s="28"/>
      <c r="R169" s="28"/>
      <c r="S169" s="28"/>
      <c r="T169" s="28"/>
      <c r="U169" s="28"/>
      <c r="V169" s="28"/>
      <c r="W169" s="28"/>
      <c r="X169" s="28"/>
      <c r="Y169" s="28"/>
      <c r="Z169" s="28"/>
      <c r="AA169" s="28"/>
      <c r="AB169" s="28"/>
      <c r="AC169" s="28"/>
      <c r="AD169" s="28"/>
      <c r="AE169" s="28"/>
      <c r="AF169" s="28"/>
      <c r="AG169" s="28"/>
      <c r="AH169" s="28"/>
      <c r="AI169" s="28"/>
      <c r="AJ169" s="28"/>
      <c r="AK169" s="28"/>
      <c r="AL169" s="27">
        <f t="shared" si="34"/>
        <v>0</v>
      </c>
      <c r="AM169" s="27">
        <f t="shared" si="35"/>
        <v>334</v>
      </c>
      <c r="AN169" s="28"/>
      <c r="AO169" s="20">
        <v>1000</v>
      </c>
      <c r="AP169" s="46"/>
      <c r="AQ169" s="110">
        <f t="shared" si="33"/>
        <v>-167</v>
      </c>
    </row>
    <row r="170" spans="1:43" x14ac:dyDescent="0.2">
      <c r="A170" s="14" t="s">
        <v>158</v>
      </c>
      <c r="B170" s="13" t="s">
        <v>13</v>
      </c>
      <c r="C170" s="28">
        <v>10.58</v>
      </c>
      <c r="D170" s="28">
        <v>208</v>
      </c>
      <c r="E170" s="28"/>
      <c r="F170" s="28">
        <v>14.87</v>
      </c>
      <c r="G170" s="28">
        <v>208</v>
      </c>
      <c r="H170" s="28"/>
      <c r="I170" s="28">
        <v>580.87</v>
      </c>
      <c r="J170" s="28">
        <v>208</v>
      </c>
      <c r="K170" s="28"/>
      <c r="L170" s="28">
        <v>59.77</v>
      </c>
      <c r="M170" s="28">
        <v>208</v>
      </c>
      <c r="N170" s="28"/>
      <c r="O170" s="28"/>
      <c r="P170" s="28"/>
      <c r="Q170" s="28"/>
      <c r="R170" s="28"/>
      <c r="S170" s="28"/>
      <c r="T170" s="28"/>
      <c r="U170" s="28"/>
      <c r="V170" s="28"/>
      <c r="W170" s="28"/>
      <c r="X170" s="28"/>
      <c r="Y170" s="28"/>
      <c r="Z170" s="28"/>
      <c r="AA170" s="28"/>
      <c r="AB170" s="28"/>
      <c r="AC170" s="28"/>
      <c r="AD170" s="28"/>
      <c r="AE170" s="28"/>
      <c r="AF170" s="28"/>
      <c r="AG170" s="28"/>
      <c r="AH170" s="28"/>
      <c r="AI170" s="28"/>
      <c r="AJ170" s="28"/>
      <c r="AK170" s="28"/>
      <c r="AL170" s="27">
        <f t="shared" si="34"/>
        <v>666.09</v>
      </c>
      <c r="AM170" s="27">
        <f t="shared" si="35"/>
        <v>832</v>
      </c>
      <c r="AN170" s="28"/>
      <c r="AO170" s="20">
        <v>2500</v>
      </c>
      <c r="AP170" s="46"/>
      <c r="AQ170" s="110">
        <f t="shared" si="33"/>
        <v>-416</v>
      </c>
    </row>
    <row r="171" spans="1:43" x14ac:dyDescent="0.2">
      <c r="A171" s="14" t="s">
        <v>157</v>
      </c>
      <c r="B171" s="13" t="s">
        <v>9</v>
      </c>
      <c r="C171" s="28">
        <v>0</v>
      </c>
      <c r="D171" s="28">
        <v>84</v>
      </c>
      <c r="E171" s="28"/>
      <c r="F171" s="28">
        <v>0</v>
      </c>
      <c r="G171" s="28">
        <v>83</v>
      </c>
      <c r="H171" s="28"/>
      <c r="I171" s="28">
        <v>10.94</v>
      </c>
      <c r="J171" s="28">
        <v>84</v>
      </c>
      <c r="K171" s="28"/>
      <c r="L171" s="28">
        <v>181.5</v>
      </c>
      <c r="M171" s="28">
        <v>83</v>
      </c>
      <c r="N171" s="28"/>
      <c r="O171" s="28"/>
      <c r="P171" s="28"/>
      <c r="Q171" s="28"/>
      <c r="R171" s="28"/>
      <c r="S171" s="28"/>
      <c r="T171" s="28"/>
      <c r="U171" s="28"/>
      <c r="V171" s="28"/>
      <c r="W171" s="28"/>
      <c r="X171" s="28"/>
      <c r="Y171" s="28"/>
      <c r="Z171" s="28"/>
      <c r="AA171" s="28"/>
      <c r="AB171" s="28"/>
      <c r="AC171" s="28"/>
      <c r="AD171" s="28"/>
      <c r="AE171" s="28"/>
      <c r="AF171" s="28"/>
      <c r="AG171" s="28"/>
      <c r="AH171" s="28"/>
      <c r="AI171" s="28"/>
      <c r="AJ171" s="28"/>
      <c r="AK171" s="28"/>
      <c r="AL171" s="27">
        <f t="shared" si="34"/>
        <v>192.44</v>
      </c>
      <c r="AM171" s="27">
        <f t="shared" si="35"/>
        <v>334</v>
      </c>
      <c r="AN171" s="28"/>
      <c r="AO171" s="20">
        <v>1000</v>
      </c>
      <c r="AP171" s="46"/>
      <c r="AQ171" s="110">
        <f t="shared" si="33"/>
        <v>-167</v>
      </c>
    </row>
    <row r="172" spans="1:43" x14ac:dyDescent="0.2">
      <c r="A172" s="14" t="s">
        <v>156</v>
      </c>
      <c r="B172" s="13" t="s">
        <v>6</v>
      </c>
      <c r="C172" s="28">
        <v>0</v>
      </c>
      <c r="D172" s="28">
        <v>750</v>
      </c>
      <c r="E172" s="28"/>
      <c r="F172" s="28">
        <v>32.909999999999997</v>
      </c>
      <c r="G172" s="28">
        <v>750</v>
      </c>
      <c r="H172" s="28"/>
      <c r="I172" s="28">
        <v>0</v>
      </c>
      <c r="J172" s="28">
        <v>0</v>
      </c>
      <c r="K172" s="28"/>
      <c r="L172" s="28">
        <v>0</v>
      </c>
      <c r="M172" s="28">
        <v>0</v>
      </c>
      <c r="N172" s="28"/>
      <c r="O172" s="28"/>
      <c r="P172" s="28"/>
      <c r="Q172" s="28"/>
      <c r="R172" s="28"/>
      <c r="S172" s="28"/>
      <c r="T172" s="28"/>
      <c r="U172" s="28"/>
      <c r="V172" s="28"/>
      <c r="W172" s="28"/>
      <c r="X172" s="28"/>
      <c r="Y172" s="28"/>
      <c r="Z172" s="28"/>
      <c r="AA172" s="28"/>
      <c r="AB172" s="28"/>
      <c r="AC172" s="28"/>
      <c r="AD172" s="28"/>
      <c r="AE172" s="28"/>
      <c r="AF172" s="28"/>
      <c r="AG172" s="28"/>
      <c r="AH172" s="28"/>
      <c r="AI172" s="28"/>
      <c r="AJ172" s="28"/>
      <c r="AK172" s="28"/>
      <c r="AL172" s="27">
        <f t="shared" si="34"/>
        <v>32.909999999999997</v>
      </c>
      <c r="AM172" s="27">
        <f t="shared" si="35"/>
        <v>1500</v>
      </c>
      <c r="AN172" s="28"/>
      <c r="AO172" s="20">
        <v>1500</v>
      </c>
      <c r="AP172" s="46"/>
      <c r="AQ172" s="110">
        <f t="shared" si="33"/>
        <v>0</v>
      </c>
    </row>
    <row r="173" spans="1:43" x14ac:dyDescent="0.2">
      <c r="A173" s="14">
        <v>6052000</v>
      </c>
      <c r="B173" s="13" t="s">
        <v>5</v>
      </c>
      <c r="C173" s="28">
        <v>0</v>
      </c>
      <c r="D173" s="28">
        <v>0</v>
      </c>
      <c r="E173" s="28"/>
      <c r="F173" s="28">
        <v>0</v>
      </c>
      <c r="G173" s="28">
        <v>0</v>
      </c>
      <c r="H173" s="28"/>
      <c r="I173" s="28">
        <v>0</v>
      </c>
      <c r="J173" s="28">
        <v>0</v>
      </c>
      <c r="K173" s="28"/>
      <c r="L173" s="28">
        <v>0</v>
      </c>
      <c r="M173" s="28">
        <v>0</v>
      </c>
      <c r="N173" s="28"/>
      <c r="O173" s="28"/>
      <c r="P173" s="28"/>
      <c r="Q173" s="28"/>
      <c r="R173" s="28"/>
      <c r="S173" s="28"/>
      <c r="T173" s="28"/>
      <c r="U173" s="28"/>
      <c r="V173" s="28"/>
      <c r="W173" s="28"/>
      <c r="X173" s="28"/>
      <c r="Y173" s="28"/>
      <c r="Z173" s="28"/>
      <c r="AA173" s="28"/>
      <c r="AB173" s="28"/>
      <c r="AC173" s="28"/>
      <c r="AD173" s="28"/>
      <c r="AE173" s="28"/>
      <c r="AF173" s="28"/>
      <c r="AG173" s="28"/>
      <c r="AH173" s="28"/>
      <c r="AI173" s="28"/>
      <c r="AJ173" s="28"/>
      <c r="AK173" s="28"/>
      <c r="AL173" s="27">
        <f t="shared" si="34"/>
        <v>0</v>
      </c>
      <c r="AM173" s="27">
        <f t="shared" si="35"/>
        <v>0</v>
      </c>
      <c r="AN173" s="28"/>
      <c r="AO173" s="20">
        <v>0</v>
      </c>
      <c r="AP173" s="46"/>
      <c r="AQ173" s="110">
        <f t="shared" si="33"/>
        <v>0</v>
      </c>
    </row>
    <row r="174" spans="1:43" x14ac:dyDescent="0.2">
      <c r="A174" s="14">
        <v>6052050</v>
      </c>
      <c r="B174" s="13" t="s">
        <v>375</v>
      </c>
      <c r="C174" s="28">
        <v>0</v>
      </c>
      <c r="D174" s="28">
        <v>0</v>
      </c>
      <c r="E174" s="28"/>
      <c r="F174" s="28">
        <v>0</v>
      </c>
      <c r="G174" s="28">
        <v>0</v>
      </c>
      <c r="H174" s="28"/>
      <c r="I174" s="28">
        <v>0</v>
      </c>
      <c r="J174" s="28">
        <v>0</v>
      </c>
      <c r="K174" s="28"/>
      <c r="L174" s="28">
        <v>0</v>
      </c>
      <c r="M174" s="28">
        <v>0</v>
      </c>
      <c r="N174" s="28"/>
      <c r="O174" s="28"/>
      <c r="P174" s="28"/>
      <c r="Q174" s="28"/>
      <c r="R174" s="28"/>
      <c r="S174" s="28"/>
      <c r="T174" s="28"/>
      <c r="U174" s="28"/>
      <c r="V174" s="28"/>
      <c r="W174" s="28"/>
      <c r="X174" s="28"/>
      <c r="Y174" s="28"/>
      <c r="Z174" s="28"/>
      <c r="AA174" s="28"/>
      <c r="AB174" s="28"/>
      <c r="AC174" s="28"/>
      <c r="AD174" s="28"/>
      <c r="AE174" s="28"/>
      <c r="AF174" s="28"/>
      <c r="AG174" s="28"/>
      <c r="AH174" s="28"/>
      <c r="AI174" s="28"/>
      <c r="AJ174" s="28"/>
      <c r="AK174" s="28"/>
      <c r="AL174" s="27">
        <f t="shared" si="34"/>
        <v>0</v>
      </c>
      <c r="AM174" s="27">
        <f t="shared" si="35"/>
        <v>0</v>
      </c>
      <c r="AN174" s="28"/>
      <c r="AO174" s="20">
        <v>0</v>
      </c>
      <c r="AP174" s="46"/>
      <c r="AQ174" s="110">
        <f t="shared" si="33"/>
        <v>0</v>
      </c>
    </row>
    <row r="175" spans="1:43" x14ac:dyDescent="0.2">
      <c r="A175" s="14"/>
      <c r="B175" s="13"/>
      <c r="C175" s="28"/>
      <c r="D175" s="28"/>
      <c r="E175" s="28"/>
      <c r="F175" s="28"/>
      <c r="G175" s="28"/>
      <c r="H175" s="28"/>
      <c r="I175" s="28"/>
      <c r="J175" s="28"/>
      <c r="K175" s="28"/>
      <c r="L175" s="28"/>
      <c r="M175" s="28"/>
      <c r="N175" s="28"/>
      <c r="O175" s="28"/>
      <c r="P175" s="28"/>
      <c r="Q175" s="28"/>
      <c r="R175" s="28"/>
      <c r="S175" s="28"/>
      <c r="T175" s="28"/>
      <c r="U175" s="28"/>
      <c r="V175" s="28"/>
      <c r="W175" s="28"/>
      <c r="X175" s="28"/>
      <c r="Y175" s="28"/>
      <c r="Z175" s="28"/>
      <c r="AA175" s="28"/>
      <c r="AB175" s="28"/>
      <c r="AC175" s="28"/>
      <c r="AD175" s="28"/>
      <c r="AE175" s="28"/>
      <c r="AF175" s="28"/>
      <c r="AG175" s="28"/>
      <c r="AH175" s="28"/>
      <c r="AI175" s="28"/>
      <c r="AJ175" s="28"/>
      <c r="AK175" s="28"/>
      <c r="AL175" s="28"/>
      <c r="AM175" s="28"/>
      <c r="AN175" s="28"/>
      <c r="AO175" s="20"/>
      <c r="AP175" s="46"/>
      <c r="AQ175" s="110">
        <f t="shared" si="33"/>
        <v>0</v>
      </c>
    </row>
    <row r="176" spans="1:43" x14ac:dyDescent="0.2">
      <c r="A176" s="18"/>
      <c r="B176" s="17" t="s">
        <v>155</v>
      </c>
      <c r="C176" s="31">
        <f>SUM(C152:C174)</f>
        <v>14313.720000000001</v>
      </c>
      <c r="D176" s="31">
        <f>SUM(D152:D174)</f>
        <v>16102</v>
      </c>
      <c r="E176" s="34"/>
      <c r="F176" s="31">
        <f>SUM(F152:F174)</f>
        <v>19882.09</v>
      </c>
      <c r="G176" s="31">
        <f>SUM(G152:G174)</f>
        <v>12599</v>
      </c>
      <c r="H176" s="34"/>
      <c r="I176" s="31">
        <f>SUM(I152:I174)</f>
        <v>33885.950000000012</v>
      </c>
      <c r="J176" s="31">
        <f>SUM(J152:J174)</f>
        <v>35048</v>
      </c>
      <c r="K176" s="34"/>
      <c r="L176" s="31">
        <f>SUM(L152:L174)</f>
        <v>60682.48</v>
      </c>
      <c r="M176" s="31">
        <f>SUM(M152:M174)</f>
        <v>49858</v>
      </c>
      <c r="N176" s="34"/>
      <c r="O176" s="31">
        <f>SUM(O152:O173)</f>
        <v>0</v>
      </c>
      <c r="P176" s="31">
        <f>SUM(P152:P173)</f>
        <v>0</v>
      </c>
      <c r="Q176" s="34"/>
      <c r="R176" s="31">
        <f>SUM(R152:R174)</f>
        <v>0</v>
      </c>
      <c r="S176" s="31">
        <f>SUM(S152:S174)</f>
        <v>0</v>
      </c>
      <c r="T176" s="34"/>
      <c r="U176" s="31">
        <f>SUM(U152:U174)</f>
        <v>0</v>
      </c>
      <c r="V176" s="31">
        <f>SUM(V152:V174)</f>
        <v>0</v>
      </c>
      <c r="W176" s="34"/>
      <c r="X176" s="31">
        <f>SUM(X152:X174)</f>
        <v>0</v>
      </c>
      <c r="Y176" s="31">
        <f>SUM(Y152:Y174)</f>
        <v>0</v>
      </c>
      <c r="Z176" s="34"/>
      <c r="AA176" s="31">
        <f>SUM(AA152:AA174)</f>
        <v>0</v>
      </c>
      <c r="AB176" s="31">
        <f>SUM(AB152:AB174)</f>
        <v>0</v>
      </c>
      <c r="AC176" s="34"/>
      <c r="AD176" s="31">
        <f>SUM(AD152:AD174)</f>
        <v>0</v>
      </c>
      <c r="AE176" s="31">
        <f>SUM(AE152:AE174)</f>
        <v>0</v>
      </c>
      <c r="AF176" s="34"/>
      <c r="AG176" s="31">
        <f>SUM(AG152:AG174)</f>
        <v>0</v>
      </c>
      <c r="AH176" s="31">
        <f>SUM(AH152:AH174)</f>
        <v>0</v>
      </c>
      <c r="AI176" s="34"/>
      <c r="AJ176" s="31">
        <f>SUM(AJ152:AJ174)</f>
        <v>0</v>
      </c>
      <c r="AK176" s="31">
        <f>SUM(AK152:AK174)</f>
        <v>0</v>
      </c>
      <c r="AL176" s="31">
        <f>SUM(AL152:AL174)</f>
        <v>128764.24000000002</v>
      </c>
      <c r="AM176" s="31">
        <f>SUM(AM152:AM174)</f>
        <v>113607</v>
      </c>
      <c r="AN176" s="34"/>
      <c r="AO176" s="31">
        <f>SUM(AO152:AO174)</f>
        <v>258025</v>
      </c>
      <c r="AP176" s="46"/>
      <c r="AQ176" s="110">
        <f t="shared" si="33"/>
        <v>-84906</v>
      </c>
    </row>
    <row r="177" spans="1:43" x14ac:dyDescent="0.2">
      <c r="A177" s="18"/>
      <c r="B177" s="17"/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X177" s="34"/>
      <c r="Y177" s="34"/>
      <c r="Z177" s="34"/>
      <c r="AA177" s="34"/>
      <c r="AB177" s="34"/>
      <c r="AC177" s="34"/>
      <c r="AD177" s="34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2"/>
      <c r="AP177" s="46"/>
      <c r="AQ177" s="110">
        <f t="shared" si="33"/>
        <v>0</v>
      </c>
    </row>
    <row r="178" spans="1:43" x14ac:dyDescent="0.2">
      <c r="A178" s="14" t="s">
        <v>154</v>
      </c>
      <c r="B178" s="13" t="s">
        <v>41</v>
      </c>
      <c r="C178" s="28">
        <v>9073.39</v>
      </c>
      <c r="D178" s="28">
        <v>8847</v>
      </c>
      <c r="E178" s="28"/>
      <c r="F178" s="28">
        <v>8565.2999999999993</v>
      </c>
      <c r="G178" s="28">
        <v>8848</v>
      </c>
      <c r="H178" s="28"/>
      <c r="I178" s="28">
        <v>8159.62</v>
      </c>
      <c r="J178" s="28">
        <v>8848</v>
      </c>
      <c r="K178" s="28"/>
      <c r="L178" s="28">
        <v>12855.98</v>
      </c>
      <c r="M178" s="28">
        <v>13272</v>
      </c>
      <c r="N178" s="28"/>
      <c r="O178" s="28"/>
      <c r="P178" s="28"/>
      <c r="Q178" s="28"/>
      <c r="R178" s="28"/>
      <c r="S178" s="28"/>
      <c r="T178" s="28"/>
      <c r="U178" s="28"/>
      <c r="V178" s="28"/>
      <c r="W178" s="28"/>
      <c r="X178" s="28"/>
      <c r="Y178" s="28"/>
      <c r="Z178" s="28"/>
      <c r="AA178" s="28"/>
      <c r="AB178" s="28"/>
      <c r="AC178" s="28"/>
      <c r="AD178" s="28"/>
      <c r="AE178" s="28"/>
      <c r="AF178" s="28"/>
      <c r="AG178" s="28"/>
      <c r="AH178" s="28"/>
      <c r="AI178" s="28"/>
      <c r="AJ178" s="28"/>
      <c r="AK178" s="28"/>
      <c r="AL178" s="27">
        <f t="shared" ref="AL178:AL190" si="40">+C178+F178+I178+L178+O178+R178+U178+X178+AA178+AD178+AG178+AJ178</f>
        <v>38654.289999999994</v>
      </c>
      <c r="AM178" s="27">
        <f t="shared" ref="AM178:AM190" si="41">+D178+G178+J178+M178+P178+S178+V178+Y178+AB178+AE178+AH178+AK178</f>
        <v>39815</v>
      </c>
      <c r="AN178" s="28"/>
      <c r="AO178" s="20">
        <v>115017</v>
      </c>
      <c r="AP178" s="46"/>
      <c r="AQ178" s="110">
        <f t="shared" si="33"/>
        <v>-22120</v>
      </c>
    </row>
    <row r="179" spans="1:43" x14ac:dyDescent="0.2">
      <c r="A179" s="14" t="s">
        <v>153</v>
      </c>
      <c r="B179" s="13" t="s">
        <v>39</v>
      </c>
      <c r="C179" s="28">
        <v>649.78</v>
      </c>
      <c r="D179" s="28">
        <v>708</v>
      </c>
      <c r="E179" s="28"/>
      <c r="F179" s="28">
        <v>610.82000000000005</v>
      </c>
      <c r="G179" s="28">
        <v>708</v>
      </c>
      <c r="H179" s="28"/>
      <c r="I179" s="28">
        <v>657.11</v>
      </c>
      <c r="J179" s="28">
        <v>708</v>
      </c>
      <c r="K179" s="28"/>
      <c r="L179" s="28">
        <v>977.78</v>
      </c>
      <c r="M179" s="28">
        <v>1062</v>
      </c>
      <c r="N179" s="28"/>
      <c r="O179" s="28"/>
      <c r="P179" s="28"/>
      <c r="Q179" s="28"/>
      <c r="R179" s="28"/>
      <c r="S179" s="28"/>
      <c r="T179" s="28"/>
      <c r="U179" s="28"/>
      <c r="V179" s="28"/>
      <c r="W179" s="28"/>
      <c r="X179" s="28"/>
      <c r="Y179" s="28"/>
      <c r="Z179" s="28"/>
      <c r="AA179" s="28"/>
      <c r="AB179" s="28"/>
      <c r="AC179" s="28"/>
      <c r="AD179" s="28"/>
      <c r="AE179" s="28"/>
      <c r="AF179" s="28"/>
      <c r="AG179" s="28"/>
      <c r="AH179" s="28"/>
      <c r="AI179" s="28"/>
      <c r="AJ179" s="28"/>
      <c r="AK179" s="28"/>
      <c r="AL179" s="27">
        <f t="shared" si="40"/>
        <v>2895.49</v>
      </c>
      <c r="AM179" s="27">
        <f t="shared" si="41"/>
        <v>3186</v>
      </c>
      <c r="AN179" s="28"/>
      <c r="AO179" s="20">
        <v>9201</v>
      </c>
      <c r="AP179" s="46"/>
      <c r="AQ179" s="110">
        <f t="shared" si="33"/>
        <v>-1770</v>
      </c>
    </row>
    <row r="180" spans="1:43" x14ac:dyDescent="0.2">
      <c r="A180" s="14" t="s">
        <v>152</v>
      </c>
      <c r="B180" s="13" t="s">
        <v>37</v>
      </c>
      <c r="C180" s="28">
        <v>1479.95</v>
      </c>
      <c r="D180" s="28">
        <v>1606</v>
      </c>
      <c r="E180" s="28"/>
      <c r="F180" s="28">
        <v>1479.95</v>
      </c>
      <c r="G180" s="28">
        <v>1606</v>
      </c>
      <c r="H180" s="28"/>
      <c r="I180" s="28">
        <v>1512.08</v>
      </c>
      <c r="J180" s="28">
        <v>1606</v>
      </c>
      <c r="K180" s="28"/>
      <c r="L180" s="28">
        <v>1514.45</v>
      </c>
      <c r="M180" s="28">
        <v>1606</v>
      </c>
      <c r="N180" s="28"/>
      <c r="O180" s="28"/>
      <c r="P180" s="28"/>
      <c r="Q180" s="28"/>
      <c r="R180" s="28"/>
      <c r="S180" s="28"/>
      <c r="T180" s="28"/>
      <c r="U180" s="28"/>
      <c r="V180" s="28"/>
      <c r="W180" s="28"/>
      <c r="X180" s="28"/>
      <c r="Y180" s="28"/>
      <c r="Z180" s="28"/>
      <c r="AA180" s="28"/>
      <c r="AB180" s="28"/>
      <c r="AC180" s="28"/>
      <c r="AD180" s="28"/>
      <c r="AE180" s="28"/>
      <c r="AF180" s="28"/>
      <c r="AG180" s="28"/>
      <c r="AH180" s="28"/>
      <c r="AI180" s="28"/>
      <c r="AJ180" s="28"/>
      <c r="AK180" s="28"/>
      <c r="AL180" s="27">
        <f t="shared" si="40"/>
        <v>5986.4299999999994</v>
      </c>
      <c r="AM180" s="27">
        <f t="shared" si="41"/>
        <v>6424</v>
      </c>
      <c r="AN180" s="28"/>
      <c r="AO180" s="20">
        <v>19272</v>
      </c>
      <c r="AP180" s="46"/>
      <c r="AQ180" s="110">
        <f t="shared" si="33"/>
        <v>-3212</v>
      </c>
    </row>
    <row r="181" spans="1:43" x14ac:dyDescent="0.2">
      <c r="A181" s="14" t="s">
        <v>151</v>
      </c>
      <c r="B181" s="13" t="s">
        <v>59</v>
      </c>
      <c r="C181" s="28">
        <v>154.5</v>
      </c>
      <c r="D181" s="28">
        <v>156</v>
      </c>
      <c r="E181" s="28"/>
      <c r="F181" s="28">
        <v>156</v>
      </c>
      <c r="G181" s="28">
        <v>156</v>
      </c>
      <c r="H181" s="28"/>
      <c r="I181" s="28">
        <v>156</v>
      </c>
      <c r="J181" s="28">
        <v>156</v>
      </c>
      <c r="K181" s="28"/>
      <c r="L181" s="28">
        <v>234</v>
      </c>
      <c r="M181" s="28">
        <v>234</v>
      </c>
      <c r="N181" s="28"/>
      <c r="O181" s="28"/>
      <c r="P181" s="28"/>
      <c r="Q181" s="28"/>
      <c r="R181" s="28"/>
      <c r="S181" s="28"/>
      <c r="T181" s="28"/>
      <c r="U181" s="28"/>
      <c r="V181" s="28"/>
      <c r="W181" s="28"/>
      <c r="X181" s="28"/>
      <c r="Y181" s="28"/>
      <c r="Z181" s="28"/>
      <c r="AA181" s="28"/>
      <c r="AB181" s="28"/>
      <c r="AC181" s="28"/>
      <c r="AD181" s="28"/>
      <c r="AE181" s="28"/>
      <c r="AF181" s="28"/>
      <c r="AG181" s="28"/>
      <c r="AH181" s="28"/>
      <c r="AI181" s="28"/>
      <c r="AJ181" s="28"/>
      <c r="AK181" s="28"/>
      <c r="AL181" s="27">
        <f t="shared" si="40"/>
        <v>700.5</v>
      </c>
      <c r="AM181" s="27">
        <f t="shared" si="41"/>
        <v>702</v>
      </c>
      <c r="AN181" s="28"/>
      <c r="AO181" s="20">
        <v>2028</v>
      </c>
      <c r="AP181" s="46"/>
      <c r="AQ181" s="110">
        <f t="shared" si="33"/>
        <v>-390</v>
      </c>
    </row>
    <row r="182" spans="1:43" x14ac:dyDescent="0.2">
      <c r="A182" s="14" t="s">
        <v>150</v>
      </c>
      <c r="B182" s="13" t="s">
        <v>57</v>
      </c>
      <c r="C182" s="28">
        <v>0</v>
      </c>
      <c r="D182" s="28">
        <v>200</v>
      </c>
      <c r="E182" s="28"/>
      <c r="F182" s="28">
        <v>122.5</v>
      </c>
      <c r="G182" s="28">
        <v>0</v>
      </c>
      <c r="H182" s="28"/>
      <c r="I182" s="28">
        <v>0</v>
      </c>
      <c r="J182" s="28">
        <v>0</v>
      </c>
      <c r="K182" s="28"/>
      <c r="L182" s="28">
        <v>0</v>
      </c>
      <c r="M182" s="28">
        <v>0</v>
      </c>
      <c r="N182" s="28"/>
      <c r="O182" s="28"/>
      <c r="P182" s="28"/>
      <c r="Q182" s="28"/>
      <c r="R182" s="28"/>
      <c r="S182" s="28"/>
      <c r="T182" s="28"/>
      <c r="U182" s="28"/>
      <c r="V182" s="28"/>
      <c r="W182" s="28"/>
      <c r="X182" s="28"/>
      <c r="Y182" s="28"/>
      <c r="Z182" s="28"/>
      <c r="AA182" s="28"/>
      <c r="AB182" s="28"/>
      <c r="AC182" s="28"/>
      <c r="AD182" s="28"/>
      <c r="AE182" s="28"/>
      <c r="AF182" s="28"/>
      <c r="AG182" s="28"/>
      <c r="AH182" s="28"/>
      <c r="AI182" s="28"/>
      <c r="AJ182" s="28"/>
      <c r="AK182" s="28"/>
      <c r="AL182" s="27">
        <f t="shared" si="40"/>
        <v>122.5</v>
      </c>
      <c r="AM182" s="27">
        <f t="shared" si="41"/>
        <v>200</v>
      </c>
      <c r="AN182" s="28"/>
      <c r="AO182" s="20">
        <v>200</v>
      </c>
      <c r="AP182" s="46"/>
      <c r="AQ182" s="110">
        <f t="shared" si="33"/>
        <v>0</v>
      </c>
    </row>
    <row r="183" spans="1:43" x14ac:dyDescent="0.2">
      <c r="A183" s="14" t="s">
        <v>149</v>
      </c>
      <c r="B183" s="13" t="s">
        <v>35</v>
      </c>
      <c r="C183" s="28">
        <v>48.53</v>
      </c>
      <c r="D183" s="28">
        <v>39</v>
      </c>
      <c r="E183" s="28"/>
      <c r="F183" s="28">
        <v>48.53</v>
      </c>
      <c r="G183" s="28">
        <v>39</v>
      </c>
      <c r="H183" s="28"/>
      <c r="I183" s="28">
        <v>48.53</v>
      </c>
      <c r="J183" s="28">
        <v>39</v>
      </c>
      <c r="K183" s="28"/>
      <c r="L183" s="28">
        <v>48.53</v>
      </c>
      <c r="M183" s="28">
        <v>58</v>
      </c>
      <c r="N183" s="28"/>
      <c r="O183" s="28"/>
      <c r="P183" s="28"/>
      <c r="Q183" s="28"/>
      <c r="R183" s="28"/>
      <c r="S183" s="28"/>
      <c r="T183" s="28"/>
      <c r="U183" s="28"/>
      <c r="V183" s="28"/>
      <c r="W183" s="28"/>
      <c r="X183" s="28"/>
      <c r="Y183" s="28"/>
      <c r="Z183" s="28"/>
      <c r="AA183" s="28"/>
      <c r="AB183" s="28"/>
      <c r="AC183" s="28"/>
      <c r="AD183" s="28"/>
      <c r="AE183" s="28"/>
      <c r="AF183" s="28"/>
      <c r="AG183" s="28"/>
      <c r="AH183" s="28"/>
      <c r="AI183" s="28"/>
      <c r="AJ183" s="28"/>
      <c r="AK183" s="28"/>
      <c r="AL183" s="27">
        <f t="shared" si="40"/>
        <v>194.12</v>
      </c>
      <c r="AM183" s="27">
        <f t="shared" si="41"/>
        <v>175</v>
      </c>
      <c r="AN183" s="28"/>
      <c r="AO183" s="20">
        <v>506</v>
      </c>
      <c r="AP183" s="47"/>
      <c r="AQ183" s="110">
        <f t="shared" si="33"/>
        <v>-97</v>
      </c>
    </row>
    <row r="184" spans="1:43" x14ac:dyDescent="0.2">
      <c r="A184" s="14" t="s">
        <v>148</v>
      </c>
      <c r="B184" s="13" t="s">
        <v>147</v>
      </c>
      <c r="C184" s="28">
        <v>-70.150000000000006</v>
      </c>
      <c r="D184" s="28">
        <v>125</v>
      </c>
      <c r="E184" s="28"/>
      <c r="F184" s="28">
        <v>907.06</v>
      </c>
      <c r="G184" s="28">
        <v>125</v>
      </c>
      <c r="H184" s="28"/>
      <c r="I184" s="28">
        <v>102.9</v>
      </c>
      <c r="J184" s="28">
        <v>125</v>
      </c>
      <c r="K184" s="28"/>
      <c r="L184" s="28">
        <v>0</v>
      </c>
      <c r="M184" s="28">
        <v>125</v>
      </c>
      <c r="N184" s="28"/>
      <c r="O184" s="28"/>
      <c r="P184" s="28"/>
      <c r="Q184" s="28"/>
      <c r="R184" s="28"/>
      <c r="S184" s="28"/>
      <c r="T184" s="28"/>
      <c r="U184" s="28"/>
      <c r="V184" s="28"/>
      <c r="W184" s="28"/>
      <c r="X184" s="28"/>
      <c r="Y184" s="28"/>
      <c r="Z184" s="28"/>
      <c r="AA184" s="28"/>
      <c r="AB184" s="28"/>
      <c r="AC184" s="28"/>
      <c r="AD184" s="28"/>
      <c r="AE184" s="28"/>
      <c r="AF184" s="28"/>
      <c r="AG184" s="28"/>
      <c r="AH184" s="28"/>
      <c r="AI184" s="28"/>
      <c r="AJ184" s="28"/>
      <c r="AK184" s="28"/>
      <c r="AL184" s="27">
        <f t="shared" si="40"/>
        <v>939.81</v>
      </c>
      <c r="AM184" s="27">
        <f t="shared" si="41"/>
        <v>500</v>
      </c>
      <c r="AN184" s="28"/>
      <c r="AO184" s="20">
        <v>1500</v>
      </c>
      <c r="AP184" s="46"/>
      <c r="AQ184" s="110">
        <f t="shared" si="33"/>
        <v>-250</v>
      </c>
    </row>
    <row r="185" spans="1:43" x14ac:dyDescent="0.2">
      <c r="A185" s="14" t="s">
        <v>146</v>
      </c>
      <c r="B185" s="13" t="s">
        <v>23</v>
      </c>
      <c r="C185" s="28">
        <v>149.22</v>
      </c>
      <c r="D185" s="28">
        <v>209</v>
      </c>
      <c r="E185" s="28"/>
      <c r="F185" s="28">
        <v>155.1</v>
      </c>
      <c r="G185" s="28">
        <v>209</v>
      </c>
      <c r="H185" s="28"/>
      <c r="I185" s="28">
        <v>181.62</v>
      </c>
      <c r="J185" s="28">
        <v>209</v>
      </c>
      <c r="K185" s="28"/>
      <c r="L185" s="28">
        <v>123.64</v>
      </c>
      <c r="M185" s="28">
        <v>209</v>
      </c>
      <c r="N185" s="28"/>
      <c r="O185" s="28"/>
      <c r="P185" s="28"/>
      <c r="Q185" s="28"/>
      <c r="R185" s="28"/>
      <c r="S185" s="28"/>
      <c r="T185" s="28"/>
      <c r="U185" s="28"/>
      <c r="V185" s="28"/>
      <c r="W185" s="28"/>
      <c r="X185" s="28"/>
      <c r="Y185" s="28"/>
      <c r="Z185" s="28"/>
      <c r="AA185" s="28"/>
      <c r="AB185" s="28"/>
      <c r="AC185" s="28"/>
      <c r="AD185" s="28"/>
      <c r="AE185" s="28"/>
      <c r="AF185" s="28"/>
      <c r="AG185" s="28"/>
      <c r="AH185" s="28"/>
      <c r="AI185" s="28"/>
      <c r="AJ185" s="28"/>
      <c r="AK185" s="28"/>
      <c r="AL185" s="27">
        <f t="shared" si="40"/>
        <v>609.58000000000004</v>
      </c>
      <c r="AM185" s="27">
        <f t="shared" si="41"/>
        <v>836</v>
      </c>
      <c r="AN185" s="28"/>
      <c r="AO185" s="20">
        <v>2500</v>
      </c>
      <c r="AP185" s="46"/>
      <c r="AQ185" s="110">
        <f t="shared" si="33"/>
        <v>-418</v>
      </c>
    </row>
    <row r="186" spans="1:43" x14ac:dyDescent="0.2">
      <c r="A186" s="14">
        <v>6060610</v>
      </c>
      <c r="B186" s="13" t="s">
        <v>21</v>
      </c>
      <c r="C186" s="28">
        <v>0</v>
      </c>
      <c r="D186" s="28">
        <v>0</v>
      </c>
      <c r="E186" s="28"/>
      <c r="F186" s="28">
        <v>0</v>
      </c>
      <c r="G186" s="28">
        <v>0</v>
      </c>
      <c r="H186" s="28"/>
      <c r="I186" s="28">
        <v>2123.4299999999998</v>
      </c>
      <c r="J186" s="28">
        <v>0</v>
      </c>
      <c r="K186" s="28"/>
      <c r="L186" s="28">
        <v>0</v>
      </c>
      <c r="M186" s="28">
        <v>0</v>
      </c>
      <c r="N186" s="28"/>
      <c r="O186" s="28"/>
      <c r="P186" s="28"/>
      <c r="Q186" s="28"/>
      <c r="R186" s="28"/>
      <c r="S186" s="28"/>
      <c r="T186" s="28"/>
      <c r="U186" s="28"/>
      <c r="V186" s="28"/>
      <c r="W186" s="28"/>
      <c r="X186" s="28"/>
      <c r="Y186" s="28"/>
      <c r="Z186" s="28"/>
      <c r="AA186" s="28"/>
      <c r="AB186" s="28"/>
      <c r="AC186" s="28"/>
      <c r="AD186" s="28"/>
      <c r="AE186" s="28"/>
      <c r="AF186" s="28"/>
      <c r="AG186" s="28"/>
      <c r="AH186" s="28"/>
      <c r="AI186" s="28"/>
      <c r="AJ186" s="28"/>
      <c r="AK186" s="28"/>
      <c r="AL186" s="27">
        <f t="shared" si="40"/>
        <v>2123.4299999999998</v>
      </c>
      <c r="AM186" s="27">
        <f t="shared" si="41"/>
        <v>0</v>
      </c>
      <c r="AN186" s="28"/>
      <c r="AO186" s="20">
        <v>0</v>
      </c>
      <c r="AP186" s="46"/>
      <c r="AQ186" s="110">
        <f t="shared" si="33"/>
        <v>0</v>
      </c>
    </row>
    <row r="187" spans="1:43" x14ac:dyDescent="0.2">
      <c r="A187" s="14" t="s">
        <v>145</v>
      </c>
      <c r="B187" s="13" t="s">
        <v>17</v>
      </c>
      <c r="C187" s="28">
        <v>0</v>
      </c>
      <c r="D187" s="28">
        <v>42</v>
      </c>
      <c r="E187" s="28"/>
      <c r="F187" s="28">
        <v>0</v>
      </c>
      <c r="G187" s="28">
        <v>42</v>
      </c>
      <c r="H187" s="28"/>
      <c r="I187" s="28">
        <v>0</v>
      </c>
      <c r="J187" s="28">
        <v>42</v>
      </c>
      <c r="K187" s="28"/>
      <c r="L187" s="28">
        <v>0</v>
      </c>
      <c r="M187" s="28">
        <v>41</v>
      </c>
      <c r="N187" s="28"/>
      <c r="O187" s="28"/>
      <c r="P187" s="28"/>
      <c r="Q187" s="28"/>
      <c r="R187" s="28"/>
      <c r="S187" s="28"/>
      <c r="T187" s="28"/>
      <c r="U187" s="28"/>
      <c r="V187" s="28"/>
      <c r="W187" s="28"/>
      <c r="X187" s="28"/>
      <c r="Y187" s="28"/>
      <c r="Z187" s="28"/>
      <c r="AA187" s="28"/>
      <c r="AB187" s="28"/>
      <c r="AC187" s="28"/>
      <c r="AD187" s="28"/>
      <c r="AE187" s="28"/>
      <c r="AF187" s="28"/>
      <c r="AG187" s="28"/>
      <c r="AH187" s="28"/>
      <c r="AI187" s="28"/>
      <c r="AJ187" s="28"/>
      <c r="AK187" s="28"/>
      <c r="AL187" s="27">
        <f t="shared" si="40"/>
        <v>0</v>
      </c>
      <c r="AM187" s="27">
        <f t="shared" si="41"/>
        <v>167</v>
      </c>
      <c r="AN187" s="28"/>
      <c r="AO187" s="20">
        <v>500</v>
      </c>
      <c r="AP187" s="46"/>
      <c r="AQ187" s="110">
        <f t="shared" si="33"/>
        <v>-83</v>
      </c>
    </row>
    <row r="188" spans="1:43" x14ac:dyDescent="0.2">
      <c r="A188" s="14" t="s">
        <v>144</v>
      </c>
      <c r="B188" s="13" t="s">
        <v>15</v>
      </c>
      <c r="C188" s="28">
        <v>0</v>
      </c>
      <c r="D188" s="28">
        <v>42</v>
      </c>
      <c r="E188" s="28"/>
      <c r="F188" s="28">
        <v>0</v>
      </c>
      <c r="G188" s="28">
        <v>42</v>
      </c>
      <c r="H188" s="28"/>
      <c r="I188" s="28">
        <v>0</v>
      </c>
      <c r="J188" s="28">
        <v>42</v>
      </c>
      <c r="K188" s="28"/>
      <c r="L188" s="28">
        <v>0</v>
      </c>
      <c r="M188" s="28">
        <v>41</v>
      </c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  <c r="Z188" s="28"/>
      <c r="AA188" s="28"/>
      <c r="AB188" s="28"/>
      <c r="AC188" s="28"/>
      <c r="AD188" s="28"/>
      <c r="AE188" s="28"/>
      <c r="AF188" s="28"/>
      <c r="AG188" s="28"/>
      <c r="AH188" s="28"/>
      <c r="AI188" s="28"/>
      <c r="AJ188" s="28"/>
      <c r="AK188" s="28"/>
      <c r="AL188" s="27">
        <f t="shared" si="40"/>
        <v>0</v>
      </c>
      <c r="AM188" s="27">
        <f t="shared" si="41"/>
        <v>167</v>
      </c>
      <c r="AN188" s="28"/>
      <c r="AO188" s="20">
        <v>500</v>
      </c>
      <c r="AP188" s="46"/>
      <c r="AQ188" s="110">
        <f t="shared" si="33"/>
        <v>-83</v>
      </c>
    </row>
    <row r="189" spans="1:43" x14ac:dyDescent="0.2">
      <c r="A189" s="14" t="s">
        <v>143</v>
      </c>
      <c r="B189" s="13" t="s">
        <v>13</v>
      </c>
      <c r="C189" s="28">
        <v>60.45</v>
      </c>
      <c r="D189" s="28">
        <v>167</v>
      </c>
      <c r="E189" s="28"/>
      <c r="F189" s="28">
        <v>64.7</v>
      </c>
      <c r="G189" s="28">
        <v>167</v>
      </c>
      <c r="H189" s="28"/>
      <c r="I189" s="28">
        <v>0</v>
      </c>
      <c r="J189" s="28">
        <v>167</v>
      </c>
      <c r="K189" s="28"/>
      <c r="L189" s="28">
        <v>35.53</v>
      </c>
      <c r="M189" s="28">
        <v>166</v>
      </c>
      <c r="N189" s="28"/>
      <c r="O189" s="28"/>
      <c r="P189" s="28"/>
      <c r="Q189" s="28"/>
      <c r="R189" s="28"/>
      <c r="S189" s="28"/>
      <c r="T189" s="28"/>
      <c r="U189" s="28"/>
      <c r="V189" s="28"/>
      <c r="W189" s="28"/>
      <c r="X189" s="28"/>
      <c r="Y189" s="28"/>
      <c r="Z189" s="28"/>
      <c r="AA189" s="28"/>
      <c r="AB189" s="28"/>
      <c r="AC189" s="28"/>
      <c r="AD189" s="28"/>
      <c r="AE189" s="28"/>
      <c r="AF189" s="28"/>
      <c r="AG189" s="28"/>
      <c r="AH189" s="28"/>
      <c r="AI189" s="28"/>
      <c r="AJ189" s="28"/>
      <c r="AK189" s="28"/>
      <c r="AL189" s="27">
        <f t="shared" si="40"/>
        <v>160.68</v>
      </c>
      <c r="AM189" s="27">
        <f t="shared" si="41"/>
        <v>667</v>
      </c>
      <c r="AN189" s="28"/>
      <c r="AO189" s="20">
        <v>2000</v>
      </c>
      <c r="AP189" s="46"/>
      <c r="AQ189" s="110">
        <f t="shared" si="33"/>
        <v>-333</v>
      </c>
    </row>
    <row r="190" spans="1:43" x14ac:dyDescent="0.2">
      <c r="A190" s="14" t="s">
        <v>142</v>
      </c>
      <c r="B190" s="13" t="s">
        <v>9</v>
      </c>
      <c r="C190" s="28">
        <v>0</v>
      </c>
      <c r="D190" s="28">
        <v>21</v>
      </c>
      <c r="E190" s="28"/>
      <c r="F190" s="28">
        <v>0</v>
      </c>
      <c r="G190" s="28">
        <v>21</v>
      </c>
      <c r="H190" s="28"/>
      <c r="I190" s="28">
        <v>0</v>
      </c>
      <c r="J190" s="28">
        <v>21</v>
      </c>
      <c r="K190" s="28"/>
      <c r="L190" s="28">
        <v>0</v>
      </c>
      <c r="M190" s="28">
        <v>21</v>
      </c>
      <c r="N190" s="28"/>
      <c r="O190" s="28"/>
      <c r="P190" s="28"/>
      <c r="Q190" s="28"/>
      <c r="R190" s="28"/>
      <c r="S190" s="28"/>
      <c r="T190" s="28"/>
      <c r="U190" s="28"/>
      <c r="V190" s="28"/>
      <c r="W190" s="28"/>
      <c r="X190" s="28"/>
      <c r="Y190" s="28"/>
      <c r="Z190" s="28"/>
      <c r="AA190" s="28"/>
      <c r="AB190" s="28"/>
      <c r="AC190" s="28"/>
      <c r="AD190" s="28"/>
      <c r="AE190" s="28"/>
      <c r="AF190" s="28"/>
      <c r="AG190" s="28"/>
      <c r="AH190" s="28"/>
      <c r="AI190" s="28"/>
      <c r="AJ190" s="28"/>
      <c r="AK190" s="28"/>
      <c r="AL190" s="27">
        <f t="shared" si="40"/>
        <v>0</v>
      </c>
      <c r="AM190" s="27">
        <f t="shared" si="41"/>
        <v>84</v>
      </c>
      <c r="AN190" s="28"/>
      <c r="AO190" s="20">
        <v>250</v>
      </c>
      <c r="AP190" s="46"/>
      <c r="AQ190" s="110">
        <f t="shared" si="33"/>
        <v>-42</v>
      </c>
    </row>
    <row r="191" spans="1:43" x14ac:dyDescent="0.2">
      <c r="A191" s="14"/>
      <c r="B191" s="13"/>
      <c r="C191" s="28"/>
      <c r="D191" s="28"/>
      <c r="E191" s="28"/>
      <c r="F191" s="28"/>
      <c r="G191" s="28"/>
      <c r="H191" s="28"/>
      <c r="I191" s="28"/>
      <c r="J191" s="28"/>
      <c r="K191" s="28"/>
      <c r="L191" s="28"/>
      <c r="M191" s="28"/>
      <c r="N191" s="28"/>
      <c r="O191" s="28"/>
      <c r="P191" s="28"/>
      <c r="Q191" s="28"/>
      <c r="R191" s="28"/>
      <c r="S191" s="28"/>
      <c r="T191" s="28"/>
      <c r="U191" s="28"/>
      <c r="V191" s="28"/>
      <c r="W191" s="28"/>
      <c r="X191" s="28"/>
      <c r="Y191" s="28"/>
      <c r="Z191" s="28"/>
      <c r="AA191" s="28"/>
      <c r="AB191" s="28"/>
      <c r="AC191" s="28"/>
      <c r="AD191" s="28"/>
      <c r="AE191" s="28"/>
      <c r="AF191" s="28"/>
      <c r="AG191" s="28"/>
      <c r="AH191" s="28"/>
      <c r="AI191" s="28"/>
      <c r="AJ191" s="28"/>
      <c r="AK191" s="28"/>
      <c r="AL191" s="28"/>
      <c r="AM191" s="28"/>
      <c r="AN191" s="28"/>
      <c r="AO191" s="20"/>
      <c r="AP191" s="46"/>
      <c r="AQ191" s="110">
        <f t="shared" si="33"/>
        <v>0</v>
      </c>
    </row>
    <row r="192" spans="1:43" x14ac:dyDescent="0.2">
      <c r="A192" s="18"/>
      <c r="B192" s="17" t="s">
        <v>141</v>
      </c>
      <c r="C192" s="31">
        <f>SUM(C178:C190)</f>
        <v>11545.670000000002</v>
      </c>
      <c r="D192" s="31">
        <f>SUM(D178:D190)</f>
        <v>12162</v>
      </c>
      <c r="E192" s="34"/>
      <c r="F192" s="31">
        <f>SUM(F178:F190)</f>
        <v>12109.960000000001</v>
      </c>
      <c r="G192" s="31">
        <f>SUM(G178:G190)</f>
        <v>11963</v>
      </c>
      <c r="H192" s="34"/>
      <c r="I192" s="31">
        <f>SUM(I178:I190)</f>
        <v>12941.29</v>
      </c>
      <c r="J192" s="31">
        <f>SUM(J178:J190)</f>
        <v>11963</v>
      </c>
      <c r="K192" s="34"/>
      <c r="L192" s="31">
        <f>SUM(L178:L190)</f>
        <v>15789.910000000002</v>
      </c>
      <c r="M192" s="31">
        <f>SUM(M178:M190)</f>
        <v>16835</v>
      </c>
      <c r="N192" s="34"/>
      <c r="O192" s="31">
        <f>SUM(O178:O190)</f>
        <v>0</v>
      </c>
      <c r="P192" s="31">
        <f>SUM(P178:P190)</f>
        <v>0</v>
      </c>
      <c r="Q192" s="34"/>
      <c r="R192" s="31">
        <f>SUM(R178:R190)</f>
        <v>0</v>
      </c>
      <c r="S192" s="31">
        <f>SUM(S178:S190)</f>
        <v>0</v>
      </c>
      <c r="T192" s="34"/>
      <c r="U192" s="31">
        <f>SUM(U178:U190)</f>
        <v>0</v>
      </c>
      <c r="V192" s="31">
        <f>SUM(V178:V190)</f>
        <v>0</v>
      </c>
      <c r="W192" s="34"/>
      <c r="X192" s="31">
        <f>SUM(X178:X190)</f>
        <v>0</v>
      </c>
      <c r="Y192" s="31">
        <f>SUM(Y178:Y190)</f>
        <v>0</v>
      </c>
      <c r="Z192" s="34"/>
      <c r="AA192" s="31">
        <f>SUM(AA178:AA190)</f>
        <v>0</v>
      </c>
      <c r="AB192" s="31">
        <f>SUM(AB178:AB190)</f>
        <v>0</v>
      </c>
      <c r="AC192" s="34"/>
      <c r="AD192" s="31">
        <f>SUM(AD178:AD190)</f>
        <v>0</v>
      </c>
      <c r="AE192" s="31">
        <f>SUM(AE178:AE190)</f>
        <v>0</v>
      </c>
      <c r="AF192" s="34"/>
      <c r="AG192" s="31">
        <f>SUM(AG178:AG190)</f>
        <v>0</v>
      </c>
      <c r="AH192" s="31">
        <f>SUM(AH178:AH190)</f>
        <v>0</v>
      </c>
      <c r="AI192" s="34"/>
      <c r="AJ192" s="31">
        <f>SUM(AJ178:AJ190)</f>
        <v>0</v>
      </c>
      <c r="AK192" s="31">
        <f>SUM(AK178:AK190)</f>
        <v>0</v>
      </c>
      <c r="AL192" s="31">
        <f>SUM(AL178:AL190)</f>
        <v>52386.829999999994</v>
      </c>
      <c r="AM192" s="31">
        <f>SUM(AM178:AM190)</f>
        <v>52923</v>
      </c>
      <c r="AN192" s="34"/>
      <c r="AO192" s="31">
        <f>SUM(AO178:AO190)</f>
        <v>153474</v>
      </c>
      <c r="AP192" s="46"/>
      <c r="AQ192" s="110">
        <f t="shared" si="33"/>
        <v>-28798</v>
      </c>
    </row>
    <row r="193" spans="1:43" x14ac:dyDescent="0.2">
      <c r="A193" s="18"/>
      <c r="B193" s="17"/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2"/>
      <c r="AP193" s="46"/>
      <c r="AQ193" s="110">
        <f t="shared" si="33"/>
        <v>0</v>
      </c>
    </row>
    <row r="194" spans="1:43" x14ac:dyDescent="0.2">
      <c r="A194" s="14" t="s">
        <v>140</v>
      </c>
      <c r="B194" s="13" t="s">
        <v>41</v>
      </c>
      <c r="C194" s="28">
        <v>2765.1</v>
      </c>
      <c r="D194" s="28">
        <v>2246</v>
      </c>
      <c r="E194" s="28"/>
      <c r="F194" s="28">
        <v>3388.41</v>
      </c>
      <c r="G194" s="28">
        <v>2246</v>
      </c>
      <c r="H194" s="28"/>
      <c r="I194" s="28">
        <v>2820.08</v>
      </c>
      <c r="J194" s="28">
        <v>2247</v>
      </c>
      <c r="K194" s="28"/>
      <c r="L194" s="28">
        <v>4862.42</v>
      </c>
      <c r="M194" s="28">
        <v>3371</v>
      </c>
      <c r="N194" s="28"/>
      <c r="O194" s="28"/>
      <c r="P194" s="28"/>
      <c r="Q194" s="28"/>
      <c r="R194" s="28"/>
      <c r="S194" s="28"/>
      <c r="T194" s="28"/>
      <c r="U194" s="28"/>
      <c r="V194" s="28"/>
      <c r="W194" s="28"/>
      <c r="X194" s="28"/>
      <c r="Y194" s="28"/>
      <c r="Z194" s="28"/>
      <c r="AA194" s="28"/>
      <c r="AB194" s="28"/>
      <c r="AC194" s="28"/>
      <c r="AD194" s="28"/>
      <c r="AE194" s="28"/>
      <c r="AF194" s="28"/>
      <c r="AG194" s="28"/>
      <c r="AH194" s="28"/>
      <c r="AI194" s="28"/>
      <c r="AJ194" s="28"/>
      <c r="AK194" s="28"/>
      <c r="AL194" s="27">
        <f t="shared" ref="AL194:AL199" si="42">+C194+F194+I194+L194+O194+R194+U194+X194+AA194+AD194+AG194+AJ194</f>
        <v>13836.01</v>
      </c>
      <c r="AM194" s="27">
        <f t="shared" ref="AM194:AM199" si="43">+D194+G194+J194+M194+P194+S194+V194+Y194+AB194+AE194+AH194+AK194</f>
        <v>10110</v>
      </c>
      <c r="AN194" s="28"/>
      <c r="AO194" s="20">
        <v>29203</v>
      </c>
      <c r="AP194" s="46"/>
      <c r="AQ194" s="110">
        <f t="shared" si="33"/>
        <v>-5618</v>
      </c>
    </row>
    <row r="195" spans="1:43" x14ac:dyDescent="0.2">
      <c r="A195" s="14" t="s">
        <v>139</v>
      </c>
      <c r="B195" s="13" t="s">
        <v>39</v>
      </c>
      <c r="C195" s="28">
        <v>211.81</v>
      </c>
      <c r="D195" s="28">
        <v>180</v>
      </c>
      <c r="E195" s="28"/>
      <c r="F195" s="28">
        <v>259.20999999999998</v>
      </c>
      <c r="G195" s="28">
        <v>180</v>
      </c>
      <c r="H195" s="28"/>
      <c r="I195" s="28">
        <v>215.74</v>
      </c>
      <c r="J195" s="28">
        <v>180</v>
      </c>
      <c r="K195" s="28"/>
      <c r="L195" s="28">
        <v>371.98</v>
      </c>
      <c r="M195" s="28">
        <v>270</v>
      </c>
      <c r="N195" s="28"/>
      <c r="O195" s="28"/>
      <c r="P195" s="28"/>
      <c r="Q195" s="28"/>
      <c r="R195" s="28"/>
      <c r="S195" s="28"/>
      <c r="T195" s="28"/>
      <c r="U195" s="28"/>
      <c r="V195" s="28"/>
      <c r="W195" s="28"/>
      <c r="X195" s="28"/>
      <c r="Y195" s="28"/>
      <c r="Z195" s="28"/>
      <c r="AA195" s="28"/>
      <c r="AB195" s="28"/>
      <c r="AC195" s="28"/>
      <c r="AD195" s="28"/>
      <c r="AE195" s="28"/>
      <c r="AF195" s="28"/>
      <c r="AG195" s="28"/>
      <c r="AH195" s="28"/>
      <c r="AI195" s="28"/>
      <c r="AJ195" s="28"/>
      <c r="AK195" s="28"/>
      <c r="AL195" s="27">
        <f t="shared" si="42"/>
        <v>1058.74</v>
      </c>
      <c r="AM195" s="27">
        <f t="shared" si="43"/>
        <v>810</v>
      </c>
      <c r="AN195" s="28"/>
      <c r="AO195" s="20">
        <v>2336</v>
      </c>
      <c r="AP195" s="46"/>
      <c r="AQ195" s="110">
        <f t="shared" si="33"/>
        <v>-450</v>
      </c>
    </row>
    <row r="196" spans="1:43" x14ac:dyDescent="0.2">
      <c r="A196" s="14" t="s">
        <v>138</v>
      </c>
      <c r="B196" s="13" t="s">
        <v>35</v>
      </c>
      <c r="C196" s="28">
        <v>3.5</v>
      </c>
      <c r="D196" s="28">
        <v>3</v>
      </c>
      <c r="E196" s="28"/>
      <c r="F196" s="28">
        <v>3.5</v>
      </c>
      <c r="G196" s="28">
        <v>3</v>
      </c>
      <c r="H196" s="28"/>
      <c r="I196" s="28">
        <v>3.5</v>
      </c>
      <c r="J196" s="28">
        <v>3</v>
      </c>
      <c r="K196" s="28"/>
      <c r="L196" s="28">
        <v>3.5</v>
      </c>
      <c r="M196" s="28">
        <v>4</v>
      </c>
      <c r="N196" s="28"/>
      <c r="O196" s="28"/>
      <c r="P196" s="28"/>
      <c r="Q196" s="28"/>
      <c r="R196" s="28"/>
      <c r="S196" s="28"/>
      <c r="T196" s="28"/>
      <c r="U196" s="28"/>
      <c r="V196" s="28"/>
      <c r="W196" s="28"/>
      <c r="X196" s="28"/>
      <c r="Y196" s="28"/>
      <c r="Z196" s="28"/>
      <c r="AA196" s="28"/>
      <c r="AB196" s="28"/>
      <c r="AC196" s="28"/>
      <c r="AD196" s="28"/>
      <c r="AE196" s="28"/>
      <c r="AF196" s="28"/>
      <c r="AG196" s="28"/>
      <c r="AH196" s="28"/>
      <c r="AI196" s="28"/>
      <c r="AJ196" s="28"/>
      <c r="AK196" s="28"/>
      <c r="AL196" s="27">
        <f t="shared" si="42"/>
        <v>14</v>
      </c>
      <c r="AM196" s="27">
        <f t="shared" si="43"/>
        <v>13</v>
      </c>
      <c r="AN196" s="28"/>
      <c r="AO196" s="20">
        <v>38</v>
      </c>
      <c r="AP196" s="47"/>
      <c r="AQ196" s="110">
        <f t="shared" si="33"/>
        <v>-7</v>
      </c>
    </row>
    <row r="197" spans="1:43" x14ac:dyDescent="0.2">
      <c r="A197" s="14">
        <v>6071300</v>
      </c>
      <c r="B197" s="13" t="s">
        <v>389</v>
      </c>
      <c r="C197" s="28">
        <v>0</v>
      </c>
      <c r="D197" s="28">
        <v>20</v>
      </c>
      <c r="E197" s="28"/>
      <c r="F197" s="28">
        <v>0</v>
      </c>
      <c r="G197" s="28">
        <v>21</v>
      </c>
      <c r="H197" s="28"/>
      <c r="I197" s="28">
        <v>0</v>
      </c>
      <c r="J197" s="28">
        <v>21</v>
      </c>
      <c r="K197" s="28"/>
      <c r="L197" s="28">
        <v>0</v>
      </c>
      <c r="M197" s="28">
        <v>21</v>
      </c>
      <c r="N197" s="28"/>
      <c r="O197" s="28"/>
      <c r="P197" s="28"/>
      <c r="Q197" s="28"/>
      <c r="R197" s="28"/>
      <c r="S197" s="28"/>
      <c r="T197" s="28"/>
      <c r="U197" s="28"/>
      <c r="V197" s="28"/>
      <c r="W197" s="28"/>
      <c r="X197" s="28"/>
      <c r="Y197" s="28"/>
      <c r="Z197" s="28"/>
      <c r="AA197" s="28"/>
      <c r="AB197" s="28"/>
      <c r="AC197" s="28"/>
      <c r="AD197" s="28"/>
      <c r="AE197" s="28"/>
      <c r="AF197" s="28"/>
      <c r="AG197" s="28"/>
      <c r="AH197" s="28"/>
      <c r="AI197" s="28"/>
      <c r="AJ197" s="28"/>
      <c r="AK197" s="28"/>
      <c r="AL197" s="27">
        <f t="shared" ref="AL197" si="44">+C197+F197+I197+L197+O197+R197+U197+X197+AA197+AD197+AG197+AJ197</f>
        <v>0</v>
      </c>
      <c r="AM197" s="27">
        <f t="shared" ref="AM197" si="45">+D197+G197+J197+M197+P197+S197+V197+Y197+AB197+AE197+AH197+AK197</f>
        <v>83</v>
      </c>
      <c r="AN197" s="28"/>
      <c r="AO197" s="20">
        <v>250</v>
      </c>
      <c r="AP197" s="46"/>
      <c r="AQ197" s="110">
        <f t="shared" si="33"/>
        <v>-42</v>
      </c>
    </row>
    <row r="198" spans="1:43" x14ac:dyDescent="0.2">
      <c r="A198" s="14" t="s">
        <v>137</v>
      </c>
      <c r="B198" s="13" t="s">
        <v>13</v>
      </c>
      <c r="C198" s="28">
        <v>0</v>
      </c>
      <c r="D198" s="28">
        <v>100</v>
      </c>
      <c r="E198" s="28"/>
      <c r="F198" s="28">
        <v>0</v>
      </c>
      <c r="G198" s="28">
        <v>100</v>
      </c>
      <c r="H198" s="28"/>
      <c r="I198" s="28">
        <v>33.08</v>
      </c>
      <c r="J198" s="28">
        <v>100</v>
      </c>
      <c r="K198" s="28"/>
      <c r="L198" s="28">
        <v>0</v>
      </c>
      <c r="M198" s="28">
        <v>100</v>
      </c>
      <c r="N198" s="28"/>
      <c r="O198" s="28"/>
      <c r="P198" s="28"/>
      <c r="Q198" s="28"/>
      <c r="R198" s="28"/>
      <c r="S198" s="28"/>
      <c r="T198" s="28"/>
      <c r="U198" s="28"/>
      <c r="V198" s="28"/>
      <c r="W198" s="28"/>
      <c r="X198" s="28"/>
      <c r="Y198" s="28"/>
      <c r="Z198" s="28"/>
      <c r="AA198" s="28"/>
      <c r="AB198" s="28"/>
      <c r="AC198" s="28"/>
      <c r="AD198" s="28"/>
      <c r="AE198" s="28"/>
      <c r="AF198" s="28"/>
      <c r="AG198" s="28"/>
      <c r="AH198" s="28"/>
      <c r="AI198" s="28"/>
      <c r="AJ198" s="28"/>
      <c r="AK198" s="28"/>
      <c r="AL198" s="27">
        <f t="shared" si="42"/>
        <v>33.08</v>
      </c>
      <c r="AM198" s="27">
        <f t="shared" si="43"/>
        <v>400</v>
      </c>
      <c r="AN198" s="28"/>
      <c r="AO198" s="20">
        <v>1200</v>
      </c>
      <c r="AP198" s="46"/>
      <c r="AQ198" s="110">
        <f t="shared" si="33"/>
        <v>-200</v>
      </c>
    </row>
    <row r="199" spans="1:43" x14ac:dyDescent="0.2">
      <c r="A199" s="14" t="s">
        <v>136</v>
      </c>
      <c r="B199" s="13" t="s">
        <v>9</v>
      </c>
      <c r="C199" s="28">
        <v>0</v>
      </c>
      <c r="D199" s="28">
        <v>21</v>
      </c>
      <c r="E199" s="28"/>
      <c r="F199" s="28">
        <v>0</v>
      </c>
      <c r="G199" s="28">
        <v>21</v>
      </c>
      <c r="H199" s="28"/>
      <c r="I199" s="28">
        <v>0</v>
      </c>
      <c r="J199" s="28">
        <v>21</v>
      </c>
      <c r="K199" s="28"/>
      <c r="L199" s="28">
        <v>0</v>
      </c>
      <c r="M199" s="28">
        <v>21</v>
      </c>
      <c r="N199" s="28"/>
      <c r="O199" s="28"/>
      <c r="P199" s="28"/>
      <c r="Q199" s="28"/>
      <c r="R199" s="28"/>
      <c r="S199" s="28"/>
      <c r="T199" s="28"/>
      <c r="U199" s="28"/>
      <c r="V199" s="28"/>
      <c r="W199" s="28"/>
      <c r="X199" s="28"/>
      <c r="Y199" s="28"/>
      <c r="Z199" s="28"/>
      <c r="AA199" s="28"/>
      <c r="AB199" s="28"/>
      <c r="AC199" s="28"/>
      <c r="AD199" s="28"/>
      <c r="AE199" s="28"/>
      <c r="AF199" s="28"/>
      <c r="AG199" s="28"/>
      <c r="AH199" s="28"/>
      <c r="AI199" s="28"/>
      <c r="AJ199" s="28"/>
      <c r="AK199" s="28"/>
      <c r="AL199" s="27">
        <f t="shared" si="42"/>
        <v>0</v>
      </c>
      <c r="AM199" s="27">
        <f t="shared" si="43"/>
        <v>84</v>
      </c>
      <c r="AN199" s="28"/>
      <c r="AO199" s="20">
        <v>250</v>
      </c>
      <c r="AP199" s="46"/>
      <c r="AQ199" s="110">
        <f t="shared" si="33"/>
        <v>-42</v>
      </c>
    </row>
    <row r="200" spans="1:43" x14ac:dyDescent="0.2">
      <c r="A200" s="14"/>
      <c r="B200" s="13"/>
      <c r="C200" s="28"/>
      <c r="D200" s="28"/>
      <c r="E200" s="28"/>
      <c r="F200" s="28"/>
      <c r="G200" s="28"/>
      <c r="H200" s="28"/>
      <c r="I200" s="28"/>
      <c r="J200" s="28"/>
      <c r="K200" s="28"/>
      <c r="L200" s="28"/>
      <c r="M200" s="28"/>
      <c r="N200" s="28"/>
      <c r="O200" s="28"/>
      <c r="P200" s="28"/>
      <c r="Q200" s="28"/>
      <c r="R200" s="28"/>
      <c r="S200" s="28"/>
      <c r="T200" s="28"/>
      <c r="U200" s="28"/>
      <c r="V200" s="28"/>
      <c r="W200" s="28"/>
      <c r="X200" s="28"/>
      <c r="Y200" s="28"/>
      <c r="Z200" s="28"/>
      <c r="AA200" s="28"/>
      <c r="AB200" s="28"/>
      <c r="AC200" s="28"/>
      <c r="AD200" s="28"/>
      <c r="AE200" s="28"/>
      <c r="AF200" s="28"/>
      <c r="AG200" s="28"/>
      <c r="AH200" s="28"/>
      <c r="AI200" s="28"/>
      <c r="AJ200" s="28"/>
      <c r="AK200" s="28"/>
      <c r="AL200" s="28"/>
      <c r="AM200" s="28"/>
      <c r="AN200" s="28"/>
      <c r="AO200" s="20"/>
      <c r="AP200" s="46"/>
      <c r="AQ200" s="110">
        <f t="shared" si="33"/>
        <v>0</v>
      </c>
    </row>
    <row r="201" spans="1:43" s="19" customFormat="1" x14ac:dyDescent="0.2">
      <c r="A201" s="18"/>
      <c r="B201" s="17" t="s">
        <v>135</v>
      </c>
      <c r="C201" s="31">
        <f>SUM(C194:C199)</f>
        <v>2980.41</v>
      </c>
      <c r="D201" s="31">
        <f>SUM(D194:D199)</f>
        <v>2570</v>
      </c>
      <c r="E201" s="34"/>
      <c r="F201" s="31">
        <f>SUM(F194:F199)</f>
        <v>3651.12</v>
      </c>
      <c r="G201" s="31">
        <f>SUM(G194:G199)</f>
        <v>2571</v>
      </c>
      <c r="H201" s="34"/>
      <c r="I201" s="31">
        <f>SUM(I194:I199)</f>
        <v>3072.3999999999996</v>
      </c>
      <c r="J201" s="31">
        <f>SUM(J194:J199)</f>
        <v>2572</v>
      </c>
      <c r="K201" s="34"/>
      <c r="L201" s="31">
        <f>SUM(L194:L199)</f>
        <v>5237.8999999999996</v>
      </c>
      <c r="M201" s="31">
        <f>SUM(M194:M199)</f>
        <v>3787</v>
      </c>
      <c r="N201" s="34"/>
      <c r="O201" s="31">
        <f>SUM(O194:O199)</f>
        <v>0</v>
      </c>
      <c r="P201" s="31">
        <f>SUM(P194:P199)</f>
        <v>0</v>
      </c>
      <c r="Q201" s="34"/>
      <c r="R201" s="31">
        <f>SUM(R194:R199)</f>
        <v>0</v>
      </c>
      <c r="S201" s="31">
        <f>SUM(S194:S199)</f>
        <v>0</v>
      </c>
      <c r="T201" s="34"/>
      <c r="U201" s="31">
        <f>SUM(U194:U200)</f>
        <v>0</v>
      </c>
      <c r="V201" s="31">
        <f>SUM(V194:V199)</f>
        <v>0</v>
      </c>
      <c r="W201" s="34"/>
      <c r="X201" s="31">
        <f>SUM(X194:X200)</f>
        <v>0</v>
      </c>
      <c r="Y201" s="31">
        <f>SUM(Y194:Y199)</f>
        <v>0</v>
      </c>
      <c r="Z201" s="34"/>
      <c r="AA201" s="31">
        <f>SUM(AA194:AA200)</f>
        <v>0</v>
      </c>
      <c r="AB201" s="31">
        <f>SUM(AB194:AB199)</f>
        <v>0</v>
      </c>
      <c r="AC201" s="34"/>
      <c r="AD201" s="31">
        <f>SUM(AD194:AD200)</f>
        <v>0</v>
      </c>
      <c r="AE201" s="31">
        <f>SUM(AE194:AE199)</f>
        <v>0</v>
      </c>
      <c r="AF201" s="34"/>
      <c r="AG201" s="31">
        <f>SUM(AG194:AG200)</f>
        <v>0</v>
      </c>
      <c r="AH201" s="31">
        <f>SUM(AH194:AH199)</f>
        <v>0</v>
      </c>
      <c r="AI201" s="34"/>
      <c r="AJ201" s="31">
        <f>SUM(AJ194:AJ200)</f>
        <v>0</v>
      </c>
      <c r="AK201" s="31">
        <f>SUM(AK194:AK199)</f>
        <v>0</v>
      </c>
      <c r="AL201" s="31">
        <f>SUM(AL194:AL199)</f>
        <v>14941.83</v>
      </c>
      <c r="AM201" s="31">
        <f>SUM(AM194:AM199)</f>
        <v>11500</v>
      </c>
      <c r="AN201" s="34"/>
      <c r="AO201" s="31">
        <f>SUM(AO194:AO199)</f>
        <v>33277</v>
      </c>
      <c r="AP201" s="53"/>
      <c r="AQ201" s="110">
        <f t="shared" si="33"/>
        <v>-6359</v>
      </c>
    </row>
    <row r="202" spans="1:43" s="19" customFormat="1" x14ac:dyDescent="0.2">
      <c r="A202" s="18"/>
      <c r="B202" s="17"/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2"/>
      <c r="AP202" s="53"/>
      <c r="AQ202" s="110">
        <f t="shared" si="33"/>
        <v>0</v>
      </c>
    </row>
    <row r="203" spans="1:43" x14ac:dyDescent="0.2">
      <c r="A203" s="9" t="s">
        <v>4</v>
      </c>
      <c r="B203" s="8" t="s">
        <v>132</v>
      </c>
      <c r="C203" s="29">
        <f>C201+C192+C176+C150+C123</f>
        <v>137667.20000000001</v>
      </c>
      <c r="D203" s="29">
        <f>D201+D192+D176+D150+D123</f>
        <v>112061</v>
      </c>
      <c r="E203" s="34"/>
      <c r="F203" s="29">
        <f>F201+F192+F176+F150+F123</f>
        <v>308020.81999999995</v>
      </c>
      <c r="G203" s="29">
        <f>G201+G192+G176+G150+G123</f>
        <v>114553</v>
      </c>
      <c r="H203" s="34"/>
      <c r="I203" s="29">
        <f>I201+I192+I176+I150+I123</f>
        <v>735903.35</v>
      </c>
      <c r="J203" s="29">
        <f>J201+J192+J176+J150+J123</f>
        <v>135893</v>
      </c>
      <c r="K203" s="34"/>
      <c r="L203" s="29">
        <f>L201+L192+L176+L150+L123</f>
        <v>416008.07000000007</v>
      </c>
      <c r="M203" s="29">
        <f>M201+M192+M176+M150+M123</f>
        <v>202293</v>
      </c>
      <c r="N203" s="34"/>
      <c r="O203" s="29">
        <f>O201+O192+O176+O150+O123</f>
        <v>0</v>
      </c>
      <c r="P203" s="29">
        <f>P201+P192+P176+P150+P123</f>
        <v>0</v>
      </c>
      <c r="Q203" s="34"/>
      <c r="R203" s="29">
        <f>R201+R192+R176+R150+R123</f>
        <v>0</v>
      </c>
      <c r="S203" s="29">
        <f>S201+S192+S176+S150+S123</f>
        <v>0</v>
      </c>
      <c r="T203" s="34"/>
      <c r="U203" s="29">
        <f>U201+U192+U176+U150+U123</f>
        <v>0</v>
      </c>
      <c r="V203" s="29">
        <f>V201+V192+V176+V150+V123</f>
        <v>0</v>
      </c>
      <c r="W203" s="34"/>
      <c r="X203" s="29">
        <f>X201+X192+X176+X150+X123</f>
        <v>0</v>
      </c>
      <c r="Y203" s="29">
        <f>Y201+Y192+Y176+Y150+Y123</f>
        <v>0</v>
      </c>
      <c r="Z203" s="34"/>
      <c r="AA203" s="29">
        <f>AA201+AA192+AA176+AA150+AA123</f>
        <v>0</v>
      </c>
      <c r="AB203" s="29">
        <f>AB201+AB192+AB176+AB150+AB123</f>
        <v>0</v>
      </c>
      <c r="AC203" s="34"/>
      <c r="AD203" s="29">
        <f>AD201+AD192+AD176+AD150+AD123</f>
        <v>0</v>
      </c>
      <c r="AE203" s="29">
        <f>AE201+AE192+AE176+AE150+AE123</f>
        <v>0</v>
      </c>
      <c r="AF203" s="34"/>
      <c r="AG203" s="29">
        <f>AG201+AG192+AG176+AG150+AG123</f>
        <v>0</v>
      </c>
      <c r="AH203" s="29">
        <f>AH201+AH192+AH176+AH150+AH123</f>
        <v>0</v>
      </c>
      <c r="AI203" s="34"/>
      <c r="AJ203" s="29">
        <f>AJ201+AJ192+AJ176+AJ150+AJ123</f>
        <v>0</v>
      </c>
      <c r="AK203" s="29">
        <f>AK201+AK192+AK176+AK150+AK123</f>
        <v>0</v>
      </c>
      <c r="AL203" s="29">
        <f>AL201+AL192+AL176+AL150+AL123</f>
        <v>1597599.44</v>
      </c>
      <c r="AM203" s="29">
        <f>AM201+AM192+AM176+AM150+AM123</f>
        <v>564800</v>
      </c>
      <c r="AN203" s="34"/>
      <c r="AO203" s="29">
        <f>AO201+AO192+AO176+AO150+AO123</f>
        <v>1571899</v>
      </c>
      <c r="AP203" s="46"/>
      <c r="AQ203" s="110">
        <f t="shared" si="33"/>
        <v>-338186</v>
      </c>
    </row>
    <row r="204" spans="1:43" x14ac:dyDescent="0.2"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50"/>
      <c r="AH204" s="50"/>
      <c r="AI204" s="50"/>
      <c r="AJ204" s="50"/>
      <c r="AK204" s="50"/>
      <c r="AL204" s="50"/>
      <c r="AM204" s="50"/>
      <c r="AN204" s="50"/>
      <c r="AO204" s="50"/>
      <c r="AP204" s="46"/>
      <c r="AQ204" s="110">
        <f t="shared" si="33"/>
        <v>0</v>
      </c>
    </row>
    <row r="205" spans="1:43" x14ac:dyDescent="0.2">
      <c r="A205" s="16" t="s">
        <v>133</v>
      </c>
      <c r="B205" s="15" t="s">
        <v>82</v>
      </c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51"/>
      <c r="AH205" s="51"/>
      <c r="AI205" s="51"/>
      <c r="AJ205" s="51"/>
      <c r="AK205" s="51"/>
      <c r="AL205" s="51"/>
      <c r="AM205" s="51"/>
      <c r="AN205" s="51"/>
      <c r="AO205" s="50"/>
      <c r="AP205" s="46"/>
      <c r="AQ205" s="110">
        <f t="shared" si="33"/>
        <v>0</v>
      </c>
    </row>
    <row r="206" spans="1:43" x14ac:dyDescent="0.2">
      <c r="A206" s="14" t="s">
        <v>131</v>
      </c>
      <c r="B206" s="13" t="s">
        <v>130</v>
      </c>
      <c r="C206" s="28">
        <v>84271.86</v>
      </c>
      <c r="D206" s="28">
        <v>93475</v>
      </c>
      <c r="E206" s="28"/>
      <c r="F206" s="28">
        <v>90899.85</v>
      </c>
      <c r="G206" s="28">
        <v>66507</v>
      </c>
      <c r="H206" s="28"/>
      <c r="I206" s="28">
        <v>85159.24</v>
      </c>
      <c r="J206" s="28">
        <v>66507</v>
      </c>
      <c r="K206" s="28"/>
      <c r="L206" s="28">
        <v>128162.88</v>
      </c>
      <c r="M206" s="28">
        <v>118322</v>
      </c>
      <c r="N206" s="28"/>
      <c r="O206" s="28"/>
      <c r="P206" s="28"/>
      <c r="Q206" s="28"/>
      <c r="R206" s="28"/>
      <c r="S206" s="28"/>
      <c r="T206" s="28"/>
      <c r="U206" s="28"/>
      <c r="V206" s="28"/>
      <c r="W206" s="28"/>
      <c r="X206" s="28"/>
      <c r="Y206" s="28"/>
      <c r="Z206" s="28"/>
      <c r="AA206" s="28"/>
      <c r="AB206" s="28"/>
      <c r="AC206" s="28"/>
      <c r="AD206" s="28"/>
      <c r="AE206" s="28"/>
      <c r="AF206" s="28"/>
      <c r="AG206" s="28"/>
      <c r="AH206" s="28"/>
      <c r="AI206" s="28"/>
      <c r="AJ206" s="28"/>
      <c r="AK206" s="28"/>
      <c r="AL206" s="27">
        <f t="shared" ref="AL206:AL210" si="46">+C206+F206+I206+L206+O206+R206+U206+X206+AA206+AD206+AG206+AJ206</f>
        <v>388493.83</v>
      </c>
      <c r="AM206" s="27">
        <f t="shared" ref="AM206:AM210" si="47">+D206+G206+J206+M206+P206+S206+V206+Y206+AB206+AE206+AH206+AK206</f>
        <v>344811</v>
      </c>
      <c r="AN206" s="28"/>
      <c r="AO206" s="20">
        <v>1347218</v>
      </c>
      <c r="AP206" s="47"/>
      <c r="AQ206" s="110">
        <f t="shared" si="33"/>
        <v>-184829</v>
      </c>
    </row>
    <row r="207" spans="1:43" x14ac:dyDescent="0.2">
      <c r="A207" s="14">
        <v>6030101</v>
      </c>
      <c r="B207" s="13" t="s">
        <v>390</v>
      </c>
      <c r="C207" s="28">
        <v>17792.84</v>
      </c>
      <c r="D207" s="28">
        <v>10158</v>
      </c>
      <c r="E207" s="28"/>
      <c r="F207" s="28">
        <v>16902.48</v>
      </c>
      <c r="G207" s="28">
        <v>10976</v>
      </c>
      <c r="H207" s="28"/>
      <c r="I207" s="28">
        <v>19450.25</v>
      </c>
      <c r="J207" s="28">
        <v>10976</v>
      </c>
      <c r="K207" s="28"/>
      <c r="L207" s="28">
        <v>22068.98</v>
      </c>
      <c r="M207" s="28">
        <v>10976</v>
      </c>
      <c r="N207" s="28"/>
      <c r="O207" s="28"/>
      <c r="P207" s="28"/>
      <c r="Q207" s="28"/>
      <c r="R207" s="28"/>
      <c r="S207" s="28"/>
      <c r="T207" s="28"/>
      <c r="U207" s="28"/>
      <c r="V207" s="28"/>
      <c r="W207" s="28"/>
      <c r="X207" s="28"/>
      <c r="Y207" s="28"/>
      <c r="Z207" s="28"/>
      <c r="AA207" s="28"/>
      <c r="AB207" s="28"/>
      <c r="AC207" s="28"/>
      <c r="AD207" s="28"/>
      <c r="AE207" s="28"/>
      <c r="AF207" s="28"/>
      <c r="AG207" s="28"/>
      <c r="AH207" s="28"/>
      <c r="AI207" s="28"/>
      <c r="AJ207" s="28"/>
      <c r="AK207" s="28"/>
      <c r="AL207" s="27">
        <f t="shared" si="46"/>
        <v>76214.55</v>
      </c>
      <c r="AM207" s="27">
        <f t="shared" si="47"/>
        <v>43086</v>
      </c>
      <c r="AN207" s="28"/>
      <c r="AO207" s="20">
        <v>0</v>
      </c>
      <c r="AP207" s="47"/>
      <c r="AQ207" s="110">
        <f t="shared" ref="AQ207:AQ270" si="48">+D207+G207-AM207</f>
        <v>-21952</v>
      </c>
    </row>
    <row r="208" spans="1:43" x14ac:dyDescent="0.2">
      <c r="A208" s="14">
        <v>6030102</v>
      </c>
      <c r="B208" s="13" t="s">
        <v>391</v>
      </c>
      <c r="C208" s="28">
        <v>2625</v>
      </c>
      <c r="D208" s="28">
        <v>0</v>
      </c>
      <c r="E208" s="28"/>
      <c r="F208" s="28">
        <v>2212.5</v>
      </c>
      <c r="G208" s="28">
        <v>9900</v>
      </c>
      <c r="H208" s="28"/>
      <c r="I208" s="28">
        <v>6600</v>
      </c>
      <c r="J208" s="28">
        <v>9900</v>
      </c>
      <c r="K208" s="28"/>
      <c r="L208" s="28">
        <v>14062.5</v>
      </c>
      <c r="M208" s="28">
        <v>9900</v>
      </c>
      <c r="N208" s="28"/>
      <c r="O208" s="28"/>
      <c r="P208" s="28"/>
      <c r="Q208" s="28"/>
      <c r="R208" s="28"/>
      <c r="S208" s="28"/>
      <c r="T208" s="28"/>
      <c r="U208" s="28"/>
      <c r="V208" s="28"/>
      <c r="W208" s="28"/>
      <c r="X208" s="28"/>
      <c r="Y208" s="28"/>
      <c r="Z208" s="28"/>
      <c r="AA208" s="28"/>
      <c r="AB208" s="28"/>
      <c r="AC208" s="28"/>
      <c r="AD208" s="28"/>
      <c r="AE208" s="28"/>
      <c r="AF208" s="28"/>
      <c r="AG208" s="28"/>
      <c r="AH208" s="28"/>
      <c r="AI208" s="28"/>
      <c r="AJ208" s="28"/>
      <c r="AK208" s="28"/>
      <c r="AL208" s="27">
        <f t="shared" si="46"/>
        <v>25500</v>
      </c>
      <c r="AM208" s="27">
        <f t="shared" si="47"/>
        <v>29700</v>
      </c>
      <c r="AN208" s="28"/>
      <c r="AO208" s="20">
        <v>0</v>
      </c>
      <c r="AP208" s="47"/>
      <c r="AQ208" s="110">
        <f t="shared" si="48"/>
        <v>-19800</v>
      </c>
    </row>
    <row r="209" spans="1:43" x14ac:dyDescent="0.2">
      <c r="A209" s="14">
        <v>6030103</v>
      </c>
      <c r="B209" s="13" t="s">
        <v>392</v>
      </c>
      <c r="C209" s="28">
        <v>0</v>
      </c>
      <c r="D209" s="28">
        <v>0</v>
      </c>
      <c r="E209" s="28"/>
      <c r="F209" s="28">
        <v>2360.44</v>
      </c>
      <c r="G209" s="28">
        <v>16250</v>
      </c>
      <c r="H209" s="28"/>
      <c r="I209" s="28">
        <v>12545</v>
      </c>
      <c r="J209" s="28">
        <v>16250</v>
      </c>
      <c r="K209" s="28"/>
      <c r="L209" s="28">
        <v>20637.5</v>
      </c>
      <c r="M209" s="28">
        <v>16250</v>
      </c>
      <c r="N209" s="28"/>
      <c r="O209" s="28"/>
      <c r="P209" s="28"/>
      <c r="Q209" s="28"/>
      <c r="R209" s="28"/>
      <c r="S209" s="28"/>
      <c r="T209" s="28"/>
      <c r="U209" s="28"/>
      <c r="V209" s="28"/>
      <c r="W209" s="28"/>
      <c r="X209" s="28"/>
      <c r="Y209" s="28"/>
      <c r="Z209" s="28"/>
      <c r="AA209" s="28"/>
      <c r="AB209" s="28"/>
      <c r="AC209" s="28"/>
      <c r="AD209" s="28"/>
      <c r="AE209" s="28"/>
      <c r="AF209" s="28"/>
      <c r="AG209" s="28"/>
      <c r="AH209" s="28"/>
      <c r="AI209" s="28"/>
      <c r="AJ209" s="28"/>
      <c r="AK209" s="28"/>
      <c r="AL209" s="27">
        <f t="shared" si="46"/>
        <v>35542.94</v>
      </c>
      <c r="AM209" s="27">
        <f t="shared" si="47"/>
        <v>48750</v>
      </c>
      <c r="AN209" s="28"/>
      <c r="AO209" s="20">
        <v>0</v>
      </c>
      <c r="AP209" s="47"/>
      <c r="AQ209" s="110">
        <f t="shared" si="48"/>
        <v>-32500</v>
      </c>
    </row>
    <row r="210" spans="1:43" x14ac:dyDescent="0.2">
      <c r="A210" s="14">
        <v>6030104</v>
      </c>
      <c r="B210" s="13" t="s">
        <v>393</v>
      </c>
      <c r="C210" s="28">
        <v>221.6</v>
      </c>
      <c r="D210" s="28">
        <v>0</v>
      </c>
      <c r="E210" s="28"/>
      <c r="F210" s="28">
        <v>1083.32</v>
      </c>
      <c r="G210" s="28">
        <v>0</v>
      </c>
      <c r="H210" s="28"/>
      <c r="I210" s="28">
        <v>1192.8</v>
      </c>
      <c r="J210" s="28">
        <v>0</v>
      </c>
      <c r="K210" s="28"/>
      <c r="L210" s="28">
        <v>3224.2</v>
      </c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28"/>
      <c r="X210" s="28"/>
      <c r="Y210" s="28"/>
      <c r="Z210" s="28"/>
      <c r="AA210" s="28"/>
      <c r="AB210" s="28"/>
      <c r="AC210" s="28"/>
      <c r="AD210" s="28"/>
      <c r="AE210" s="28"/>
      <c r="AF210" s="28"/>
      <c r="AG210" s="28"/>
      <c r="AH210" s="28"/>
      <c r="AI210" s="28"/>
      <c r="AJ210" s="28"/>
      <c r="AK210" s="28"/>
      <c r="AL210" s="27">
        <f t="shared" si="46"/>
        <v>5721.92</v>
      </c>
      <c r="AM210" s="27">
        <f t="shared" si="47"/>
        <v>0</v>
      </c>
      <c r="AN210" s="28"/>
      <c r="AO210" s="20">
        <v>0</v>
      </c>
      <c r="AP210" s="47"/>
      <c r="AQ210" s="110">
        <f t="shared" si="48"/>
        <v>0</v>
      </c>
    </row>
    <row r="211" spans="1:43" x14ac:dyDescent="0.2">
      <c r="A211" s="14" t="s">
        <v>129</v>
      </c>
      <c r="B211" s="13" t="s">
        <v>128</v>
      </c>
      <c r="C211" s="28">
        <v>1300</v>
      </c>
      <c r="D211" s="28">
        <v>0</v>
      </c>
      <c r="E211" s="28"/>
      <c r="F211" s="28">
        <v>0</v>
      </c>
      <c r="G211" s="28">
        <v>12500</v>
      </c>
      <c r="H211" s="28"/>
      <c r="I211" s="28">
        <v>5395</v>
      </c>
      <c r="J211" s="28">
        <v>0</v>
      </c>
      <c r="K211" s="28"/>
      <c r="L211" s="28">
        <v>6240</v>
      </c>
      <c r="M211" s="28">
        <v>12500</v>
      </c>
      <c r="N211" s="28"/>
      <c r="O211" s="28"/>
      <c r="P211" s="28"/>
      <c r="Q211" s="28"/>
      <c r="R211" s="28"/>
      <c r="S211" s="28"/>
      <c r="T211" s="28"/>
      <c r="U211" s="28"/>
      <c r="V211" s="28"/>
      <c r="W211" s="28"/>
      <c r="X211" s="28"/>
      <c r="Y211" s="28"/>
      <c r="Z211" s="28"/>
      <c r="AA211" s="28"/>
      <c r="AB211" s="28"/>
      <c r="AC211" s="28"/>
      <c r="AD211" s="28"/>
      <c r="AE211" s="28"/>
      <c r="AF211" s="28"/>
      <c r="AG211" s="28"/>
      <c r="AH211" s="28"/>
      <c r="AI211" s="28"/>
      <c r="AJ211" s="28"/>
      <c r="AK211" s="28"/>
      <c r="AL211" s="27">
        <f t="shared" ref="AL211:AL248" si="49">+C211+F211+I211+L211+O211+R211+U211+X211+AA211+AD211+AG211+AJ211</f>
        <v>12935</v>
      </c>
      <c r="AM211" s="27">
        <f t="shared" ref="AM211:AM248" si="50">+D211+G211+J211+M211+P211+S211+V211+Y211+AB211+AE211+AH211+AK211</f>
        <v>25000</v>
      </c>
      <c r="AN211" s="28"/>
      <c r="AO211" s="20">
        <v>50000</v>
      </c>
      <c r="AP211" s="47"/>
      <c r="AQ211" s="110">
        <f t="shared" si="48"/>
        <v>-12500</v>
      </c>
    </row>
    <row r="212" spans="1:43" x14ac:dyDescent="0.2">
      <c r="A212" s="14" t="s">
        <v>127</v>
      </c>
      <c r="B212" s="13" t="s">
        <v>126</v>
      </c>
      <c r="C212" s="28">
        <v>7463.37</v>
      </c>
      <c r="D212" s="28">
        <v>8291</v>
      </c>
      <c r="E212" s="28"/>
      <c r="F212" s="28">
        <v>7625.27</v>
      </c>
      <c r="G212" s="28">
        <v>8291</v>
      </c>
      <c r="H212" s="28"/>
      <c r="I212" s="28">
        <v>8917.85</v>
      </c>
      <c r="J212" s="28">
        <v>8291</v>
      </c>
      <c r="K212" s="28"/>
      <c r="L212" s="28">
        <v>13867.42</v>
      </c>
      <c r="M212" s="28">
        <v>12436</v>
      </c>
      <c r="N212" s="28"/>
      <c r="O212" s="28"/>
      <c r="P212" s="28"/>
      <c r="Q212" s="28"/>
      <c r="R212" s="28"/>
      <c r="S212" s="28"/>
      <c r="T212" s="28"/>
      <c r="U212" s="28"/>
      <c r="V212" s="28"/>
      <c r="W212" s="28"/>
      <c r="X212" s="28"/>
      <c r="Y212" s="28"/>
      <c r="Z212" s="28"/>
      <c r="AA212" s="28"/>
      <c r="AB212" s="28"/>
      <c r="AC212" s="28"/>
      <c r="AD212" s="28"/>
      <c r="AE212" s="28"/>
      <c r="AF212" s="28"/>
      <c r="AG212" s="28"/>
      <c r="AH212" s="28"/>
      <c r="AI212" s="28"/>
      <c r="AJ212" s="28"/>
      <c r="AK212" s="28"/>
      <c r="AL212" s="27">
        <f t="shared" si="49"/>
        <v>37873.909999999996</v>
      </c>
      <c r="AM212" s="27">
        <f t="shared" si="50"/>
        <v>37309</v>
      </c>
      <c r="AN212" s="28"/>
      <c r="AO212" s="20">
        <v>107777</v>
      </c>
      <c r="AP212" s="47"/>
      <c r="AQ212" s="110">
        <f t="shared" si="48"/>
        <v>-20727</v>
      </c>
    </row>
    <row r="213" spans="1:43" x14ac:dyDescent="0.2">
      <c r="A213" s="14" t="s">
        <v>125</v>
      </c>
      <c r="B213" s="13" t="s">
        <v>124</v>
      </c>
      <c r="C213" s="28">
        <v>27316.959999999999</v>
      </c>
      <c r="D213" s="28">
        <v>29443</v>
      </c>
      <c r="E213" s="28"/>
      <c r="F213" s="28">
        <v>27316.959999999999</v>
      </c>
      <c r="G213" s="28">
        <v>29442</v>
      </c>
      <c r="H213" s="28"/>
      <c r="I213" s="28">
        <v>27788.959999999999</v>
      </c>
      <c r="J213" s="28">
        <v>29443</v>
      </c>
      <c r="K213" s="28"/>
      <c r="L213" s="28">
        <v>28155.86</v>
      </c>
      <c r="M213" s="28">
        <v>29442</v>
      </c>
      <c r="N213" s="28"/>
      <c r="O213" s="28"/>
      <c r="P213" s="28"/>
      <c r="Q213" s="28"/>
      <c r="R213" s="28"/>
      <c r="S213" s="28"/>
      <c r="T213" s="28"/>
      <c r="U213" s="28"/>
      <c r="V213" s="28"/>
      <c r="W213" s="28"/>
      <c r="X213" s="28"/>
      <c r="Y213" s="28"/>
      <c r="Z213" s="28"/>
      <c r="AA213" s="28"/>
      <c r="AB213" s="28"/>
      <c r="AC213" s="28"/>
      <c r="AD213" s="28"/>
      <c r="AE213" s="28"/>
      <c r="AF213" s="28"/>
      <c r="AG213" s="28"/>
      <c r="AH213" s="28"/>
      <c r="AI213" s="28"/>
      <c r="AJ213" s="28"/>
      <c r="AK213" s="28"/>
      <c r="AL213" s="27">
        <f t="shared" si="49"/>
        <v>110578.74</v>
      </c>
      <c r="AM213" s="27">
        <f t="shared" si="50"/>
        <v>117770</v>
      </c>
      <c r="AN213" s="28"/>
      <c r="AO213" s="20">
        <v>353311</v>
      </c>
      <c r="AP213" s="47"/>
      <c r="AQ213" s="110">
        <f t="shared" si="48"/>
        <v>-58885</v>
      </c>
    </row>
    <row r="214" spans="1:43" x14ac:dyDescent="0.2">
      <c r="A214" s="14" t="s">
        <v>123</v>
      </c>
      <c r="B214" s="13" t="s">
        <v>122</v>
      </c>
      <c r="C214" s="28">
        <v>11914.8</v>
      </c>
      <c r="D214" s="28">
        <v>13614</v>
      </c>
      <c r="E214" s="28"/>
      <c r="F214" s="28">
        <v>12057.19</v>
      </c>
      <c r="G214" s="28">
        <v>13614</v>
      </c>
      <c r="H214" s="28"/>
      <c r="I214" s="28">
        <v>12067.56</v>
      </c>
      <c r="J214" s="28">
        <v>20421</v>
      </c>
      <c r="K214" s="28"/>
      <c r="L214" s="28">
        <v>18359.79</v>
      </c>
      <c r="M214" s="28">
        <v>13614</v>
      </c>
      <c r="N214" s="28"/>
      <c r="O214" s="28"/>
      <c r="P214" s="28"/>
      <c r="Q214" s="28"/>
      <c r="R214" s="28"/>
      <c r="S214" s="28"/>
      <c r="T214" s="28"/>
      <c r="U214" s="28"/>
      <c r="V214" s="28"/>
      <c r="W214" s="28"/>
      <c r="X214" s="28"/>
      <c r="Y214" s="28"/>
      <c r="Z214" s="28"/>
      <c r="AA214" s="28"/>
      <c r="AB214" s="28"/>
      <c r="AC214" s="28"/>
      <c r="AD214" s="28"/>
      <c r="AE214" s="28"/>
      <c r="AF214" s="28"/>
      <c r="AG214" s="28"/>
      <c r="AH214" s="28"/>
      <c r="AI214" s="28"/>
      <c r="AJ214" s="28"/>
      <c r="AK214" s="28"/>
      <c r="AL214" s="27">
        <f t="shared" si="49"/>
        <v>54399.34</v>
      </c>
      <c r="AM214" s="27">
        <f t="shared" si="50"/>
        <v>61263</v>
      </c>
      <c r="AN214" s="28"/>
      <c r="AO214" s="20">
        <v>176982</v>
      </c>
      <c r="AP214" s="47"/>
      <c r="AQ214" s="110">
        <f t="shared" si="48"/>
        <v>-34035</v>
      </c>
    </row>
    <row r="215" spans="1:43" x14ac:dyDescent="0.2">
      <c r="A215" s="14" t="s">
        <v>121</v>
      </c>
      <c r="B215" s="13" t="s">
        <v>120</v>
      </c>
      <c r="C215" s="28">
        <v>2618.34</v>
      </c>
      <c r="D215" s="28">
        <v>1000</v>
      </c>
      <c r="E215" s="28"/>
      <c r="F215" s="28">
        <v>1568</v>
      </c>
      <c r="G215" s="28">
        <v>1000</v>
      </c>
      <c r="H215" s="28"/>
      <c r="I215" s="28">
        <v>0</v>
      </c>
      <c r="J215" s="28">
        <v>1000</v>
      </c>
      <c r="K215" s="28"/>
      <c r="L215" s="28">
        <v>435.92</v>
      </c>
      <c r="M215" s="28">
        <v>1000</v>
      </c>
      <c r="N215" s="28"/>
      <c r="O215" s="28"/>
      <c r="P215" s="28"/>
      <c r="Q215" s="28"/>
      <c r="R215" s="28"/>
      <c r="S215" s="28"/>
      <c r="T215" s="28"/>
      <c r="U215" s="28"/>
      <c r="V215" s="28"/>
      <c r="W215" s="28"/>
      <c r="X215" s="28"/>
      <c r="Y215" s="28"/>
      <c r="Z215" s="28"/>
      <c r="AA215" s="28"/>
      <c r="AB215" s="28"/>
      <c r="AC215" s="28"/>
      <c r="AD215" s="28"/>
      <c r="AE215" s="28"/>
      <c r="AF215" s="28"/>
      <c r="AG215" s="28"/>
      <c r="AH215" s="28"/>
      <c r="AI215" s="28"/>
      <c r="AJ215" s="28"/>
      <c r="AK215" s="28"/>
      <c r="AL215" s="27">
        <f t="shared" si="49"/>
        <v>4622.26</v>
      </c>
      <c r="AM215" s="27">
        <f t="shared" si="50"/>
        <v>4000</v>
      </c>
      <c r="AN215" s="28"/>
      <c r="AO215" s="20">
        <v>12000</v>
      </c>
      <c r="AP215" s="47"/>
      <c r="AQ215" s="110">
        <f t="shared" si="48"/>
        <v>-2000</v>
      </c>
    </row>
    <row r="216" spans="1:43" x14ac:dyDescent="0.2">
      <c r="A216" s="14" t="s">
        <v>119</v>
      </c>
      <c r="B216" s="13" t="s">
        <v>118</v>
      </c>
      <c r="C216" s="28">
        <v>3086.03</v>
      </c>
      <c r="D216" s="28">
        <v>3534</v>
      </c>
      <c r="E216" s="28"/>
      <c r="F216" s="28">
        <v>3086.03</v>
      </c>
      <c r="G216" s="28">
        <v>3534</v>
      </c>
      <c r="H216" s="28"/>
      <c r="I216" s="28">
        <v>3086.03</v>
      </c>
      <c r="J216" s="28">
        <v>5301</v>
      </c>
      <c r="K216" s="28"/>
      <c r="L216" s="28">
        <v>3086.03</v>
      </c>
      <c r="M216" s="28">
        <v>3534</v>
      </c>
      <c r="N216" s="28"/>
      <c r="O216" s="28"/>
      <c r="P216" s="28"/>
      <c r="Q216" s="28"/>
      <c r="R216" s="28"/>
      <c r="S216" s="28"/>
      <c r="T216" s="28"/>
      <c r="U216" s="28"/>
      <c r="V216" s="28"/>
      <c r="W216" s="28"/>
      <c r="X216" s="28"/>
      <c r="Y216" s="28"/>
      <c r="Z216" s="28"/>
      <c r="AA216" s="28"/>
      <c r="AB216" s="28"/>
      <c r="AC216" s="28"/>
      <c r="AD216" s="28"/>
      <c r="AE216" s="28"/>
      <c r="AF216" s="28"/>
      <c r="AG216" s="28"/>
      <c r="AH216" s="28"/>
      <c r="AI216" s="28"/>
      <c r="AJ216" s="28"/>
      <c r="AK216" s="28"/>
      <c r="AL216" s="27">
        <f t="shared" si="49"/>
        <v>12344.12</v>
      </c>
      <c r="AM216" s="27">
        <f t="shared" si="50"/>
        <v>15903</v>
      </c>
      <c r="AN216" s="28"/>
      <c r="AO216" s="20">
        <v>45940</v>
      </c>
      <c r="AP216" s="47"/>
      <c r="AQ216" s="110">
        <f t="shared" si="48"/>
        <v>-8835</v>
      </c>
    </row>
    <row r="217" spans="1:43" x14ac:dyDescent="0.2">
      <c r="A217" s="14" t="s">
        <v>117</v>
      </c>
      <c r="B217" s="13" t="s">
        <v>116</v>
      </c>
      <c r="C217" s="28">
        <v>28329.93</v>
      </c>
      <c r="D217" s="28">
        <v>23277</v>
      </c>
      <c r="E217" s="28"/>
      <c r="F217" s="28">
        <f>28973.3+1440.08</f>
        <v>30413.379999999997</v>
      </c>
      <c r="G217" s="28">
        <v>19998</v>
      </c>
      <c r="H217" s="28"/>
      <c r="I217" s="28">
        <f>23715.75+2389.92</f>
        <v>26105.67</v>
      </c>
      <c r="J217" s="28">
        <v>19998</v>
      </c>
      <c r="K217" s="28"/>
      <c r="L217" s="28">
        <v>43167.44</v>
      </c>
      <c r="M217" s="28">
        <v>33621</v>
      </c>
      <c r="N217" s="28"/>
      <c r="O217" s="28"/>
      <c r="P217" s="28"/>
      <c r="Q217" s="28"/>
      <c r="R217" s="28"/>
      <c r="S217" s="28"/>
      <c r="T217" s="28"/>
      <c r="U217" s="28"/>
      <c r="V217" s="28"/>
      <c r="W217" s="28"/>
      <c r="X217" s="28"/>
      <c r="Y217" s="28"/>
      <c r="Z217" s="28"/>
      <c r="AA217" s="28"/>
      <c r="AB217" s="28"/>
      <c r="AC217" s="28"/>
      <c r="AD217" s="28"/>
      <c r="AE217" s="28"/>
      <c r="AF217" s="28"/>
      <c r="AG217" s="28"/>
      <c r="AH217" s="28"/>
      <c r="AI217" s="28"/>
      <c r="AJ217" s="28"/>
      <c r="AK217" s="28"/>
      <c r="AL217" s="27">
        <f t="shared" si="49"/>
        <v>128016.42</v>
      </c>
      <c r="AM217" s="27">
        <f t="shared" si="50"/>
        <v>96894</v>
      </c>
      <c r="AN217" s="28"/>
      <c r="AO217" s="20">
        <v>354203</v>
      </c>
      <c r="AP217" s="47"/>
      <c r="AQ217" s="110">
        <f t="shared" si="48"/>
        <v>-53619</v>
      </c>
    </row>
    <row r="218" spans="1:43" x14ac:dyDescent="0.2">
      <c r="A218" s="14">
        <v>6030201</v>
      </c>
      <c r="B218" s="13" t="s">
        <v>394</v>
      </c>
      <c r="C218" s="28">
        <v>2304.35</v>
      </c>
      <c r="D218" s="28">
        <v>3970</v>
      </c>
      <c r="E218" s="28"/>
      <c r="F218" s="28">
        <v>4097.32</v>
      </c>
      <c r="G218" s="28">
        <v>7248</v>
      </c>
      <c r="H218" s="28"/>
      <c r="I218" s="28">
        <v>4730.6099999999997</v>
      </c>
      <c r="J218" s="28">
        <v>7249</v>
      </c>
      <c r="K218" s="28"/>
      <c r="L218" s="28">
        <v>5031.7700000000004</v>
      </c>
      <c r="M218" s="28">
        <v>7248</v>
      </c>
      <c r="N218" s="28"/>
      <c r="O218" s="28"/>
      <c r="P218" s="28"/>
      <c r="Q218" s="28"/>
      <c r="R218" s="28"/>
      <c r="S218" s="28"/>
      <c r="T218" s="28"/>
      <c r="U218" s="28"/>
      <c r="V218" s="28"/>
      <c r="W218" s="28"/>
      <c r="X218" s="28"/>
      <c r="Y218" s="28"/>
      <c r="Z218" s="28"/>
      <c r="AA218" s="28"/>
      <c r="AB218" s="28"/>
      <c r="AC218" s="28"/>
      <c r="AD218" s="28"/>
      <c r="AE218" s="28"/>
      <c r="AF218" s="28"/>
      <c r="AG218" s="28"/>
      <c r="AH218" s="28"/>
      <c r="AI218" s="28"/>
      <c r="AJ218" s="28"/>
      <c r="AK218" s="28"/>
      <c r="AL218" s="27">
        <f t="shared" si="49"/>
        <v>16164.05</v>
      </c>
      <c r="AM218" s="27">
        <f t="shared" si="50"/>
        <v>25715</v>
      </c>
      <c r="AN218" s="28"/>
      <c r="AO218" s="20">
        <v>0</v>
      </c>
      <c r="AP218" s="47"/>
      <c r="AQ218" s="110">
        <f t="shared" si="48"/>
        <v>-14497</v>
      </c>
    </row>
    <row r="219" spans="1:43" x14ac:dyDescent="0.2">
      <c r="A219" s="14" t="s">
        <v>115</v>
      </c>
      <c r="B219" s="13" t="s">
        <v>114</v>
      </c>
      <c r="C219" s="28">
        <v>2333.23</v>
      </c>
      <c r="D219" s="28">
        <v>2180</v>
      </c>
      <c r="E219" s="28"/>
      <c r="F219" s="28">
        <v>2498.8000000000002</v>
      </c>
      <c r="G219" s="28">
        <v>2180</v>
      </c>
      <c r="H219" s="28"/>
      <c r="I219" s="28">
        <v>2479.96</v>
      </c>
      <c r="J219" s="28">
        <v>3270</v>
      </c>
      <c r="K219" s="28"/>
      <c r="L219" s="28">
        <v>4148.51</v>
      </c>
      <c r="M219" s="28">
        <v>2180</v>
      </c>
      <c r="N219" s="28"/>
      <c r="O219" s="28"/>
      <c r="P219" s="28"/>
      <c r="Q219" s="28"/>
      <c r="R219" s="28"/>
      <c r="S219" s="28"/>
      <c r="T219" s="28"/>
      <c r="U219" s="28"/>
      <c r="V219" s="28"/>
      <c r="W219" s="28"/>
      <c r="X219" s="28"/>
      <c r="Y219" s="28"/>
      <c r="Z219" s="28"/>
      <c r="AA219" s="28"/>
      <c r="AB219" s="28"/>
      <c r="AC219" s="28"/>
      <c r="AD219" s="28"/>
      <c r="AE219" s="28"/>
      <c r="AF219" s="28"/>
      <c r="AG219" s="28"/>
      <c r="AH219" s="28"/>
      <c r="AI219" s="28"/>
      <c r="AJ219" s="28"/>
      <c r="AK219" s="28"/>
      <c r="AL219" s="27">
        <f t="shared" si="49"/>
        <v>11460.5</v>
      </c>
      <c r="AM219" s="27">
        <f t="shared" si="50"/>
        <v>9810</v>
      </c>
      <c r="AN219" s="28"/>
      <c r="AO219" s="20">
        <v>28336</v>
      </c>
      <c r="AP219" s="47"/>
      <c r="AQ219" s="110">
        <f t="shared" si="48"/>
        <v>-5450</v>
      </c>
    </row>
    <row r="220" spans="1:43" x14ac:dyDescent="0.2">
      <c r="A220" s="14" t="s">
        <v>113</v>
      </c>
      <c r="B220" s="13" t="s">
        <v>112</v>
      </c>
      <c r="C220" s="28">
        <v>10190.56</v>
      </c>
      <c r="D220" s="28">
        <v>12644</v>
      </c>
      <c r="E220" s="28"/>
      <c r="F220" s="28">
        <v>10190.56</v>
      </c>
      <c r="G220" s="28">
        <v>12645</v>
      </c>
      <c r="H220" s="28"/>
      <c r="I220" s="28">
        <v>13680.65</v>
      </c>
      <c r="J220" s="28">
        <v>12644</v>
      </c>
      <c r="K220" s="28"/>
      <c r="L220" s="28">
        <v>14095.03</v>
      </c>
      <c r="M220" s="28">
        <v>12645</v>
      </c>
      <c r="N220" s="28"/>
      <c r="O220" s="28"/>
      <c r="P220" s="28"/>
      <c r="Q220" s="28"/>
      <c r="R220" s="28"/>
      <c r="S220" s="28"/>
      <c r="T220" s="28"/>
      <c r="U220" s="28"/>
      <c r="V220" s="28"/>
      <c r="W220" s="28"/>
      <c r="X220" s="28"/>
      <c r="Y220" s="28"/>
      <c r="Z220" s="28"/>
      <c r="AA220" s="28"/>
      <c r="AB220" s="28"/>
      <c r="AC220" s="28"/>
      <c r="AD220" s="28"/>
      <c r="AE220" s="28"/>
      <c r="AF220" s="28"/>
      <c r="AG220" s="28"/>
      <c r="AH220" s="28"/>
      <c r="AI220" s="28"/>
      <c r="AJ220" s="28"/>
      <c r="AK220" s="28"/>
      <c r="AL220" s="27">
        <f t="shared" si="49"/>
        <v>48156.799999999996</v>
      </c>
      <c r="AM220" s="27">
        <f t="shared" si="50"/>
        <v>50578</v>
      </c>
      <c r="AN220" s="28"/>
      <c r="AO220" s="20">
        <v>151734</v>
      </c>
      <c r="AP220" s="47"/>
      <c r="AQ220" s="110">
        <f t="shared" si="48"/>
        <v>-25289</v>
      </c>
    </row>
    <row r="221" spans="1:43" x14ac:dyDescent="0.2">
      <c r="A221" s="14" t="s">
        <v>111</v>
      </c>
      <c r="B221" s="13" t="s">
        <v>110</v>
      </c>
      <c r="C221" s="28">
        <v>237.12</v>
      </c>
      <c r="D221" s="28">
        <v>248</v>
      </c>
      <c r="E221" s="28"/>
      <c r="F221" s="28">
        <v>277.87</v>
      </c>
      <c r="G221" s="28">
        <v>248</v>
      </c>
      <c r="H221" s="28"/>
      <c r="I221" s="28">
        <v>485.24</v>
      </c>
      <c r="J221" s="28">
        <v>372</v>
      </c>
      <c r="K221" s="28"/>
      <c r="L221" s="28">
        <v>202.38</v>
      </c>
      <c r="M221" s="28">
        <v>248</v>
      </c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  <c r="Z221" s="28"/>
      <c r="AA221" s="28"/>
      <c r="AB221" s="28"/>
      <c r="AC221" s="28"/>
      <c r="AD221" s="28"/>
      <c r="AE221" s="28"/>
      <c r="AF221" s="28"/>
      <c r="AG221" s="28"/>
      <c r="AH221" s="28"/>
      <c r="AI221" s="28"/>
      <c r="AJ221" s="28"/>
      <c r="AK221" s="28"/>
      <c r="AL221" s="27">
        <f t="shared" si="49"/>
        <v>1202.6100000000001</v>
      </c>
      <c r="AM221" s="27">
        <f t="shared" si="50"/>
        <v>1116</v>
      </c>
      <c r="AN221" s="28"/>
      <c r="AO221" s="20">
        <v>3224</v>
      </c>
      <c r="AP221" s="46"/>
      <c r="AQ221" s="110">
        <f t="shared" si="48"/>
        <v>-620</v>
      </c>
    </row>
    <row r="222" spans="1:43" x14ac:dyDescent="0.2">
      <c r="A222" s="14">
        <v>6030250</v>
      </c>
      <c r="B222" s="13" t="s">
        <v>109</v>
      </c>
      <c r="C222" s="28">
        <v>0</v>
      </c>
      <c r="D222" s="28">
        <v>125</v>
      </c>
      <c r="E222" s="28"/>
      <c r="F222" s="28">
        <v>303.60000000000002</v>
      </c>
      <c r="G222" s="28">
        <v>125</v>
      </c>
      <c r="H222" s="28"/>
      <c r="I222" s="28">
        <v>2509.69</v>
      </c>
      <c r="J222" s="28">
        <v>125</v>
      </c>
      <c r="K222" s="28"/>
      <c r="L222" s="28">
        <v>0</v>
      </c>
      <c r="M222" s="28">
        <v>125</v>
      </c>
      <c r="N222" s="28"/>
      <c r="O222" s="28"/>
      <c r="P222" s="28"/>
      <c r="Q222" s="28"/>
      <c r="R222" s="28"/>
      <c r="S222" s="28"/>
      <c r="T222" s="28"/>
      <c r="U222" s="28"/>
      <c r="V222" s="28"/>
      <c r="W222" s="28"/>
      <c r="X222" s="28"/>
      <c r="Y222" s="28"/>
      <c r="Z222" s="28"/>
      <c r="AA222" s="28"/>
      <c r="AB222" s="28"/>
      <c r="AC222" s="28"/>
      <c r="AD222" s="28"/>
      <c r="AE222" s="28"/>
      <c r="AF222" s="28"/>
      <c r="AG222" s="28"/>
      <c r="AH222" s="28"/>
      <c r="AI222" s="28"/>
      <c r="AJ222" s="28"/>
      <c r="AK222" s="28"/>
      <c r="AL222" s="27">
        <f t="shared" si="49"/>
        <v>2813.29</v>
      </c>
      <c r="AM222" s="27">
        <f t="shared" si="50"/>
        <v>500</v>
      </c>
      <c r="AN222" s="28"/>
      <c r="AO222" s="20">
        <v>1500</v>
      </c>
      <c r="AP222" s="46"/>
      <c r="AQ222" s="110">
        <f t="shared" si="48"/>
        <v>-250</v>
      </c>
    </row>
    <row r="223" spans="1:43" x14ac:dyDescent="0.2">
      <c r="A223" s="14" t="s">
        <v>108</v>
      </c>
      <c r="B223" s="13" t="s">
        <v>107</v>
      </c>
      <c r="C223" s="28">
        <v>34.04</v>
      </c>
      <c r="D223" s="28">
        <v>35</v>
      </c>
      <c r="E223" s="28"/>
      <c r="F223" s="28">
        <v>34.04</v>
      </c>
      <c r="G223" s="28">
        <v>36</v>
      </c>
      <c r="H223" s="28"/>
      <c r="I223" s="28">
        <v>34.04</v>
      </c>
      <c r="J223" s="28">
        <v>53</v>
      </c>
      <c r="K223" s="28"/>
      <c r="L223" s="28">
        <v>34.04</v>
      </c>
      <c r="M223" s="28">
        <v>36</v>
      </c>
      <c r="N223" s="28"/>
      <c r="O223" s="28"/>
      <c r="P223" s="28"/>
      <c r="Q223" s="28"/>
      <c r="R223" s="28"/>
      <c r="S223" s="28"/>
      <c r="T223" s="28"/>
      <c r="U223" s="28"/>
      <c r="V223" s="28"/>
      <c r="W223" s="28"/>
      <c r="X223" s="28"/>
      <c r="Y223" s="28"/>
      <c r="Z223" s="28"/>
      <c r="AA223" s="28"/>
      <c r="AB223" s="28"/>
      <c r="AC223" s="28"/>
      <c r="AD223" s="28"/>
      <c r="AE223" s="28"/>
      <c r="AF223" s="28"/>
      <c r="AG223" s="28"/>
      <c r="AH223" s="28"/>
      <c r="AI223" s="28"/>
      <c r="AJ223" s="28"/>
      <c r="AK223" s="28"/>
      <c r="AL223" s="27">
        <f t="shared" si="49"/>
        <v>136.16</v>
      </c>
      <c r="AM223" s="27">
        <f t="shared" si="50"/>
        <v>160</v>
      </c>
      <c r="AN223" s="28"/>
      <c r="AO223" s="20">
        <v>460</v>
      </c>
      <c r="AP223" s="47"/>
      <c r="AQ223" s="110">
        <f t="shared" si="48"/>
        <v>-89</v>
      </c>
    </row>
    <row r="224" spans="1:43" x14ac:dyDescent="0.2">
      <c r="A224" s="14" t="s">
        <v>106</v>
      </c>
      <c r="B224" s="13" t="s">
        <v>34</v>
      </c>
      <c r="C224" s="28">
        <v>6707.5</v>
      </c>
      <c r="D224" s="28">
        <v>0</v>
      </c>
      <c r="E224" s="28"/>
      <c r="F224" s="28">
        <v>26072.5</v>
      </c>
      <c r="G224" s="28">
        <v>30267</v>
      </c>
      <c r="H224" s="28"/>
      <c r="I224" s="28">
        <v>37175.879999999997</v>
      </c>
      <c r="J224" s="28">
        <v>30267</v>
      </c>
      <c r="K224" s="28"/>
      <c r="L224" s="28">
        <v>51879.02</v>
      </c>
      <c r="M224" s="28">
        <v>45402</v>
      </c>
      <c r="N224" s="28"/>
      <c r="O224" s="28"/>
      <c r="P224" s="28"/>
      <c r="Q224" s="28"/>
      <c r="R224" s="28"/>
      <c r="S224" s="28"/>
      <c r="T224" s="28"/>
      <c r="U224" s="28"/>
      <c r="V224" s="28"/>
      <c r="W224" s="28"/>
      <c r="X224" s="28"/>
      <c r="Y224" s="28"/>
      <c r="Z224" s="28"/>
      <c r="AA224" s="28"/>
      <c r="AB224" s="28"/>
      <c r="AC224" s="28"/>
      <c r="AD224" s="28"/>
      <c r="AE224" s="28"/>
      <c r="AF224" s="28"/>
      <c r="AG224" s="28"/>
      <c r="AH224" s="28"/>
      <c r="AI224" s="28"/>
      <c r="AJ224" s="28"/>
      <c r="AK224" s="28"/>
      <c r="AL224" s="27">
        <f t="shared" si="49"/>
        <v>121834.9</v>
      </c>
      <c r="AM224" s="27">
        <f t="shared" si="50"/>
        <v>105936</v>
      </c>
      <c r="AN224" s="28"/>
      <c r="AO224" s="20">
        <v>196737</v>
      </c>
      <c r="AP224" s="46"/>
      <c r="AQ224" s="110">
        <f t="shared" si="48"/>
        <v>-75669</v>
      </c>
    </row>
    <row r="225" spans="1:43" x14ac:dyDescent="0.2">
      <c r="A225" s="14">
        <v>6030301</v>
      </c>
      <c r="B225" s="13" t="s">
        <v>388</v>
      </c>
      <c r="C225" s="28">
        <v>0</v>
      </c>
      <c r="D225" s="28">
        <v>0</v>
      </c>
      <c r="E225" s="28"/>
      <c r="F225" s="28">
        <v>574.55999999999995</v>
      </c>
      <c r="G225" s="28">
        <v>0</v>
      </c>
      <c r="H225" s="28"/>
      <c r="I225" s="28">
        <v>1944.85</v>
      </c>
      <c r="J225" s="28">
        <v>0</v>
      </c>
      <c r="K225" s="28"/>
      <c r="L225" s="28">
        <v>2553.08</v>
      </c>
      <c r="M225" s="28">
        <v>0</v>
      </c>
      <c r="N225" s="28"/>
      <c r="O225" s="28"/>
      <c r="P225" s="28"/>
      <c r="Q225" s="28"/>
      <c r="R225" s="28"/>
      <c r="S225" s="28"/>
      <c r="T225" s="28"/>
      <c r="U225" s="28"/>
      <c r="V225" s="28"/>
      <c r="W225" s="28"/>
      <c r="X225" s="28"/>
      <c r="Y225" s="28"/>
      <c r="Z225" s="28"/>
      <c r="AA225" s="28"/>
      <c r="AB225" s="28"/>
      <c r="AC225" s="28"/>
      <c r="AD225" s="28"/>
      <c r="AE225" s="28"/>
      <c r="AF225" s="28"/>
      <c r="AG225" s="28"/>
      <c r="AH225" s="28"/>
      <c r="AI225" s="28"/>
      <c r="AJ225" s="28"/>
      <c r="AK225" s="28"/>
      <c r="AL225" s="27">
        <f t="shared" ref="AL225" si="51">+C225+F225+I225+L225+O225+R225+U225+X225+AA225+AD225+AG225+AJ225</f>
        <v>5072.49</v>
      </c>
      <c r="AM225" s="27">
        <f t="shared" ref="AM225" si="52">+D225+G225+J225+M225+P225+S225+V225+Y225+AB225+AE225+AH225+AK225</f>
        <v>0</v>
      </c>
      <c r="AN225" s="28"/>
      <c r="AO225" s="20">
        <v>0</v>
      </c>
      <c r="AP225" s="46"/>
      <c r="AQ225" s="110">
        <f t="shared" si="48"/>
        <v>0</v>
      </c>
    </row>
    <row r="226" spans="1:43" x14ac:dyDescent="0.2">
      <c r="A226" s="14" t="s">
        <v>105</v>
      </c>
      <c r="B226" s="13" t="s">
        <v>33</v>
      </c>
      <c r="C226" s="28">
        <v>513.92999999999995</v>
      </c>
      <c r="D226" s="28">
        <v>0</v>
      </c>
      <c r="E226" s="28"/>
      <c r="F226" s="28">
        <v>2041.72</v>
      </c>
      <c r="G226" s="28">
        <v>3028</v>
      </c>
      <c r="H226" s="28"/>
      <c r="I226" s="28">
        <v>2997.42</v>
      </c>
      <c r="J226" s="28">
        <v>3028</v>
      </c>
      <c r="K226" s="28"/>
      <c r="L226" s="28">
        <v>4530.78</v>
      </c>
      <c r="M226" s="28">
        <v>4540</v>
      </c>
      <c r="N226" s="28"/>
      <c r="O226" s="28"/>
      <c r="P226" s="28"/>
      <c r="Q226" s="28"/>
      <c r="R226" s="28"/>
      <c r="S226" s="28"/>
      <c r="T226" s="28"/>
      <c r="U226" s="28"/>
      <c r="V226" s="28"/>
      <c r="W226" s="28"/>
      <c r="X226" s="28"/>
      <c r="Y226" s="28"/>
      <c r="Z226" s="28"/>
      <c r="AA226" s="28"/>
      <c r="AB226" s="28"/>
      <c r="AC226" s="28"/>
      <c r="AD226" s="28"/>
      <c r="AE226" s="28"/>
      <c r="AF226" s="28"/>
      <c r="AG226" s="28"/>
      <c r="AH226" s="28"/>
      <c r="AI226" s="28"/>
      <c r="AJ226" s="28"/>
      <c r="AK226" s="28"/>
      <c r="AL226" s="27">
        <f t="shared" si="49"/>
        <v>10083.849999999999</v>
      </c>
      <c r="AM226" s="27">
        <f t="shared" si="50"/>
        <v>10596</v>
      </c>
      <c r="AN226" s="28"/>
      <c r="AO226" s="20">
        <v>19680</v>
      </c>
      <c r="AP226" s="46"/>
      <c r="AQ226" s="110">
        <f t="shared" si="48"/>
        <v>-7568</v>
      </c>
    </row>
    <row r="227" spans="1:43" x14ac:dyDescent="0.2">
      <c r="A227" s="14" t="s">
        <v>104</v>
      </c>
      <c r="B227" s="13" t="s">
        <v>32</v>
      </c>
      <c r="C227" s="28">
        <v>0</v>
      </c>
      <c r="D227" s="28">
        <v>5000</v>
      </c>
      <c r="E227" s="28"/>
      <c r="F227" s="28">
        <v>2614.2399999999998</v>
      </c>
      <c r="G227" s="28">
        <v>0</v>
      </c>
      <c r="H227" s="28"/>
      <c r="I227" s="28">
        <v>1506.78</v>
      </c>
      <c r="J227" s="28">
        <v>0</v>
      </c>
      <c r="K227" s="28"/>
      <c r="L227" s="28">
        <v>647.21</v>
      </c>
      <c r="M227" s="28">
        <v>0</v>
      </c>
      <c r="N227" s="28"/>
      <c r="O227" s="28"/>
      <c r="P227" s="28"/>
      <c r="Q227" s="28"/>
      <c r="R227" s="28"/>
      <c r="S227" s="28"/>
      <c r="T227" s="28"/>
      <c r="U227" s="28"/>
      <c r="V227" s="28"/>
      <c r="W227" s="28"/>
      <c r="X227" s="28"/>
      <c r="Y227" s="28"/>
      <c r="Z227" s="28"/>
      <c r="AA227" s="28"/>
      <c r="AB227" s="28"/>
      <c r="AC227" s="28"/>
      <c r="AD227" s="28"/>
      <c r="AE227" s="28"/>
      <c r="AF227" s="28"/>
      <c r="AG227" s="28"/>
      <c r="AH227" s="28"/>
      <c r="AI227" s="28"/>
      <c r="AJ227" s="28"/>
      <c r="AK227" s="28"/>
      <c r="AL227" s="27">
        <f t="shared" si="49"/>
        <v>4768.2299999999996</v>
      </c>
      <c r="AM227" s="27">
        <f t="shared" si="50"/>
        <v>5000</v>
      </c>
      <c r="AN227" s="28"/>
      <c r="AO227" s="20">
        <v>10000</v>
      </c>
      <c r="AP227" s="46"/>
      <c r="AQ227" s="110">
        <f t="shared" si="48"/>
        <v>0</v>
      </c>
    </row>
    <row r="228" spans="1:43" x14ac:dyDescent="0.2">
      <c r="A228" s="14" t="s">
        <v>103</v>
      </c>
      <c r="B228" s="13" t="s">
        <v>31</v>
      </c>
      <c r="C228" s="28">
        <v>528.44000000000005</v>
      </c>
      <c r="D228" s="28">
        <v>516</v>
      </c>
      <c r="E228" s="28"/>
      <c r="F228" s="28">
        <v>528.44000000000005</v>
      </c>
      <c r="G228" s="28">
        <v>516</v>
      </c>
      <c r="H228" s="28"/>
      <c r="I228" s="28">
        <v>528.44000000000005</v>
      </c>
      <c r="J228" s="28">
        <v>516</v>
      </c>
      <c r="K228" s="28"/>
      <c r="L228" s="28">
        <v>528.44000000000005</v>
      </c>
      <c r="M228" s="28">
        <v>775</v>
      </c>
      <c r="N228" s="28"/>
      <c r="O228" s="28"/>
      <c r="P228" s="28"/>
      <c r="Q228" s="28"/>
      <c r="R228" s="28"/>
      <c r="S228" s="28"/>
      <c r="T228" s="28"/>
      <c r="U228" s="28"/>
      <c r="V228" s="28"/>
      <c r="W228" s="28"/>
      <c r="X228" s="28"/>
      <c r="Y228" s="28"/>
      <c r="Z228" s="28"/>
      <c r="AA228" s="28"/>
      <c r="AB228" s="28"/>
      <c r="AC228" s="28"/>
      <c r="AD228" s="28"/>
      <c r="AE228" s="28"/>
      <c r="AF228" s="28"/>
      <c r="AG228" s="28"/>
      <c r="AH228" s="28"/>
      <c r="AI228" s="28"/>
      <c r="AJ228" s="28"/>
      <c r="AK228" s="28"/>
      <c r="AL228" s="27">
        <f t="shared" si="49"/>
        <v>2113.7600000000002</v>
      </c>
      <c r="AM228" s="27">
        <f t="shared" si="50"/>
        <v>2323</v>
      </c>
      <c r="AN228" s="28"/>
      <c r="AO228" s="20">
        <v>6710</v>
      </c>
      <c r="AP228" s="47"/>
      <c r="AQ228" s="110">
        <f t="shared" si="48"/>
        <v>-1291</v>
      </c>
    </row>
    <row r="229" spans="1:43" x14ac:dyDescent="0.2">
      <c r="A229" s="14" t="s">
        <v>102</v>
      </c>
      <c r="B229" s="13" t="s">
        <v>29</v>
      </c>
      <c r="C229" s="28">
        <v>-4275.3500000000004</v>
      </c>
      <c r="D229" s="28">
        <v>2167</v>
      </c>
      <c r="E229" s="28"/>
      <c r="F229" s="28">
        <v>7282.41</v>
      </c>
      <c r="G229" s="28">
        <v>2166</v>
      </c>
      <c r="H229" s="28"/>
      <c r="I229" s="28">
        <v>1382.32</v>
      </c>
      <c r="J229" s="28">
        <v>2167</v>
      </c>
      <c r="K229" s="28"/>
      <c r="L229" s="28">
        <v>796.71</v>
      </c>
      <c r="M229" s="28">
        <v>2167</v>
      </c>
      <c r="N229" s="28"/>
      <c r="O229" s="28"/>
      <c r="P229" s="28"/>
      <c r="Q229" s="28"/>
      <c r="R229" s="28"/>
      <c r="S229" s="28"/>
      <c r="T229" s="28"/>
      <c r="U229" s="28"/>
      <c r="V229" s="28"/>
      <c r="W229" s="28"/>
      <c r="X229" s="28"/>
      <c r="Y229" s="28"/>
      <c r="Z229" s="28"/>
      <c r="AA229" s="28"/>
      <c r="AB229" s="28"/>
      <c r="AC229" s="28"/>
      <c r="AD229" s="28"/>
      <c r="AE229" s="28"/>
      <c r="AF229" s="28"/>
      <c r="AG229" s="28"/>
      <c r="AH229" s="28"/>
      <c r="AI229" s="28"/>
      <c r="AJ229" s="28"/>
      <c r="AK229" s="28"/>
      <c r="AL229" s="27">
        <f t="shared" si="49"/>
        <v>5186.0899999999992</v>
      </c>
      <c r="AM229" s="27">
        <f t="shared" si="50"/>
        <v>8667</v>
      </c>
      <c r="AN229" s="28"/>
      <c r="AO229" s="20">
        <v>26000</v>
      </c>
      <c r="AP229" s="46"/>
      <c r="AQ229" s="110">
        <f t="shared" si="48"/>
        <v>-4334</v>
      </c>
    </row>
    <row r="230" spans="1:43" x14ac:dyDescent="0.2">
      <c r="A230" s="14" t="s">
        <v>100</v>
      </c>
      <c r="B230" s="13" t="s">
        <v>23</v>
      </c>
      <c r="C230" s="28">
        <v>3490.2</v>
      </c>
      <c r="D230" s="28">
        <v>4583</v>
      </c>
      <c r="E230" s="28"/>
      <c r="F230" s="28">
        <v>3196.49</v>
      </c>
      <c r="G230" s="28">
        <v>4583</v>
      </c>
      <c r="H230" s="28"/>
      <c r="I230" s="28">
        <v>4798.6000000000004</v>
      </c>
      <c r="J230" s="28">
        <v>4583</v>
      </c>
      <c r="K230" s="28"/>
      <c r="L230" s="28">
        <v>4717.53</v>
      </c>
      <c r="M230" s="28">
        <v>4584</v>
      </c>
      <c r="N230" s="28"/>
      <c r="O230" s="28"/>
      <c r="P230" s="28"/>
      <c r="Q230" s="28"/>
      <c r="R230" s="28"/>
      <c r="S230" s="28"/>
      <c r="T230" s="28"/>
      <c r="U230" s="28"/>
      <c r="V230" s="28"/>
      <c r="W230" s="28"/>
      <c r="X230" s="28"/>
      <c r="Y230" s="28"/>
      <c r="Z230" s="28"/>
      <c r="AA230" s="28"/>
      <c r="AB230" s="28"/>
      <c r="AC230" s="28"/>
      <c r="AD230" s="28"/>
      <c r="AE230" s="28"/>
      <c r="AF230" s="28"/>
      <c r="AG230" s="28"/>
      <c r="AH230" s="28"/>
      <c r="AI230" s="28"/>
      <c r="AJ230" s="28"/>
      <c r="AK230" s="28"/>
      <c r="AL230" s="27">
        <f t="shared" si="49"/>
        <v>16202.82</v>
      </c>
      <c r="AM230" s="27">
        <f t="shared" si="50"/>
        <v>18333</v>
      </c>
      <c r="AN230" s="28"/>
      <c r="AO230" s="20">
        <v>55000</v>
      </c>
      <c r="AP230" s="46"/>
      <c r="AQ230" s="110">
        <f t="shared" si="48"/>
        <v>-9167</v>
      </c>
    </row>
    <row r="231" spans="1:43" x14ac:dyDescent="0.2">
      <c r="A231" s="14">
        <v>6030603</v>
      </c>
      <c r="B231" s="13" t="s">
        <v>379</v>
      </c>
      <c r="C231" s="28">
        <v>398.27</v>
      </c>
      <c r="D231" s="28">
        <v>417</v>
      </c>
      <c r="E231" s="28"/>
      <c r="F231" s="28">
        <v>420.51</v>
      </c>
      <c r="G231" s="28">
        <v>416</v>
      </c>
      <c r="H231" s="28"/>
      <c r="I231" s="28">
        <v>277.10000000000002</v>
      </c>
      <c r="J231" s="28">
        <v>417</v>
      </c>
      <c r="K231" s="28"/>
      <c r="L231" s="28">
        <v>330.87</v>
      </c>
      <c r="M231" s="28">
        <v>416</v>
      </c>
      <c r="N231" s="28"/>
      <c r="O231" s="28"/>
      <c r="P231" s="28"/>
      <c r="Q231" s="28"/>
      <c r="R231" s="28"/>
      <c r="S231" s="28"/>
      <c r="T231" s="28"/>
      <c r="U231" s="28"/>
      <c r="V231" s="28"/>
      <c r="W231" s="28"/>
      <c r="X231" s="28"/>
      <c r="Y231" s="28"/>
      <c r="Z231" s="28"/>
      <c r="AA231" s="28"/>
      <c r="AB231" s="28"/>
      <c r="AC231" s="28"/>
      <c r="AD231" s="28"/>
      <c r="AE231" s="28"/>
      <c r="AF231" s="28"/>
      <c r="AG231" s="28"/>
      <c r="AH231" s="28"/>
      <c r="AI231" s="28"/>
      <c r="AJ231" s="28"/>
      <c r="AK231" s="28"/>
      <c r="AL231" s="27">
        <f t="shared" si="49"/>
        <v>1426.75</v>
      </c>
      <c r="AM231" s="27">
        <f t="shared" si="50"/>
        <v>1666</v>
      </c>
      <c r="AN231" s="28"/>
      <c r="AO231" s="20">
        <v>5000</v>
      </c>
      <c r="AP231" s="46"/>
      <c r="AQ231" s="110">
        <f t="shared" si="48"/>
        <v>-833</v>
      </c>
    </row>
    <row r="232" spans="1:43" x14ac:dyDescent="0.2">
      <c r="A232" s="14">
        <v>6030605</v>
      </c>
      <c r="B232" s="13" t="s">
        <v>184</v>
      </c>
      <c r="C232" s="28">
        <v>0</v>
      </c>
      <c r="D232" s="28">
        <v>42</v>
      </c>
      <c r="E232" s="28"/>
      <c r="F232" s="28"/>
      <c r="G232" s="28">
        <v>41</v>
      </c>
      <c r="H232" s="28"/>
      <c r="I232" s="28">
        <v>0</v>
      </c>
      <c r="J232" s="28">
        <v>42</v>
      </c>
      <c r="K232" s="28"/>
      <c r="L232" s="28">
        <v>0</v>
      </c>
      <c r="M232" s="28">
        <v>41</v>
      </c>
      <c r="N232" s="28"/>
      <c r="O232" s="28"/>
      <c r="P232" s="28"/>
      <c r="Q232" s="28"/>
      <c r="R232" s="28"/>
      <c r="S232" s="28"/>
      <c r="T232" s="28"/>
      <c r="U232" s="28"/>
      <c r="V232" s="28"/>
      <c r="W232" s="28"/>
      <c r="X232" s="28"/>
      <c r="Y232" s="28"/>
      <c r="Z232" s="28"/>
      <c r="AA232" s="28"/>
      <c r="AB232" s="28"/>
      <c r="AC232" s="28"/>
      <c r="AD232" s="28"/>
      <c r="AE232" s="28"/>
      <c r="AF232" s="28"/>
      <c r="AG232" s="28"/>
      <c r="AH232" s="28"/>
      <c r="AI232" s="28"/>
      <c r="AJ232" s="28"/>
      <c r="AK232" s="28"/>
      <c r="AL232" s="27">
        <f t="shared" si="49"/>
        <v>0</v>
      </c>
      <c r="AM232" s="27">
        <f t="shared" si="50"/>
        <v>166</v>
      </c>
      <c r="AN232" s="28"/>
      <c r="AO232" s="20">
        <v>500</v>
      </c>
      <c r="AP232" s="46"/>
      <c r="AQ232" s="110">
        <f t="shared" si="48"/>
        <v>-83</v>
      </c>
    </row>
    <row r="233" spans="1:43" x14ac:dyDescent="0.2">
      <c r="A233" s="14" t="s">
        <v>99</v>
      </c>
      <c r="B233" s="13" t="s">
        <v>51</v>
      </c>
      <c r="C233" s="28">
        <v>4695.79</v>
      </c>
      <c r="D233" s="28">
        <v>2500</v>
      </c>
      <c r="E233" s="28"/>
      <c r="F233" s="28">
        <v>5253.76</v>
      </c>
      <c r="G233" s="28">
        <v>2500</v>
      </c>
      <c r="H233" s="28"/>
      <c r="I233" s="28">
        <v>6623.02</v>
      </c>
      <c r="J233" s="28">
        <v>2500</v>
      </c>
      <c r="K233" s="28"/>
      <c r="L233" s="28">
        <v>1149.93</v>
      </c>
      <c r="M233" s="28">
        <v>2500</v>
      </c>
      <c r="N233" s="28"/>
      <c r="O233" s="28"/>
      <c r="P233" s="28"/>
      <c r="Q233" s="28"/>
      <c r="R233" s="28"/>
      <c r="S233" s="28"/>
      <c r="T233" s="28"/>
      <c r="U233" s="28"/>
      <c r="V233" s="28"/>
      <c r="W233" s="28"/>
      <c r="X233" s="28"/>
      <c r="Y233" s="28"/>
      <c r="Z233" s="28"/>
      <c r="AA233" s="28"/>
      <c r="AB233" s="28"/>
      <c r="AC233" s="28"/>
      <c r="AD233" s="28"/>
      <c r="AE233" s="28"/>
      <c r="AF233" s="28"/>
      <c r="AG233" s="28"/>
      <c r="AH233" s="28"/>
      <c r="AI233" s="28"/>
      <c r="AJ233" s="28"/>
      <c r="AK233" s="28"/>
      <c r="AL233" s="27">
        <f t="shared" si="49"/>
        <v>17722.5</v>
      </c>
      <c r="AM233" s="27">
        <f t="shared" si="50"/>
        <v>10000</v>
      </c>
      <c r="AN233" s="28"/>
      <c r="AO233" s="20">
        <v>30000</v>
      </c>
      <c r="AP233" s="46"/>
      <c r="AQ233" s="110">
        <f t="shared" si="48"/>
        <v>-5000</v>
      </c>
    </row>
    <row r="234" spans="1:43" x14ac:dyDescent="0.2">
      <c r="A234" s="14" t="s">
        <v>98</v>
      </c>
      <c r="B234" s="13" t="s">
        <v>97</v>
      </c>
      <c r="C234" s="28">
        <v>0</v>
      </c>
      <c r="D234" s="28">
        <v>417</v>
      </c>
      <c r="E234" s="28"/>
      <c r="F234" s="28">
        <v>135</v>
      </c>
      <c r="G234" s="28">
        <v>416</v>
      </c>
      <c r="H234" s="28"/>
      <c r="I234" s="28">
        <v>0</v>
      </c>
      <c r="J234" s="28">
        <v>417</v>
      </c>
      <c r="K234" s="28"/>
      <c r="L234" s="28">
        <v>30.99</v>
      </c>
      <c r="M234" s="28">
        <v>416</v>
      </c>
      <c r="N234" s="28"/>
      <c r="O234" s="28"/>
      <c r="P234" s="28"/>
      <c r="Q234" s="28"/>
      <c r="R234" s="28"/>
      <c r="S234" s="28"/>
      <c r="T234" s="28"/>
      <c r="U234" s="28"/>
      <c r="V234" s="28"/>
      <c r="W234" s="28"/>
      <c r="X234" s="28"/>
      <c r="Y234" s="28"/>
      <c r="Z234" s="28"/>
      <c r="AA234" s="28"/>
      <c r="AB234" s="28"/>
      <c r="AC234" s="28"/>
      <c r="AD234" s="28"/>
      <c r="AE234" s="28"/>
      <c r="AF234" s="28"/>
      <c r="AG234" s="28"/>
      <c r="AH234" s="28"/>
      <c r="AI234" s="28"/>
      <c r="AJ234" s="28"/>
      <c r="AK234" s="28"/>
      <c r="AL234" s="27">
        <f t="shared" si="49"/>
        <v>165.99</v>
      </c>
      <c r="AM234" s="27">
        <f t="shared" si="50"/>
        <v>1666</v>
      </c>
      <c r="AN234" s="28"/>
      <c r="AO234" s="20">
        <v>5000</v>
      </c>
      <c r="AP234" s="46"/>
      <c r="AQ234" s="110">
        <f t="shared" si="48"/>
        <v>-833</v>
      </c>
    </row>
    <row r="235" spans="1:43" x14ac:dyDescent="0.2">
      <c r="A235" s="14">
        <v>6031125</v>
      </c>
      <c r="B235" s="13" t="s">
        <v>381</v>
      </c>
      <c r="C235" s="28">
        <v>1200</v>
      </c>
      <c r="D235" s="28">
        <v>417</v>
      </c>
      <c r="E235" s="28"/>
      <c r="F235" s="28">
        <v>0</v>
      </c>
      <c r="G235" s="28">
        <v>416</v>
      </c>
      <c r="H235" s="28"/>
      <c r="I235" s="28">
        <v>0</v>
      </c>
      <c r="J235" s="28">
        <v>417</v>
      </c>
      <c r="K235" s="28"/>
      <c r="L235" s="28">
        <v>0</v>
      </c>
      <c r="M235" s="28">
        <v>416</v>
      </c>
      <c r="N235" s="28"/>
      <c r="O235" s="28"/>
      <c r="P235" s="28"/>
      <c r="Q235" s="28"/>
      <c r="R235" s="28"/>
      <c r="S235" s="28"/>
      <c r="T235" s="28"/>
      <c r="U235" s="28"/>
      <c r="V235" s="28"/>
      <c r="W235" s="28"/>
      <c r="X235" s="28"/>
      <c r="Y235" s="28"/>
      <c r="Z235" s="28"/>
      <c r="AA235" s="28"/>
      <c r="AB235" s="28"/>
      <c r="AC235" s="28"/>
      <c r="AD235" s="28"/>
      <c r="AE235" s="28"/>
      <c r="AF235" s="28"/>
      <c r="AG235" s="28"/>
      <c r="AH235" s="28"/>
      <c r="AI235" s="28"/>
      <c r="AJ235" s="28"/>
      <c r="AK235" s="28"/>
      <c r="AL235" s="27">
        <f t="shared" si="49"/>
        <v>1200</v>
      </c>
      <c r="AM235" s="27">
        <f t="shared" si="50"/>
        <v>1666</v>
      </c>
      <c r="AN235" s="28"/>
      <c r="AO235" s="20">
        <v>5000</v>
      </c>
      <c r="AP235" s="46"/>
      <c r="AQ235" s="110">
        <f t="shared" si="48"/>
        <v>-833</v>
      </c>
    </row>
    <row r="236" spans="1:43" x14ac:dyDescent="0.2">
      <c r="A236" s="14" t="s">
        <v>96</v>
      </c>
      <c r="B236" s="13" t="s">
        <v>19</v>
      </c>
      <c r="C236" s="28">
        <v>11320.65</v>
      </c>
      <c r="D236" s="28">
        <v>12500</v>
      </c>
      <c r="E236" s="28"/>
      <c r="F236" s="28">
        <v>12118.32</v>
      </c>
      <c r="G236" s="28">
        <v>12500</v>
      </c>
      <c r="H236" s="28"/>
      <c r="I236" s="28">
        <v>12118.32</v>
      </c>
      <c r="J236" s="28">
        <v>12500</v>
      </c>
      <c r="K236" s="28"/>
      <c r="L236" s="28">
        <v>12118.32</v>
      </c>
      <c r="M236" s="28">
        <v>12500</v>
      </c>
      <c r="N236" s="28"/>
      <c r="O236" s="28"/>
      <c r="P236" s="28"/>
      <c r="Q236" s="28"/>
      <c r="R236" s="28"/>
      <c r="S236" s="28"/>
      <c r="T236" s="28"/>
      <c r="U236" s="28"/>
      <c r="V236" s="28"/>
      <c r="W236" s="28"/>
      <c r="X236" s="28"/>
      <c r="Y236" s="28"/>
      <c r="Z236" s="28"/>
      <c r="AA236" s="28"/>
      <c r="AB236" s="28"/>
      <c r="AC236" s="28"/>
      <c r="AD236" s="28"/>
      <c r="AE236" s="28"/>
      <c r="AF236" s="28"/>
      <c r="AG236" s="28"/>
      <c r="AH236" s="28"/>
      <c r="AI236" s="28"/>
      <c r="AJ236" s="28"/>
      <c r="AK236" s="28"/>
      <c r="AL236" s="27">
        <f t="shared" si="49"/>
        <v>47675.61</v>
      </c>
      <c r="AM236" s="27">
        <f t="shared" si="50"/>
        <v>50000</v>
      </c>
      <c r="AN236" s="28"/>
      <c r="AO236" s="20">
        <v>150000</v>
      </c>
      <c r="AP236" s="46"/>
      <c r="AQ236" s="110">
        <f t="shared" si="48"/>
        <v>-25000</v>
      </c>
    </row>
    <row r="237" spans="1:43" x14ac:dyDescent="0.2">
      <c r="A237" s="14" t="s">
        <v>95</v>
      </c>
      <c r="B237" s="13" t="s">
        <v>17</v>
      </c>
      <c r="C237" s="28">
        <v>3750.99</v>
      </c>
      <c r="D237" s="28">
        <v>6667</v>
      </c>
      <c r="E237" s="28"/>
      <c r="F237" s="28">
        <v>30152.44</v>
      </c>
      <c r="G237" s="28">
        <v>6666</v>
      </c>
      <c r="H237" s="28"/>
      <c r="I237" s="28">
        <v>7069.02</v>
      </c>
      <c r="J237" s="28">
        <v>6667</v>
      </c>
      <c r="K237" s="28"/>
      <c r="L237" s="28">
        <v>29875</v>
      </c>
      <c r="M237" s="28">
        <v>6666</v>
      </c>
      <c r="N237" s="28"/>
      <c r="O237" s="28"/>
      <c r="P237" s="28"/>
      <c r="Q237" s="28"/>
      <c r="R237" s="28"/>
      <c r="S237" s="28"/>
      <c r="T237" s="28"/>
      <c r="U237" s="28"/>
      <c r="V237" s="28"/>
      <c r="W237" s="28"/>
      <c r="X237" s="28"/>
      <c r="Y237" s="28"/>
      <c r="Z237" s="28"/>
      <c r="AA237" s="28"/>
      <c r="AB237" s="28"/>
      <c r="AC237" s="28"/>
      <c r="AD237" s="28"/>
      <c r="AE237" s="28"/>
      <c r="AF237" s="28"/>
      <c r="AG237" s="28"/>
      <c r="AH237" s="28"/>
      <c r="AI237" s="28"/>
      <c r="AJ237" s="28"/>
      <c r="AK237" s="28"/>
      <c r="AL237" s="27">
        <f t="shared" si="49"/>
        <v>70847.45</v>
      </c>
      <c r="AM237" s="27">
        <f t="shared" si="50"/>
        <v>26666</v>
      </c>
      <c r="AN237" s="28"/>
      <c r="AO237" s="20">
        <v>80000</v>
      </c>
      <c r="AP237" s="46"/>
      <c r="AQ237" s="110">
        <f t="shared" si="48"/>
        <v>-13333</v>
      </c>
    </row>
    <row r="238" spans="1:43" x14ac:dyDescent="0.2">
      <c r="A238" s="14" t="s">
        <v>94</v>
      </c>
      <c r="B238" s="13" t="s">
        <v>93</v>
      </c>
      <c r="C238" s="28">
        <v>304.18</v>
      </c>
      <c r="D238" s="28">
        <v>1000</v>
      </c>
      <c r="E238" s="28"/>
      <c r="F238" s="28">
        <v>600</v>
      </c>
      <c r="G238" s="28">
        <v>1000</v>
      </c>
      <c r="H238" s="28"/>
      <c r="I238" s="28"/>
      <c r="J238" s="28">
        <v>1000</v>
      </c>
      <c r="K238" s="28"/>
      <c r="L238" s="28">
        <v>1842.34</v>
      </c>
      <c r="M238" s="28">
        <v>1000</v>
      </c>
      <c r="N238" s="28"/>
      <c r="O238" s="28"/>
      <c r="P238" s="28"/>
      <c r="Q238" s="28"/>
      <c r="R238" s="28"/>
      <c r="S238" s="28"/>
      <c r="T238" s="28"/>
      <c r="U238" s="28"/>
      <c r="V238" s="28"/>
      <c r="W238" s="28"/>
      <c r="X238" s="28"/>
      <c r="Y238" s="28"/>
      <c r="Z238" s="28"/>
      <c r="AA238" s="28"/>
      <c r="AB238" s="28"/>
      <c r="AC238" s="28"/>
      <c r="AD238" s="28"/>
      <c r="AE238" s="28"/>
      <c r="AF238" s="28"/>
      <c r="AG238" s="28"/>
      <c r="AH238" s="28"/>
      <c r="AI238" s="28"/>
      <c r="AJ238" s="28"/>
      <c r="AK238" s="28"/>
      <c r="AL238" s="27">
        <f t="shared" si="49"/>
        <v>2746.52</v>
      </c>
      <c r="AM238" s="27">
        <f t="shared" si="50"/>
        <v>4000</v>
      </c>
      <c r="AN238" s="28"/>
      <c r="AO238" s="20">
        <v>12000</v>
      </c>
      <c r="AP238" s="46"/>
      <c r="AQ238" s="110">
        <f t="shared" si="48"/>
        <v>-2000</v>
      </c>
    </row>
    <row r="239" spans="1:43" x14ac:dyDescent="0.2">
      <c r="A239" s="14">
        <v>6031425</v>
      </c>
      <c r="B239" s="13" t="s">
        <v>92</v>
      </c>
      <c r="C239" s="28">
        <v>0</v>
      </c>
      <c r="D239" s="28">
        <v>167</v>
      </c>
      <c r="E239" s="28"/>
      <c r="F239" s="28">
        <v>0</v>
      </c>
      <c r="G239" s="28">
        <v>167</v>
      </c>
      <c r="H239" s="28"/>
      <c r="I239" s="28"/>
      <c r="J239" s="28">
        <v>167</v>
      </c>
      <c r="K239" s="28"/>
      <c r="L239" s="28">
        <v>0</v>
      </c>
      <c r="M239" s="28">
        <v>167</v>
      </c>
      <c r="N239" s="28"/>
      <c r="O239" s="28"/>
      <c r="P239" s="28"/>
      <c r="Q239" s="28"/>
      <c r="R239" s="28"/>
      <c r="S239" s="28"/>
      <c r="T239" s="28"/>
      <c r="U239" s="28"/>
      <c r="V239" s="28"/>
      <c r="W239" s="28"/>
      <c r="X239" s="28"/>
      <c r="Y239" s="28"/>
      <c r="Z239" s="28"/>
      <c r="AA239" s="28"/>
      <c r="AB239" s="28"/>
      <c r="AC239" s="28"/>
      <c r="AD239" s="28"/>
      <c r="AE239" s="28"/>
      <c r="AF239" s="28"/>
      <c r="AG239" s="28"/>
      <c r="AH239" s="28"/>
      <c r="AI239" s="28"/>
      <c r="AJ239" s="28"/>
      <c r="AK239" s="28"/>
      <c r="AL239" s="27">
        <f t="shared" si="49"/>
        <v>0</v>
      </c>
      <c r="AM239" s="27">
        <f t="shared" si="50"/>
        <v>668</v>
      </c>
      <c r="AN239" s="28"/>
      <c r="AO239" s="20">
        <v>2000</v>
      </c>
      <c r="AP239" s="46"/>
      <c r="AQ239" s="110">
        <f t="shared" si="48"/>
        <v>-334</v>
      </c>
    </row>
    <row r="240" spans="1:43" x14ac:dyDescent="0.2">
      <c r="A240" s="14">
        <v>6031450</v>
      </c>
      <c r="B240" s="13" t="s">
        <v>91</v>
      </c>
      <c r="C240" s="28">
        <v>0</v>
      </c>
      <c r="D240" s="28">
        <v>167</v>
      </c>
      <c r="E240" s="28"/>
      <c r="F240" s="28">
        <v>144</v>
      </c>
      <c r="G240" s="28">
        <v>166</v>
      </c>
      <c r="H240" s="28"/>
      <c r="I240" s="28"/>
      <c r="J240" s="28">
        <v>167</v>
      </c>
      <c r="K240" s="28"/>
      <c r="L240" s="28">
        <v>400</v>
      </c>
      <c r="M240" s="28">
        <v>166</v>
      </c>
      <c r="N240" s="28"/>
      <c r="O240" s="28"/>
      <c r="P240" s="28"/>
      <c r="Q240" s="28"/>
      <c r="R240" s="28"/>
      <c r="S240" s="28"/>
      <c r="T240" s="28"/>
      <c r="U240" s="28"/>
      <c r="V240" s="28"/>
      <c r="W240" s="28"/>
      <c r="X240" s="28"/>
      <c r="Y240" s="28"/>
      <c r="Z240" s="28"/>
      <c r="AA240" s="28"/>
      <c r="AB240" s="28"/>
      <c r="AC240" s="28"/>
      <c r="AD240" s="28"/>
      <c r="AE240" s="28"/>
      <c r="AF240" s="28"/>
      <c r="AG240" s="28"/>
      <c r="AH240" s="28"/>
      <c r="AI240" s="28"/>
      <c r="AJ240" s="28"/>
      <c r="AK240" s="28"/>
      <c r="AL240" s="27">
        <f t="shared" si="49"/>
        <v>544</v>
      </c>
      <c r="AM240" s="27">
        <f t="shared" si="50"/>
        <v>666</v>
      </c>
      <c r="AN240" s="28"/>
      <c r="AO240" s="20">
        <v>2000</v>
      </c>
      <c r="AP240" s="46"/>
      <c r="AQ240" s="110">
        <f t="shared" si="48"/>
        <v>-333</v>
      </c>
    </row>
    <row r="241" spans="1:43" x14ac:dyDescent="0.2">
      <c r="A241" s="14">
        <v>6031475</v>
      </c>
      <c r="B241" s="13" t="s">
        <v>90</v>
      </c>
      <c r="C241" s="28">
        <v>6514.25</v>
      </c>
      <c r="D241" s="28">
        <v>2083</v>
      </c>
      <c r="E241" s="28"/>
      <c r="F241" s="28">
        <v>0</v>
      </c>
      <c r="G241" s="28">
        <v>2083</v>
      </c>
      <c r="H241" s="28"/>
      <c r="I241" s="28">
        <v>2006.64</v>
      </c>
      <c r="J241" s="28">
        <v>2084</v>
      </c>
      <c r="K241" s="28"/>
      <c r="L241" s="28">
        <v>0</v>
      </c>
      <c r="M241" s="28">
        <v>2083</v>
      </c>
      <c r="N241" s="28"/>
      <c r="O241" s="28"/>
      <c r="P241" s="28"/>
      <c r="Q241" s="28"/>
      <c r="R241" s="28"/>
      <c r="S241" s="28"/>
      <c r="T241" s="28"/>
      <c r="U241" s="28"/>
      <c r="V241" s="28"/>
      <c r="W241" s="28"/>
      <c r="X241" s="28"/>
      <c r="Y241" s="28"/>
      <c r="Z241" s="28"/>
      <c r="AA241" s="28"/>
      <c r="AB241" s="28"/>
      <c r="AC241" s="28"/>
      <c r="AD241" s="28"/>
      <c r="AE241" s="28"/>
      <c r="AF241" s="28"/>
      <c r="AG241" s="28"/>
      <c r="AH241" s="28"/>
      <c r="AI241" s="28"/>
      <c r="AJ241" s="28"/>
      <c r="AK241" s="28"/>
      <c r="AL241" s="27">
        <f t="shared" si="49"/>
        <v>8520.89</v>
      </c>
      <c r="AM241" s="27">
        <f t="shared" si="50"/>
        <v>8333</v>
      </c>
      <c r="AN241" s="28"/>
      <c r="AO241" s="20">
        <v>25000</v>
      </c>
      <c r="AP241" s="46"/>
      <c r="AQ241" s="110">
        <f t="shared" si="48"/>
        <v>-4167</v>
      </c>
    </row>
    <row r="242" spans="1:43" x14ac:dyDescent="0.2">
      <c r="A242" s="14" t="s">
        <v>89</v>
      </c>
      <c r="B242" s="13" t="s">
        <v>13</v>
      </c>
      <c r="C242" s="28">
        <v>1978.04</v>
      </c>
      <c r="D242" s="28">
        <v>833</v>
      </c>
      <c r="E242" s="28"/>
      <c r="F242" s="28">
        <v>1213.8499999999999</v>
      </c>
      <c r="G242" s="28">
        <v>833</v>
      </c>
      <c r="H242" s="28"/>
      <c r="I242" s="28">
        <v>1527.61</v>
      </c>
      <c r="J242" s="28">
        <v>834</v>
      </c>
      <c r="K242" s="28"/>
      <c r="L242" s="28">
        <v>2109.61</v>
      </c>
      <c r="M242" s="28">
        <v>833</v>
      </c>
      <c r="N242" s="28"/>
      <c r="O242" s="28"/>
      <c r="P242" s="28"/>
      <c r="Q242" s="28"/>
      <c r="R242" s="28"/>
      <c r="S242" s="28"/>
      <c r="T242" s="28"/>
      <c r="U242" s="28"/>
      <c r="V242" s="28"/>
      <c r="W242" s="28"/>
      <c r="X242" s="28"/>
      <c r="Y242" s="28"/>
      <c r="Z242" s="28"/>
      <c r="AA242" s="28"/>
      <c r="AB242" s="28"/>
      <c r="AC242" s="28"/>
      <c r="AD242" s="28"/>
      <c r="AE242" s="28"/>
      <c r="AF242" s="28"/>
      <c r="AG242" s="28"/>
      <c r="AH242" s="28"/>
      <c r="AI242" s="28"/>
      <c r="AJ242" s="28"/>
      <c r="AK242" s="28"/>
      <c r="AL242" s="27">
        <f t="shared" si="49"/>
        <v>6829.1100000000006</v>
      </c>
      <c r="AM242" s="27">
        <f t="shared" si="50"/>
        <v>3333</v>
      </c>
      <c r="AN242" s="28"/>
      <c r="AO242" s="20">
        <v>10000</v>
      </c>
      <c r="AP242" s="46"/>
      <c r="AQ242" s="110">
        <f t="shared" si="48"/>
        <v>-1667</v>
      </c>
    </row>
    <row r="243" spans="1:43" x14ac:dyDescent="0.2">
      <c r="A243" s="14">
        <v>6031550</v>
      </c>
      <c r="B243" s="13" t="s">
        <v>88</v>
      </c>
      <c r="C243" s="28">
        <v>0</v>
      </c>
      <c r="D243" s="28">
        <v>1000</v>
      </c>
      <c r="E243" s="28"/>
      <c r="F243" s="28">
        <v>2663.79</v>
      </c>
      <c r="G243" s="28">
        <v>1000</v>
      </c>
      <c r="H243" s="28"/>
      <c r="I243" s="28">
        <v>267.92</v>
      </c>
      <c r="J243" s="28">
        <v>1000</v>
      </c>
      <c r="K243" s="28"/>
      <c r="L243" s="28">
        <v>278.62</v>
      </c>
      <c r="M243" s="28">
        <v>1000</v>
      </c>
      <c r="N243" s="28"/>
      <c r="O243" s="28"/>
      <c r="P243" s="28"/>
      <c r="Q243" s="28"/>
      <c r="R243" s="28"/>
      <c r="S243" s="28"/>
      <c r="T243" s="28"/>
      <c r="U243" s="28"/>
      <c r="V243" s="28"/>
      <c r="W243" s="28"/>
      <c r="X243" s="28"/>
      <c r="Y243" s="28"/>
      <c r="Z243" s="28"/>
      <c r="AA243" s="28"/>
      <c r="AB243" s="28"/>
      <c r="AC243" s="28"/>
      <c r="AD243" s="28"/>
      <c r="AE243" s="28"/>
      <c r="AF243" s="28"/>
      <c r="AG243" s="28"/>
      <c r="AH243" s="28"/>
      <c r="AI243" s="28"/>
      <c r="AJ243" s="28"/>
      <c r="AK243" s="28"/>
      <c r="AL243" s="27">
        <f t="shared" si="49"/>
        <v>3210.33</v>
      </c>
      <c r="AM243" s="27">
        <f t="shared" si="50"/>
        <v>4000</v>
      </c>
      <c r="AN243" s="28"/>
      <c r="AO243" s="20">
        <v>12000</v>
      </c>
      <c r="AP243" s="46"/>
      <c r="AQ243" s="110">
        <f t="shared" si="48"/>
        <v>-2000</v>
      </c>
    </row>
    <row r="244" spans="1:43" x14ac:dyDescent="0.2">
      <c r="A244" s="14" t="s">
        <v>87</v>
      </c>
      <c r="B244" s="13" t="s">
        <v>9</v>
      </c>
      <c r="C244" s="28">
        <v>218.66</v>
      </c>
      <c r="D244" s="28">
        <v>833</v>
      </c>
      <c r="E244" s="28"/>
      <c r="F244" s="28">
        <v>776.49</v>
      </c>
      <c r="G244" s="28">
        <v>833</v>
      </c>
      <c r="H244" s="28"/>
      <c r="I244" s="28">
        <v>1232.8</v>
      </c>
      <c r="J244" s="28">
        <v>834</v>
      </c>
      <c r="K244" s="28"/>
      <c r="L244" s="28">
        <v>2640.08</v>
      </c>
      <c r="M244" s="28">
        <v>833</v>
      </c>
      <c r="N244" s="28"/>
      <c r="O244" s="28"/>
      <c r="P244" s="28"/>
      <c r="Q244" s="28"/>
      <c r="R244" s="28"/>
      <c r="S244" s="28"/>
      <c r="T244" s="28"/>
      <c r="U244" s="28"/>
      <c r="V244" s="28"/>
      <c r="W244" s="28"/>
      <c r="X244" s="28"/>
      <c r="Y244" s="28"/>
      <c r="Z244" s="28"/>
      <c r="AA244" s="28"/>
      <c r="AB244" s="28"/>
      <c r="AC244" s="28"/>
      <c r="AD244" s="28"/>
      <c r="AE244" s="28"/>
      <c r="AF244" s="28"/>
      <c r="AG244" s="28"/>
      <c r="AH244" s="28"/>
      <c r="AI244" s="28"/>
      <c r="AJ244" s="28"/>
      <c r="AK244" s="28"/>
      <c r="AL244" s="27">
        <f t="shared" si="49"/>
        <v>4868.03</v>
      </c>
      <c r="AM244" s="27">
        <f t="shared" si="50"/>
        <v>3333</v>
      </c>
      <c r="AN244" s="28"/>
      <c r="AO244" s="20">
        <v>10000</v>
      </c>
      <c r="AP244" s="46"/>
      <c r="AQ244" s="110">
        <f t="shared" si="48"/>
        <v>-1667</v>
      </c>
    </row>
    <row r="245" spans="1:43" x14ac:dyDescent="0.2">
      <c r="A245" s="14" t="s">
        <v>86</v>
      </c>
      <c r="B245" s="13" t="s">
        <v>6</v>
      </c>
      <c r="C245" s="28">
        <v>0</v>
      </c>
      <c r="D245" s="28">
        <v>83</v>
      </c>
      <c r="E245" s="28"/>
      <c r="F245" s="28">
        <v>0</v>
      </c>
      <c r="G245" s="28">
        <v>83</v>
      </c>
      <c r="H245" s="28"/>
      <c r="I245" s="28">
        <v>1520</v>
      </c>
      <c r="J245" s="28">
        <v>84</v>
      </c>
      <c r="K245" s="28"/>
      <c r="L245" s="28">
        <v>0</v>
      </c>
      <c r="M245" s="28">
        <v>83</v>
      </c>
      <c r="N245" s="28"/>
      <c r="O245" s="28"/>
      <c r="P245" s="28"/>
      <c r="Q245" s="28"/>
      <c r="R245" s="28"/>
      <c r="S245" s="28"/>
      <c r="T245" s="28"/>
      <c r="U245" s="28"/>
      <c r="V245" s="28"/>
      <c r="W245" s="28"/>
      <c r="X245" s="28"/>
      <c r="Y245" s="28"/>
      <c r="Z245" s="28"/>
      <c r="AA245" s="28"/>
      <c r="AB245" s="28"/>
      <c r="AC245" s="28"/>
      <c r="AD245" s="28"/>
      <c r="AE245" s="28"/>
      <c r="AF245" s="28"/>
      <c r="AG245" s="28"/>
      <c r="AH245" s="28"/>
      <c r="AI245" s="28"/>
      <c r="AJ245" s="28"/>
      <c r="AK245" s="28"/>
      <c r="AL245" s="27">
        <f t="shared" si="49"/>
        <v>1520</v>
      </c>
      <c r="AM245" s="27">
        <f t="shared" si="50"/>
        <v>333</v>
      </c>
      <c r="AN245" s="28"/>
      <c r="AO245" s="20">
        <v>1000</v>
      </c>
      <c r="AP245" s="46"/>
      <c r="AQ245" s="110">
        <f t="shared" si="48"/>
        <v>-167</v>
      </c>
    </row>
    <row r="246" spans="1:43" x14ac:dyDescent="0.2">
      <c r="A246" s="14" t="s">
        <v>85</v>
      </c>
      <c r="B246" s="13" t="s">
        <v>83</v>
      </c>
      <c r="C246" s="28">
        <v>543.54</v>
      </c>
      <c r="D246" s="28">
        <v>125</v>
      </c>
      <c r="E246" s="28"/>
      <c r="F246" s="28">
        <v>231.4</v>
      </c>
      <c r="G246" s="28">
        <v>125</v>
      </c>
      <c r="H246" s="28"/>
      <c r="I246" s="28">
        <v>150</v>
      </c>
      <c r="J246" s="28">
        <v>125</v>
      </c>
      <c r="K246" s="28"/>
      <c r="L246" s="28">
        <v>450</v>
      </c>
      <c r="M246" s="28">
        <v>125</v>
      </c>
      <c r="N246" s="28"/>
      <c r="O246" s="28"/>
      <c r="P246" s="28"/>
      <c r="Q246" s="28"/>
      <c r="R246" s="28"/>
      <c r="S246" s="28"/>
      <c r="T246" s="28"/>
      <c r="U246" s="28"/>
      <c r="V246" s="28"/>
      <c r="W246" s="28"/>
      <c r="X246" s="28"/>
      <c r="Y246" s="28"/>
      <c r="Z246" s="28"/>
      <c r="AA246" s="28"/>
      <c r="AB246" s="28"/>
      <c r="AC246" s="28"/>
      <c r="AD246" s="28"/>
      <c r="AE246" s="28"/>
      <c r="AF246" s="28"/>
      <c r="AG246" s="28"/>
      <c r="AH246" s="28"/>
      <c r="AI246" s="28"/>
      <c r="AJ246" s="28"/>
      <c r="AK246" s="28"/>
      <c r="AL246" s="27">
        <f t="shared" si="49"/>
        <v>1374.94</v>
      </c>
      <c r="AM246" s="27">
        <f t="shared" si="50"/>
        <v>500</v>
      </c>
      <c r="AN246" s="28"/>
      <c r="AO246" s="20">
        <v>1500</v>
      </c>
      <c r="AP246" s="46"/>
      <c r="AQ246" s="110">
        <f t="shared" si="48"/>
        <v>-250</v>
      </c>
    </row>
    <row r="247" spans="1:43" x14ac:dyDescent="0.2">
      <c r="A247" s="14" t="s">
        <v>84</v>
      </c>
      <c r="B247" s="13" t="s">
        <v>5</v>
      </c>
      <c r="C247" s="28">
        <v>4986.55</v>
      </c>
      <c r="D247" s="28">
        <v>1000</v>
      </c>
      <c r="E247" s="28"/>
      <c r="F247" s="28">
        <v>2055.5700000000002</v>
      </c>
      <c r="G247" s="28">
        <v>1000</v>
      </c>
      <c r="H247" s="28"/>
      <c r="I247" s="28">
        <v>1803.43</v>
      </c>
      <c r="J247" s="28">
        <v>1000</v>
      </c>
      <c r="K247" s="28"/>
      <c r="L247" s="28">
        <v>0</v>
      </c>
      <c r="M247" s="28">
        <v>1000</v>
      </c>
      <c r="N247" s="28"/>
      <c r="O247" s="28"/>
      <c r="P247" s="28"/>
      <c r="Q247" s="28"/>
      <c r="R247" s="28"/>
      <c r="S247" s="28"/>
      <c r="T247" s="28"/>
      <c r="U247" s="28"/>
      <c r="V247" s="28"/>
      <c r="W247" s="28"/>
      <c r="X247" s="28"/>
      <c r="Y247" s="28"/>
      <c r="Z247" s="28"/>
      <c r="AA247" s="28"/>
      <c r="AB247" s="28"/>
      <c r="AC247" s="28"/>
      <c r="AD247" s="28"/>
      <c r="AE247" s="28"/>
      <c r="AF247" s="28"/>
      <c r="AG247" s="28"/>
      <c r="AH247" s="28"/>
      <c r="AI247" s="28"/>
      <c r="AJ247" s="28"/>
      <c r="AK247" s="28"/>
      <c r="AL247" s="27">
        <f t="shared" si="49"/>
        <v>8845.5500000000011</v>
      </c>
      <c r="AM247" s="27">
        <f t="shared" si="50"/>
        <v>4000</v>
      </c>
      <c r="AN247" s="28"/>
      <c r="AO247" s="20">
        <v>12000</v>
      </c>
      <c r="AP247" s="46"/>
      <c r="AQ247" s="110">
        <f t="shared" si="48"/>
        <v>-2000</v>
      </c>
    </row>
    <row r="248" spans="1:43" x14ac:dyDescent="0.2">
      <c r="A248" s="14">
        <v>6032050</v>
      </c>
      <c r="B248" s="13" t="s">
        <v>375</v>
      </c>
      <c r="C248" s="28">
        <v>155001.17000000001</v>
      </c>
      <c r="D248" s="28">
        <v>0</v>
      </c>
      <c r="E248" s="28"/>
      <c r="F248" s="28">
        <v>41910.33</v>
      </c>
      <c r="G248" s="28">
        <v>0</v>
      </c>
      <c r="H248" s="28"/>
      <c r="I248" s="28">
        <v>50000</v>
      </c>
      <c r="J248" s="28">
        <v>0</v>
      </c>
      <c r="K248" s="28"/>
      <c r="L248" s="28">
        <v>36165</v>
      </c>
      <c r="M248" s="28">
        <v>0</v>
      </c>
      <c r="N248" s="28"/>
      <c r="O248" s="28"/>
      <c r="P248" s="28"/>
      <c r="Q248" s="28"/>
      <c r="R248" s="28"/>
      <c r="S248" s="28"/>
      <c r="T248" s="28"/>
      <c r="U248" s="28"/>
      <c r="V248" s="28"/>
      <c r="W248" s="28"/>
      <c r="X248" s="28"/>
      <c r="Y248" s="28"/>
      <c r="Z248" s="28"/>
      <c r="AA248" s="44"/>
      <c r="AB248" s="28"/>
      <c r="AC248" s="28"/>
      <c r="AD248" s="45"/>
      <c r="AE248" s="28"/>
      <c r="AF248" s="28"/>
      <c r="AG248" s="45"/>
      <c r="AH248" s="28"/>
      <c r="AI248" s="28"/>
      <c r="AJ248" s="45"/>
      <c r="AK248" s="28"/>
      <c r="AL248" s="27">
        <f t="shared" si="49"/>
        <v>283076.5</v>
      </c>
      <c r="AM248" s="27">
        <f t="shared" si="50"/>
        <v>0</v>
      </c>
      <c r="AN248" s="28"/>
      <c r="AO248" s="20">
        <v>0</v>
      </c>
      <c r="AP248" s="46"/>
      <c r="AQ248" s="110">
        <f t="shared" si="48"/>
        <v>0</v>
      </c>
    </row>
    <row r="249" spans="1:43" x14ac:dyDescent="0.2">
      <c r="A249" s="12"/>
      <c r="B249" s="11"/>
      <c r="C249" s="20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/>
      <c r="AJ249" s="20"/>
      <c r="AK249" s="20"/>
      <c r="AL249" s="20"/>
      <c r="AM249" s="20"/>
      <c r="AN249" s="20"/>
      <c r="AO249" s="20"/>
      <c r="AP249" s="46"/>
      <c r="AQ249" s="110">
        <f t="shared" si="48"/>
        <v>0</v>
      </c>
    </row>
    <row r="250" spans="1:43" x14ac:dyDescent="0.2">
      <c r="A250" s="9" t="s">
        <v>4</v>
      </c>
      <c r="B250" s="8" t="s">
        <v>81</v>
      </c>
      <c r="C250" s="29">
        <f>SUM(C206:C249)</f>
        <v>399916.83999999997</v>
      </c>
      <c r="D250" s="29">
        <f>SUM(D206:D249)</f>
        <v>244511</v>
      </c>
      <c r="E250" s="34"/>
      <c r="F250" s="29">
        <f>SUM(F206:F249)</f>
        <v>352913.43</v>
      </c>
      <c r="G250" s="29">
        <f>SUM(G206:G249)</f>
        <v>285299</v>
      </c>
      <c r="H250" s="34"/>
      <c r="I250" s="29">
        <f>SUM(I206:I249)</f>
        <v>367158.6999999999</v>
      </c>
      <c r="J250" s="29">
        <f>SUM(J206:J249)</f>
        <v>282616</v>
      </c>
      <c r="K250" s="34"/>
      <c r="L250" s="29">
        <f>SUM(L206:L249)</f>
        <v>478023.7800000002</v>
      </c>
      <c r="M250" s="29">
        <f>SUM(M206:M249)</f>
        <v>371790</v>
      </c>
      <c r="N250" s="34"/>
      <c r="O250" s="29">
        <f>SUM(O206:O249)</f>
        <v>0</v>
      </c>
      <c r="P250" s="29">
        <f>SUM(P206:P249)</f>
        <v>0</v>
      </c>
      <c r="Q250" s="34"/>
      <c r="R250" s="29">
        <f>SUM(R206:R249)</f>
        <v>0</v>
      </c>
      <c r="S250" s="29">
        <f>SUM(S206:S249)</f>
        <v>0</v>
      </c>
      <c r="T250" s="34"/>
      <c r="U250" s="29">
        <f>SUM(U206:U249)</f>
        <v>0</v>
      </c>
      <c r="V250" s="29">
        <f>SUM(V206:V249)</f>
        <v>0</v>
      </c>
      <c r="W250" s="34"/>
      <c r="X250" s="29">
        <f>SUM(X206:X249)</f>
        <v>0</v>
      </c>
      <c r="Y250" s="29">
        <f>SUM(Y206:Y249)</f>
        <v>0</v>
      </c>
      <c r="Z250" s="34"/>
      <c r="AA250" s="29">
        <f>SUM(AA206:AA249)</f>
        <v>0</v>
      </c>
      <c r="AB250" s="29">
        <f>SUM(AB206:AB249)</f>
        <v>0</v>
      </c>
      <c r="AC250" s="34"/>
      <c r="AD250" s="29">
        <f>SUM(AD206:AD249)</f>
        <v>0</v>
      </c>
      <c r="AE250" s="29">
        <f>SUM(AE206:AE249)</f>
        <v>0</v>
      </c>
      <c r="AF250" s="34"/>
      <c r="AG250" s="29">
        <f>SUM(AG206:AG249)</f>
        <v>0</v>
      </c>
      <c r="AH250" s="29">
        <f>SUM(AH206:AH249)</f>
        <v>0</v>
      </c>
      <c r="AI250" s="34"/>
      <c r="AJ250" s="29">
        <f>SUM(AJ206:AJ249)</f>
        <v>0</v>
      </c>
      <c r="AK250" s="29">
        <f>SUM(AK206:AK249)</f>
        <v>0</v>
      </c>
      <c r="AL250" s="41">
        <f>SUM(AL206:AL249)</f>
        <v>1598012.7500000007</v>
      </c>
      <c r="AM250" s="29">
        <f>SUM(AM206:AM249)</f>
        <v>1184216</v>
      </c>
      <c r="AN250" s="34"/>
      <c r="AO250" s="29">
        <f>SUM(AO206:AO249)</f>
        <v>3309812</v>
      </c>
      <c r="AP250" s="46"/>
      <c r="AQ250" s="110">
        <f t="shared" si="48"/>
        <v>-654406</v>
      </c>
    </row>
    <row r="251" spans="1:43" x14ac:dyDescent="0.2"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50"/>
      <c r="AH251" s="50"/>
      <c r="AI251" s="50"/>
      <c r="AJ251" s="50"/>
      <c r="AK251" s="50"/>
      <c r="AL251" s="50"/>
      <c r="AM251" s="50"/>
      <c r="AN251" s="50"/>
      <c r="AO251" s="50"/>
      <c r="AP251" s="46"/>
      <c r="AQ251" s="110">
        <f t="shared" si="48"/>
        <v>0</v>
      </c>
    </row>
    <row r="252" spans="1:43" x14ac:dyDescent="0.2">
      <c r="A252" s="16" t="s">
        <v>80</v>
      </c>
      <c r="B252" s="15" t="s">
        <v>79</v>
      </c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51"/>
      <c r="AH252" s="51"/>
      <c r="AI252" s="51"/>
      <c r="AJ252" s="51"/>
      <c r="AK252" s="51"/>
      <c r="AL252" s="51"/>
      <c r="AM252" s="51"/>
      <c r="AN252" s="51"/>
      <c r="AO252" s="50"/>
      <c r="AP252" s="46"/>
      <c r="AQ252" s="110">
        <f t="shared" si="48"/>
        <v>0</v>
      </c>
    </row>
    <row r="253" spans="1:43" x14ac:dyDescent="0.2">
      <c r="A253" s="14" t="s">
        <v>78</v>
      </c>
      <c r="B253" s="13" t="s">
        <v>77</v>
      </c>
      <c r="C253" s="45">
        <v>144.80000000000001</v>
      </c>
      <c r="D253" s="45">
        <v>625</v>
      </c>
      <c r="E253" s="45"/>
      <c r="F253" s="45">
        <v>218.59</v>
      </c>
      <c r="G253" s="45">
        <v>625</v>
      </c>
      <c r="H253" s="45"/>
      <c r="I253" s="45">
        <v>613.95000000000005</v>
      </c>
      <c r="J253" s="45">
        <v>625</v>
      </c>
      <c r="K253" s="45"/>
      <c r="L253" s="45">
        <v>161.55000000000001</v>
      </c>
      <c r="M253" s="45">
        <v>625</v>
      </c>
      <c r="N253" s="45"/>
      <c r="O253" s="45"/>
      <c r="P253" s="45"/>
      <c r="Q253" s="45"/>
      <c r="R253" s="45"/>
      <c r="S253" s="45"/>
      <c r="T253" s="45"/>
      <c r="U253" s="45"/>
      <c r="V253" s="45"/>
      <c r="W253" s="45"/>
      <c r="X253" s="45"/>
      <c r="Y253" s="45"/>
      <c r="Z253" s="45"/>
      <c r="AA253" s="45"/>
      <c r="AB253" s="45"/>
      <c r="AC253" s="45"/>
      <c r="AD253" s="45"/>
      <c r="AE253" s="45"/>
      <c r="AF253" s="45"/>
      <c r="AG253" s="45"/>
      <c r="AH253" s="45"/>
      <c r="AI253" s="45"/>
      <c r="AJ253" s="45"/>
      <c r="AK253" s="45"/>
      <c r="AL253" s="27">
        <f t="shared" ref="AL253:AL261" si="53">+C253+F253+I253+L253+O253+R253+U253+X253+AA253+AD253+AG253+AJ253</f>
        <v>1138.8900000000001</v>
      </c>
      <c r="AM253" s="27">
        <f t="shared" ref="AM253:AM261" si="54">+D253+G253+J253+M253+P253+S253+V253+Y253+AB253+AE253+AH253+AK253</f>
        <v>2500</v>
      </c>
      <c r="AN253" s="28"/>
      <c r="AO253" s="20">
        <v>7500</v>
      </c>
      <c r="AP253" s="46"/>
      <c r="AQ253" s="110">
        <f t="shared" si="48"/>
        <v>-1250</v>
      </c>
    </row>
    <row r="254" spans="1:43" x14ac:dyDescent="0.2">
      <c r="A254" s="14" t="s">
        <v>76</v>
      </c>
      <c r="B254" s="13" t="s">
        <v>75</v>
      </c>
      <c r="C254" s="45">
        <v>842.23</v>
      </c>
      <c r="D254" s="45">
        <v>5000</v>
      </c>
      <c r="E254" s="45"/>
      <c r="F254" s="45">
        <v>529.46</v>
      </c>
      <c r="G254" s="45">
        <v>5000</v>
      </c>
      <c r="H254" s="45"/>
      <c r="I254" s="45">
        <v>2439.62</v>
      </c>
      <c r="J254" s="45">
        <v>5000</v>
      </c>
      <c r="K254" s="45"/>
      <c r="L254" s="45">
        <v>16912.84</v>
      </c>
      <c r="M254" s="45">
        <v>5000</v>
      </c>
      <c r="N254" s="45"/>
      <c r="O254" s="45"/>
      <c r="P254" s="45"/>
      <c r="Q254" s="45"/>
      <c r="R254" s="45"/>
      <c r="S254" s="45"/>
      <c r="T254" s="45"/>
      <c r="U254" s="45"/>
      <c r="V254" s="45"/>
      <c r="W254" s="45"/>
      <c r="X254" s="45"/>
      <c r="Y254" s="45"/>
      <c r="Z254" s="45"/>
      <c r="AA254" s="45"/>
      <c r="AB254" s="45"/>
      <c r="AC254" s="45"/>
      <c r="AD254" s="45"/>
      <c r="AE254" s="45"/>
      <c r="AF254" s="45"/>
      <c r="AG254" s="45"/>
      <c r="AH254" s="45"/>
      <c r="AI254" s="45"/>
      <c r="AJ254" s="45"/>
      <c r="AK254" s="45"/>
      <c r="AL254" s="27">
        <f t="shared" si="53"/>
        <v>20724.150000000001</v>
      </c>
      <c r="AM254" s="27">
        <f t="shared" si="54"/>
        <v>20000</v>
      </c>
      <c r="AN254" s="28"/>
      <c r="AO254" s="20">
        <v>60000</v>
      </c>
      <c r="AP254" s="46"/>
      <c r="AQ254" s="110">
        <f t="shared" si="48"/>
        <v>-10000</v>
      </c>
    </row>
    <row r="255" spans="1:43" x14ac:dyDescent="0.2">
      <c r="A255" s="14" t="s">
        <v>74</v>
      </c>
      <c r="B255" s="13" t="s">
        <v>73</v>
      </c>
      <c r="C255" s="45">
        <v>936.86</v>
      </c>
      <c r="D255" s="45">
        <v>1667</v>
      </c>
      <c r="E255" s="45"/>
      <c r="F255" s="45">
        <v>1035.72</v>
      </c>
      <c r="G255" s="45">
        <v>1667</v>
      </c>
      <c r="H255" s="45"/>
      <c r="I255" s="45">
        <v>1774.52</v>
      </c>
      <c r="J255" s="45">
        <v>1667</v>
      </c>
      <c r="K255" s="45"/>
      <c r="L255" s="45">
        <v>1449.23</v>
      </c>
      <c r="M255" s="45">
        <v>1667</v>
      </c>
      <c r="N255" s="45"/>
      <c r="O255" s="45"/>
      <c r="P255" s="45"/>
      <c r="Q255" s="45"/>
      <c r="R255" s="45"/>
      <c r="S255" s="45"/>
      <c r="T255" s="45"/>
      <c r="U255" s="45"/>
      <c r="V255" s="45"/>
      <c r="W255" s="45"/>
      <c r="X255" s="45"/>
      <c r="Y255" s="45"/>
      <c r="Z255" s="45"/>
      <c r="AA255" s="45"/>
      <c r="AB255" s="45"/>
      <c r="AC255" s="45"/>
      <c r="AD255" s="45"/>
      <c r="AE255" s="45"/>
      <c r="AF255" s="45"/>
      <c r="AG255" s="45"/>
      <c r="AH255" s="45"/>
      <c r="AI255" s="45"/>
      <c r="AJ255" s="45"/>
      <c r="AK255" s="45"/>
      <c r="AL255" s="27">
        <f t="shared" si="53"/>
        <v>5196.33</v>
      </c>
      <c r="AM255" s="27">
        <f t="shared" si="54"/>
        <v>6668</v>
      </c>
      <c r="AN255" s="28"/>
      <c r="AO255" s="20">
        <v>20000</v>
      </c>
      <c r="AP255" s="46"/>
      <c r="AQ255" s="110">
        <f t="shared" si="48"/>
        <v>-3334</v>
      </c>
    </row>
    <row r="256" spans="1:43" x14ac:dyDescent="0.2">
      <c r="A256" s="14" t="s">
        <v>72</v>
      </c>
      <c r="B256" s="13" t="s">
        <v>71</v>
      </c>
      <c r="C256" s="45">
        <v>153</v>
      </c>
      <c r="D256" s="45">
        <v>833</v>
      </c>
      <c r="E256" s="45"/>
      <c r="F256" s="45">
        <v>6757.03</v>
      </c>
      <c r="G256" s="45">
        <v>833</v>
      </c>
      <c r="H256" s="45"/>
      <c r="I256" s="45">
        <v>317.8</v>
      </c>
      <c r="J256" s="45">
        <v>834</v>
      </c>
      <c r="K256" s="45"/>
      <c r="L256" s="45">
        <v>227</v>
      </c>
      <c r="M256" s="45">
        <v>833</v>
      </c>
      <c r="N256" s="45"/>
      <c r="O256" s="45"/>
      <c r="P256" s="45"/>
      <c r="Q256" s="45"/>
      <c r="R256" s="45"/>
      <c r="S256" s="45"/>
      <c r="T256" s="45"/>
      <c r="U256" s="45"/>
      <c r="V256" s="45"/>
      <c r="W256" s="45"/>
      <c r="X256" s="45"/>
      <c r="Y256" s="45"/>
      <c r="Z256" s="45"/>
      <c r="AA256" s="45"/>
      <c r="AB256" s="45"/>
      <c r="AC256" s="45"/>
      <c r="AD256" s="45"/>
      <c r="AE256" s="45"/>
      <c r="AF256" s="45"/>
      <c r="AG256" s="45"/>
      <c r="AH256" s="45"/>
      <c r="AI256" s="45"/>
      <c r="AJ256" s="45"/>
      <c r="AK256" s="45"/>
      <c r="AL256" s="27">
        <f t="shared" si="53"/>
        <v>7454.83</v>
      </c>
      <c r="AM256" s="27">
        <f t="shared" si="54"/>
        <v>3333</v>
      </c>
      <c r="AN256" s="28"/>
      <c r="AO256" s="20">
        <v>10000</v>
      </c>
      <c r="AP256" s="46"/>
      <c r="AQ256" s="110">
        <f t="shared" si="48"/>
        <v>-1667</v>
      </c>
    </row>
    <row r="257" spans="1:43" x14ac:dyDescent="0.2">
      <c r="A257" s="14" t="s">
        <v>70</v>
      </c>
      <c r="B257" s="13" t="s">
        <v>69</v>
      </c>
      <c r="C257" s="45">
        <v>0</v>
      </c>
      <c r="D257" s="45">
        <v>0</v>
      </c>
      <c r="E257" s="45"/>
      <c r="F257" s="45"/>
      <c r="G257" s="45">
        <v>0</v>
      </c>
      <c r="H257" s="45"/>
      <c r="I257" s="45"/>
      <c r="J257" s="45"/>
      <c r="K257" s="45"/>
      <c r="L257" s="45"/>
      <c r="M257" s="45"/>
      <c r="N257" s="45"/>
      <c r="O257" s="45"/>
      <c r="P257" s="45"/>
      <c r="Q257" s="45"/>
      <c r="R257" s="45"/>
      <c r="S257" s="45"/>
      <c r="T257" s="45"/>
      <c r="U257" s="45"/>
      <c r="V257" s="45"/>
      <c r="W257" s="45"/>
      <c r="X257" s="45"/>
      <c r="Y257" s="45"/>
      <c r="Z257" s="45"/>
      <c r="AA257" s="45"/>
      <c r="AB257" s="45"/>
      <c r="AC257" s="45"/>
      <c r="AD257" s="45"/>
      <c r="AE257" s="45"/>
      <c r="AF257" s="45"/>
      <c r="AG257" s="45"/>
      <c r="AH257" s="45"/>
      <c r="AI257" s="45"/>
      <c r="AJ257" s="45"/>
      <c r="AK257" s="45"/>
      <c r="AL257" s="27">
        <f t="shared" si="53"/>
        <v>0</v>
      </c>
      <c r="AM257" s="27">
        <f t="shared" si="54"/>
        <v>0</v>
      </c>
      <c r="AN257" s="28"/>
      <c r="AO257" s="20"/>
      <c r="AP257" s="46"/>
      <c r="AQ257" s="110">
        <f t="shared" si="48"/>
        <v>0</v>
      </c>
    </row>
    <row r="258" spans="1:43" x14ac:dyDescent="0.2">
      <c r="A258" s="14" t="s">
        <v>68</v>
      </c>
      <c r="B258" s="13" t="s">
        <v>67</v>
      </c>
      <c r="C258" s="45">
        <v>240.31</v>
      </c>
      <c r="D258" s="45">
        <v>42</v>
      </c>
      <c r="E258" s="45"/>
      <c r="F258" s="45">
        <v>909.31</v>
      </c>
      <c r="G258" s="45">
        <v>41</v>
      </c>
      <c r="H258" s="45"/>
      <c r="I258" s="45">
        <v>15588.5</v>
      </c>
      <c r="J258" s="45">
        <v>42</v>
      </c>
      <c r="K258" s="45"/>
      <c r="L258" s="45">
        <v>108</v>
      </c>
      <c r="M258" s="45">
        <v>41</v>
      </c>
      <c r="N258" s="45"/>
      <c r="O258" s="45"/>
      <c r="P258" s="45"/>
      <c r="Q258" s="45"/>
      <c r="R258" s="45"/>
      <c r="S258" s="45"/>
      <c r="T258" s="45"/>
      <c r="U258" s="45"/>
      <c r="V258" s="45"/>
      <c r="W258" s="45"/>
      <c r="X258" s="45"/>
      <c r="Y258" s="45"/>
      <c r="Z258" s="45"/>
      <c r="AA258" s="45"/>
      <c r="AB258" s="45"/>
      <c r="AC258" s="45"/>
      <c r="AD258" s="45"/>
      <c r="AE258" s="45"/>
      <c r="AF258" s="45"/>
      <c r="AG258" s="45"/>
      <c r="AH258" s="45"/>
      <c r="AI258" s="45"/>
      <c r="AJ258" s="45"/>
      <c r="AK258" s="45"/>
      <c r="AL258" s="27">
        <f t="shared" si="53"/>
        <v>16846.12</v>
      </c>
      <c r="AM258" s="27">
        <f t="shared" si="54"/>
        <v>166</v>
      </c>
      <c r="AN258" s="28"/>
      <c r="AO258" s="20">
        <v>500</v>
      </c>
      <c r="AP258" s="46"/>
      <c r="AQ258" s="110">
        <f t="shared" si="48"/>
        <v>-83</v>
      </c>
    </row>
    <row r="259" spans="1:43" x14ac:dyDescent="0.2">
      <c r="A259" s="14">
        <v>6012725</v>
      </c>
      <c r="B259" s="13" t="s">
        <v>458</v>
      </c>
      <c r="C259" s="45">
        <v>836.33</v>
      </c>
      <c r="D259" s="45">
        <v>0</v>
      </c>
      <c r="E259" s="45"/>
      <c r="F259" s="45">
        <v>836.33</v>
      </c>
      <c r="G259" s="45">
        <v>0</v>
      </c>
      <c r="H259" s="45"/>
      <c r="I259" s="45">
        <v>836.33</v>
      </c>
      <c r="J259" s="45">
        <v>0</v>
      </c>
      <c r="K259" s="45"/>
      <c r="L259" s="45">
        <v>836.33</v>
      </c>
      <c r="M259" s="45"/>
      <c r="N259" s="45"/>
      <c r="O259" s="45"/>
      <c r="P259" s="45"/>
      <c r="Q259" s="45"/>
      <c r="R259" s="45"/>
      <c r="S259" s="45"/>
      <c r="T259" s="45"/>
      <c r="U259" s="45"/>
      <c r="V259" s="45"/>
      <c r="W259" s="45"/>
      <c r="X259" s="45"/>
      <c r="Y259" s="45"/>
      <c r="Z259" s="45"/>
      <c r="AA259" s="45"/>
      <c r="AB259" s="45"/>
      <c r="AC259" s="45"/>
      <c r="AD259" s="45"/>
      <c r="AE259" s="45"/>
      <c r="AF259" s="45"/>
      <c r="AG259" s="45"/>
      <c r="AH259" s="45"/>
      <c r="AI259" s="45"/>
      <c r="AJ259" s="45"/>
      <c r="AK259" s="45"/>
      <c r="AL259" s="27">
        <f t="shared" si="53"/>
        <v>3345.32</v>
      </c>
      <c r="AM259" s="27">
        <f t="shared" si="54"/>
        <v>0</v>
      </c>
      <c r="AN259" s="28"/>
      <c r="AO259" s="20"/>
      <c r="AP259" s="46"/>
      <c r="AQ259" s="110">
        <f t="shared" si="48"/>
        <v>0</v>
      </c>
    </row>
    <row r="260" spans="1:43" x14ac:dyDescent="0.2">
      <c r="A260" s="14">
        <v>6012750</v>
      </c>
      <c r="B260" s="13" t="s">
        <v>373</v>
      </c>
      <c r="C260" s="45">
        <v>3391.28</v>
      </c>
      <c r="D260" s="45">
        <v>0</v>
      </c>
      <c r="E260" s="45"/>
      <c r="F260" s="45">
        <v>17374.77</v>
      </c>
      <c r="G260" s="45">
        <v>0</v>
      </c>
      <c r="H260" s="45"/>
      <c r="I260" s="45">
        <v>100133.75</v>
      </c>
      <c r="J260" s="45">
        <v>0</v>
      </c>
      <c r="K260" s="45"/>
      <c r="L260" s="45"/>
      <c r="M260" s="45"/>
      <c r="N260" s="45"/>
      <c r="O260" s="45"/>
      <c r="P260" s="45"/>
      <c r="Q260" s="45"/>
      <c r="R260" s="45"/>
      <c r="S260" s="45"/>
      <c r="T260" s="45"/>
      <c r="U260" s="45"/>
      <c r="V260" s="45"/>
      <c r="W260" s="45"/>
      <c r="X260" s="45"/>
      <c r="Y260" s="45"/>
      <c r="Z260" s="45"/>
      <c r="AA260" s="45"/>
      <c r="AB260" s="45"/>
      <c r="AC260" s="45"/>
      <c r="AD260" s="45"/>
      <c r="AE260" s="45"/>
      <c r="AF260" s="45"/>
      <c r="AG260" s="45"/>
      <c r="AH260" s="45"/>
      <c r="AI260" s="45"/>
      <c r="AJ260" s="45"/>
      <c r="AK260" s="45"/>
      <c r="AL260" s="27">
        <f t="shared" si="53"/>
        <v>120899.8</v>
      </c>
      <c r="AM260" s="27">
        <f t="shared" si="54"/>
        <v>0</v>
      </c>
      <c r="AN260" s="28"/>
      <c r="AO260" s="20">
        <v>0</v>
      </c>
      <c r="AP260" s="46"/>
      <c r="AQ260" s="110">
        <f t="shared" si="48"/>
        <v>0</v>
      </c>
    </row>
    <row r="261" spans="1:43" x14ac:dyDescent="0.2">
      <c r="A261" s="14" t="s">
        <v>66</v>
      </c>
      <c r="B261" s="13" t="s">
        <v>65</v>
      </c>
      <c r="C261" s="45">
        <v>0</v>
      </c>
      <c r="D261" s="45">
        <v>0</v>
      </c>
      <c r="E261" s="45"/>
      <c r="F261" s="45">
        <v>0</v>
      </c>
      <c r="G261" s="45">
        <v>0</v>
      </c>
      <c r="H261" s="45"/>
      <c r="I261" s="45">
        <v>6.48</v>
      </c>
      <c r="J261" s="45">
        <v>0</v>
      </c>
      <c r="K261" s="45"/>
      <c r="L261" s="45"/>
      <c r="M261" s="45"/>
      <c r="N261" s="45"/>
      <c r="O261" s="45"/>
      <c r="P261" s="45"/>
      <c r="Q261" s="45"/>
      <c r="R261" s="45"/>
      <c r="S261" s="45"/>
      <c r="T261" s="45"/>
      <c r="U261" s="45"/>
      <c r="V261" s="45"/>
      <c r="W261" s="45"/>
      <c r="X261" s="45"/>
      <c r="Y261" s="45"/>
      <c r="Z261" s="45"/>
      <c r="AA261" s="45"/>
      <c r="AB261" s="45"/>
      <c r="AC261" s="45"/>
      <c r="AD261" s="45"/>
      <c r="AE261" s="45"/>
      <c r="AF261" s="45"/>
      <c r="AG261" s="45"/>
      <c r="AH261" s="45"/>
      <c r="AI261" s="45"/>
      <c r="AJ261" s="45"/>
      <c r="AK261" s="45"/>
      <c r="AL261" s="27">
        <f t="shared" si="53"/>
        <v>6.48</v>
      </c>
      <c r="AM261" s="27">
        <f t="shared" si="54"/>
        <v>0</v>
      </c>
      <c r="AN261" s="28"/>
      <c r="AO261" s="20">
        <v>0</v>
      </c>
      <c r="AP261" s="46"/>
      <c r="AQ261" s="110">
        <f t="shared" si="48"/>
        <v>0</v>
      </c>
    </row>
    <row r="262" spans="1:43" x14ac:dyDescent="0.2">
      <c r="A262" s="14"/>
      <c r="B262" s="13"/>
      <c r="C262" s="28"/>
      <c r="D262" s="28"/>
      <c r="E262" s="28"/>
      <c r="F262" s="28"/>
      <c r="G262" s="28"/>
      <c r="H262" s="28"/>
      <c r="I262" s="28"/>
      <c r="J262" s="28"/>
      <c r="K262" s="28"/>
      <c r="L262" s="28"/>
      <c r="M262" s="28"/>
      <c r="N262" s="28"/>
      <c r="O262" s="28"/>
      <c r="P262" s="28"/>
      <c r="Q262" s="28"/>
      <c r="R262" s="28"/>
      <c r="S262" s="28"/>
      <c r="T262" s="28"/>
      <c r="U262" s="28"/>
      <c r="V262" s="28"/>
      <c r="W262" s="28"/>
      <c r="X262" s="28"/>
      <c r="Y262" s="28"/>
      <c r="Z262" s="28"/>
      <c r="AA262" s="28"/>
      <c r="AB262" s="28"/>
      <c r="AC262" s="28"/>
      <c r="AD262" s="28"/>
      <c r="AE262" s="28"/>
      <c r="AF262" s="28"/>
      <c r="AG262" s="28"/>
      <c r="AH262" s="28"/>
      <c r="AI262" s="28"/>
      <c r="AJ262" s="28"/>
      <c r="AK262" s="28"/>
      <c r="AL262" s="28"/>
      <c r="AM262" s="28"/>
      <c r="AN262" s="28"/>
      <c r="AO262" s="20"/>
      <c r="AP262" s="46"/>
      <c r="AQ262" s="110">
        <f t="shared" si="48"/>
        <v>0</v>
      </c>
    </row>
    <row r="263" spans="1:43" x14ac:dyDescent="0.2">
      <c r="A263" s="18"/>
      <c r="B263" s="17" t="s">
        <v>64</v>
      </c>
      <c r="C263" s="31">
        <f>SUM(C253:C261)</f>
        <v>6544.8099999999995</v>
      </c>
      <c r="D263" s="31">
        <f>SUM(D253:D261)</f>
        <v>8167</v>
      </c>
      <c r="E263" s="34"/>
      <c r="F263" s="31">
        <f>SUM(F253:F261)</f>
        <v>27661.21</v>
      </c>
      <c r="G263" s="31">
        <f>SUM(G253:G261)</f>
        <v>8166</v>
      </c>
      <c r="H263" s="34"/>
      <c r="I263" s="31">
        <f>SUM(I253:I261)</f>
        <v>121710.95</v>
      </c>
      <c r="J263" s="31">
        <f>SUM(J253:J261)</f>
        <v>8168</v>
      </c>
      <c r="K263" s="34"/>
      <c r="L263" s="31">
        <f>SUM(L253:L261)</f>
        <v>19694.95</v>
      </c>
      <c r="M263" s="31">
        <f>SUM(M253:M261)</f>
        <v>8166</v>
      </c>
      <c r="N263" s="34"/>
      <c r="O263" s="31">
        <f>SUM(O253:O261)</f>
        <v>0</v>
      </c>
      <c r="P263" s="31">
        <f>SUM(P253:P261)</f>
        <v>0</v>
      </c>
      <c r="Q263" s="34"/>
      <c r="R263" s="31">
        <f>SUM(R253:R261)</f>
        <v>0</v>
      </c>
      <c r="S263" s="31">
        <f>SUM(S253:S261)</f>
        <v>0</v>
      </c>
      <c r="T263" s="34"/>
      <c r="U263" s="31">
        <f>SUM(U253:U261)</f>
        <v>0</v>
      </c>
      <c r="V263" s="31">
        <f>SUM(V253:V261)</f>
        <v>0</v>
      </c>
      <c r="W263" s="34"/>
      <c r="X263" s="31">
        <f>SUM(X253:X261)</f>
        <v>0</v>
      </c>
      <c r="Y263" s="31">
        <f>SUM(Y253:Y261)</f>
        <v>0</v>
      </c>
      <c r="Z263" s="34"/>
      <c r="AA263" s="31">
        <f>SUM(AA253:AA261)</f>
        <v>0</v>
      </c>
      <c r="AB263" s="31">
        <f>SUM(AB253:AB261)</f>
        <v>0</v>
      </c>
      <c r="AC263" s="34"/>
      <c r="AD263" s="31">
        <f>SUM(AD253:AD261)</f>
        <v>0</v>
      </c>
      <c r="AE263" s="31">
        <f>SUM(AE253:AE261)</f>
        <v>0</v>
      </c>
      <c r="AF263" s="34"/>
      <c r="AG263" s="31">
        <f>SUM(AG253:AG261)</f>
        <v>0</v>
      </c>
      <c r="AH263" s="31">
        <f>SUM(AH253:AH261)</f>
        <v>0</v>
      </c>
      <c r="AI263" s="34"/>
      <c r="AJ263" s="31">
        <f>SUM(AJ253:AJ261)</f>
        <v>0</v>
      </c>
      <c r="AK263" s="31">
        <f>SUM(AK253:AK261)</f>
        <v>0</v>
      </c>
      <c r="AL263" s="40">
        <f>SUM(AL253:AL261)</f>
        <v>175611.92</v>
      </c>
      <c r="AM263" s="31">
        <f>SUM(AM253:AM261)</f>
        <v>32667</v>
      </c>
      <c r="AN263" s="34"/>
      <c r="AO263" s="31">
        <f>SUM(AO253:AO261)</f>
        <v>98000</v>
      </c>
      <c r="AP263" s="46"/>
      <c r="AQ263" s="110">
        <f t="shared" si="48"/>
        <v>-16334</v>
      </c>
    </row>
    <row r="264" spans="1:43" x14ac:dyDescent="0.2">
      <c r="A264" s="18"/>
      <c r="B264" s="17"/>
      <c r="C264" s="34"/>
      <c r="D264" s="34"/>
      <c r="E264" s="34"/>
      <c r="F264" s="34"/>
      <c r="G264" s="34"/>
      <c r="H264" s="34"/>
      <c r="I264" s="34"/>
      <c r="J264" s="34"/>
      <c r="K264" s="34"/>
      <c r="L264" s="34"/>
      <c r="M264" s="34"/>
      <c r="N264" s="34"/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2"/>
      <c r="AP264" s="46"/>
      <c r="AQ264" s="110">
        <f t="shared" si="48"/>
        <v>0</v>
      </c>
    </row>
    <row r="265" spans="1:43" x14ac:dyDescent="0.2">
      <c r="A265" s="14" t="s">
        <v>63</v>
      </c>
      <c r="B265" s="13" t="s">
        <v>41</v>
      </c>
      <c r="C265" s="45">
        <v>8611.75</v>
      </c>
      <c r="D265" s="45">
        <v>8367</v>
      </c>
      <c r="E265" s="45"/>
      <c r="F265" s="45">
        <v>9079.14</v>
      </c>
      <c r="G265" s="45">
        <v>7781</v>
      </c>
      <c r="H265" s="45"/>
      <c r="I265" s="45">
        <v>7393.78</v>
      </c>
      <c r="J265" s="45">
        <v>7781</v>
      </c>
      <c r="K265" s="45"/>
      <c r="L265" s="45">
        <v>12530.94</v>
      </c>
      <c r="M265" s="45">
        <v>11964</v>
      </c>
      <c r="N265" s="45"/>
      <c r="O265" s="45"/>
      <c r="P265" s="45"/>
      <c r="Q265" s="45"/>
      <c r="R265" s="45"/>
      <c r="S265" s="45"/>
      <c r="T265" s="45"/>
      <c r="U265" s="45"/>
      <c r="V265" s="45"/>
      <c r="W265" s="45"/>
      <c r="X265" s="45"/>
      <c r="Y265" s="45"/>
      <c r="Z265" s="45"/>
      <c r="AA265" s="45"/>
      <c r="AB265" s="45"/>
      <c r="AC265" s="45"/>
      <c r="AD265" s="45"/>
      <c r="AE265" s="45"/>
      <c r="AF265" s="45"/>
      <c r="AG265" s="45"/>
      <c r="AH265" s="45"/>
      <c r="AI265" s="45"/>
      <c r="AJ265" s="45"/>
      <c r="AK265" s="45"/>
      <c r="AL265" s="27">
        <f t="shared" ref="AL265:AL283" si="55">+C265+F265+I265+L265+O265+R265+U265+X265+AA265+AD265+AG265+AJ265</f>
        <v>37615.61</v>
      </c>
      <c r="AM265" s="27">
        <f t="shared" ref="AM265:AM283" si="56">+D265+G265+J265+M265+P265+S265+V265+Y265+AB265+AE265+AH265+AK265</f>
        <v>35893</v>
      </c>
      <c r="AN265" s="28"/>
      <c r="AO265" s="20">
        <v>108778</v>
      </c>
      <c r="AP265" s="46"/>
      <c r="AQ265" s="110">
        <f t="shared" si="48"/>
        <v>-19745</v>
      </c>
    </row>
    <row r="266" spans="1:43" x14ac:dyDescent="0.2">
      <c r="A266" s="14">
        <v>6040101</v>
      </c>
      <c r="B266" s="13" t="s">
        <v>387</v>
      </c>
      <c r="C266" s="45">
        <v>29.61</v>
      </c>
      <c r="D266" s="45">
        <v>0</v>
      </c>
      <c r="E266" s="45"/>
      <c r="F266" s="45">
        <v>253.41</v>
      </c>
      <c r="G266" s="45">
        <v>587</v>
      </c>
      <c r="H266" s="45"/>
      <c r="I266" s="45">
        <v>198.09</v>
      </c>
      <c r="J266" s="45">
        <v>587</v>
      </c>
      <c r="K266" s="45"/>
      <c r="L266" s="45">
        <v>185.55</v>
      </c>
      <c r="M266" s="45">
        <v>587</v>
      </c>
      <c r="N266" s="45"/>
      <c r="O266" s="45"/>
      <c r="P266" s="45"/>
      <c r="Q266" s="45"/>
      <c r="R266" s="45"/>
      <c r="S266" s="45"/>
      <c r="T266" s="45"/>
      <c r="U266" s="45"/>
      <c r="V266" s="45"/>
      <c r="W266" s="45"/>
      <c r="X266" s="45"/>
      <c r="Y266" s="45"/>
      <c r="Z266" s="45"/>
      <c r="AA266" s="45"/>
      <c r="AB266" s="45"/>
      <c r="AC266" s="45"/>
      <c r="AD266" s="45"/>
      <c r="AE266" s="45"/>
      <c r="AF266" s="45"/>
      <c r="AG266" s="45"/>
      <c r="AH266" s="45"/>
      <c r="AI266" s="45"/>
      <c r="AJ266" s="45"/>
      <c r="AK266" s="45"/>
      <c r="AL266" s="27">
        <f t="shared" ref="AL266" si="57">+C266+F266+I266+L266+O266+R266+U266+X266+AA266+AD266+AG266+AJ266</f>
        <v>666.66000000000008</v>
      </c>
      <c r="AM266" s="27">
        <f t="shared" ref="AM266" si="58">+D266+G266+J266+M266+P266+S266+V266+Y266+AB266+AE266+AH266+AK266</f>
        <v>1761</v>
      </c>
      <c r="AN266" s="28"/>
      <c r="AO266" s="20">
        <v>0</v>
      </c>
      <c r="AP266" s="46"/>
      <c r="AQ266" s="110">
        <f t="shared" si="48"/>
        <v>-1174</v>
      </c>
    </row>
    <row r="267" spans="1:43" x14ac:dyDescent="0.2">
      <c r="A267" s="14" t="s">
        <v>62</v>
      </c>
      <c r="B267" s="13" t="s">
        <v>39</v>
      </c>
      <c r="C267" s="45">
        <v>624.42999999999995</v>
      </c>
      <c r="D267" s="45">
        <v>669</v>
      </c>
      <c r="E267" s="45"/>
      <c r="F267" s="45">
        <v>643.87</v>
      </c>
      <c r="G267" s="45">
        <v>669</v>
      </c>
      <c r="H267" s="45"/>
      <c r="I267" s="45">
        <v>647.29</v>
      </c>
      <c r="J267" s="45">
        <v>670</v>
      </c>
      <c r="K267" s="45"/>
      <c r="L267" s="45">
        <v>952.6</v>
      </c>
      <c r="M267" s="45">
        <v>1004</v>
      </c>
      <c r="N267" s="45"/>
      <c r="O267" s="45"/>
      <c r="P267" s="45"/>
      <c r="Q267" s="45"/>
      <c r="R267" s="45"/>
      <c r="S267" s="45"/>
      <c r="T267" s="45"/>
      <c r="U267" s="45"/>
      <c r="V267" s="45"/>
      <c r="W267" s="45"/>
      <c r="X267" s="45"/>
      <c r="Y267" s="45"/>
      <c r="Z267" s="45"/>
      <c r="AA267" s="45"/>
      <c r="AB267" s="45"/>
      <c r="AC267" s="45"/>
      <c r="AD267" s="45"/>
      <c r="AE267" s="45"/>
      <c r="AF267" s="45"/>
      <c r="AG267" s="45"/>
      <c r="AH267" s="45"/>
      <c r="AI267" s="45"/>
      <c r="AJ267" s="45"/>
      <c r="AK267" s="45"/>
      <c r="AL267" s="27">
        <f t="shared" si="55"/>
        <v>2868.19</v>
      </c>
      <c r="AM267" s="27">
        <f t="shared" si="56"/>
        <v>3012</v>
      </c>
      <c r="AN267" s="28"/>
      <c r="AO267" s="20">
        <v>8702</v>
      </c>
      <c r="AP267" s="46"/>
      <c r="AQ267" s="110">
        <f t="shared" si="48"/>
        <v>-1674</v>
      </c>
    </row>
    <row r="268" spans="1:43" x14ac:dyDescent="0.2">
      <c r="A268" s="14" t="s">
        <v>61</v>
      </c>
      <c r="B268" s="13" t="s">
        <v>37</v>
      </c>
      <c r="C268" s="45">
        <v>6328.91</v>
      </c>
      <c r="D268" s="45">
        <v>6917</v>
      </c>
      <c r="E268" s="45"/>
      <c r="F268" s="45">
        <v>6328.91</v>
      </c>
      <c r="G268" s="45">
        <v>6917</v>
      </c>
      <c r="H268" s="45"/>
      <c r="I268" s="45">
        <v>6437.07</v>
      </c>
      <c r="J268" s="45">
        <v>6917</v>
      </c>
      <c r="K268" s="45"/>
      <c r="L268" s="45">
        <v>6527.17</v>
      </c>
      <c r="M268" s="45">
        <v>6917</v>
      </c>
      <c r="N268" s="45"/>
      <c r="O268" s="45"/>
      <c r="P268" s="45"/>
      <c r="Q268" s="45"/>
      <c r="R268" s="45"/>
      <c r="S268" s="45"/>
      <c r="T268" s="45"/>
      <c r="U268" s="45"/>
      <c r="V268" s="45"/>
      <c r="W268" s="45"/>
      <c r="X268" s="45"/>
      <c r="Y268" s="45"/>
      <c r="Z268" s="45"/>
      <c r="AA268" s="45"/>
      <c r="AB268" s="45"/>
      <c r="AC268" s="45"/>
      <c r="AD268" s="45"/>
      <c r="AE268" s="45"/>
      <c r="AF268" s="45"/>
      <c r="AG268" s="45"/>
      <c r="AH268" s="45"/>
      <c r="AI268" s="45"/>
      <c r="AJ268" s="45"/>
      <c r="AK268" s="45"/>
      <c r="AL268" s="27">
        <f t="shared" si="55"/>
        <v>25622.059999999998</v>
      </c>
      <c r="AM268" s="27">
        <f t="shared" si="56"/>
        <v>27668</v>
      </c>
      <c r="AN268" s="28"/>
      <c r="AO268" s="20">
        <v>83004</v>
      </c>
      <c r="AP268" s="46"/>
      <c r="AQ268" s="110">
        <f t="shared" si="48"/>
        <v>-13834</v>
      </c>
    </row>
    <row r="269" spans="1:43" x14ac:dyDescent="0.2">
      <c r="A269" s="14" t="s">
        <v>60</v>
      </c>
      <c r="B269" s="13" t="s">
        <v>59</v>
      </c>
      <c r="C269" s="45">
        <v>132.01</v>
      </c>
      <c r="D269" s="45">
        <v>136</v>
      </c>
      <c r="E269" s="45"/>
      <c r="F269" s="45">
        <v>138.37</v>
      </c>
      <c r="G269" s="45">
        <v>136</v>
      </c>
      <c r="H269" s="45"/>
      <c r="I269" s="45">
        <v>139.83000000000001</v>
      </c>
      <c r="J269" s="45">
        <v>136</v>
      </c>
      <c r="K269" s="45"/>
      <c r="L269" s="45">
        <v>0</v>
      </c>
      <c r="M269" s="45">
        <v>204</v>
      </c>
      <c r="N269" s="45"/>
      <c r="O269" s="45"/>
      <c r="P269" s="45"/>
      <c r="Q269" s="45"/>
      <c r="R269" s="45"/>
      <c r="S269" s="45"/>
      <c r="T269" s="45"/>
      <c r="U269" s="45"/>
      <c r="V269" s="45"/>
      <c r="W269" s="45"/>
      <c r="X269" s="45"/>
      <c r="Y269" s="45"/>
      <c r="Z269" s="45"/>
      <c r="AA269" s="45"/>
      <c r="AB269" s="45"/>
      <c r="AC269" s="45"/>
      <c r="AD269" s="45"/>
      <c r="AE269" s="45"/>
      <c r="AF269" s="45"/>
      <c r="AG269" s="45"/>
      <c r="AH269" s="45"/>
      <c r="AI269" s="45"/>
      <c r="AJ269" s="45"/>
      <c r="AK269" s="45"/>
      <c r="AL269" s="27">
        <f t="shared" si="55"/>
        <v>410.21000000000004</v>
      </c>
      <c r="AM269" s="27">
        <f t="shared" si="56"/>
        <v>612</v>
      </c>
      <c r="AN269" s="28"/>
      <c r="AO269" s="20">
        <v>1766</v>
      </c>
      <c r="AP269" s="46"/>
      <c r="AQ269" s="110">
        <f t="shared" si="48"/>
        <v>-340</v>
      </c>
    </row>
    <row r="270" spans="1:43" x14ac:dyDescent="0.2">
      <c r="A270" s="14" t="s">
        <v>58</v>
      </c>
      <c r="B270" s="13" t="s">
        <v>57</v>
      </c>
      <c r="C270" s="45">
        <v>0</v>
      </c>
      <c r="D270" s="45">
        <v>500</v>
      </c>
      <c r="E270" s="45"/>
      <c r="F270" s="45">
        <v>0</v>
      </c>
      <c r="G270" s="45">
        <v>0</v>
      </c>
      <c r="H270" s="45"/>
      <c r="I270" s="45">
        <v>0</v>
      </c>
      <c r="J270" s="45">
        <v>0</v>
      </c>
      <c r="K270" s="45"/>
      <c r="L270" s="45">
        <v>420.94</v>
      </c>
      <c r="M270" s="45">
        <v>0</v>
      </c>
      <c r="N270" s="45"/>
      <c r="O270" s="45"/>
      <c r="P270" s="45"/>
      <c r="Q270" s="45"/>
      <c r="R270" s="45"/>
      <c r="S270" s="45"/>
      <c r="T270" s="45"/>
      <c r="U270" s="45"/>
      <c r="V270" s="45"/>
      <c r="W270" s="45"/>
      <c r="X270" s="45"/>
      <c r="Y270" s="45"/>
      <c r="Z270" s="45"/>
      <c r="AA270" s="45"/>
      <c r="AB270" s="45"/>
      <c r="AC270" s="45"/>
      <c r="AD270" s="45"/>
      <c r="AE270" s="45"/>
      <c r="AF270" s="45"/>
      <c r="AG270" s="45"/>
      <c r="AH270" s="45"/>
      <c r="AI270" s="45"/>
      <c r="AJ270" s="45"/>
      <c r="AK270" s="45"/>
      <c r="AL270" s="27">
        <f t="shared" si="55"/>
        <v>420.94</v>
      </c>
      <c r="AM270" s="27">
        <f t="shared" si="56"/>
        <v>500</v>
      </c>
      <c r="AN270" s="28"/>
      <c r="AO270" s="20">
        <v>1000</v>
      </c>
      <c r="AP270" s="46"/>
      <c r="AQ270" s="110">
        <f t="shared" si="48"/>
        <v>0</v>
      </c>
    </row>
    <row r="271" spans="1:43" x14ac:dyDescent="0.2">
      <c r="A271" s="14" t="s">
        <v>56</v>
      </c>
      <c r="B271" s="13" t="s">
        <v>35</v>
      </c>
      <c r="C271" s="45">
        <v>247.7</v>
      </c>
      <c r="D271" s="45">
        <v>258</v>
      </c>
      <c r="E271" s="45"/>
      <c r="F271" s="45">
        <v>247.7</v>
      </c>
      <c r="G271" s="45">
        <v>258</v>
      </c>
      <c r="H271" s="45"/>
      <c r="I271" s="45">
        <v>247.7</v>
      </c>
      <c r="J271" s="45">
        <v>258</v>
      </c>
      <c r="K271" s="45"/>
      <c r="L271" s="45">
        <v>247.7</v>
      </c>
      <c r="M271" s="45">
        <v>387</v>
      </c>
      <c r="N271" s="45"/>
      <c r="O271" s="45"/>
      <c r="P271" s="45"/>
      <c r="Q271" s="45"/>
      <c r="R271" s="45"/>
      <c r="S271" s="45"/>
      <c r="T271" s="45"/>
      <c r="U271" s="45"/>
      <c r="V271" s="45"/>
      <c r="W271" s="45"/>
      <c r="X271" s="45"/>
      <c r="Y271" s="45"/>
      <c r="Z271" s="45"/>
      <c r="AA271" s="45"/>
      <c r="AB271" s="45"/>
      <c r="AC271" s="45"/>
      <c r="AD271" s="45"/>
      <c r="AE271" s="45"/>
      <c r="AF271" s="45"/>
      <c r="AG271" s="45"/>
      <c r="AH271" s="45"/>
      <c r="AI271" s="45"/>
      <c r="AJ271" s="45"/>
      <c r="AK271" s="45"/>
      <c r="AL271" s="27">
        <f t="shared" si="55"/>
        <v>990.8</v>
      </c>
      <c r="AM271" s="27">
        <f t="shared" si="56"/>
        <v>1161</v>
      </c>
      <c r="AN271" s="28"/>
      <c r="AO271" s="20">
        <v>3350</v>
      </c>
      <c r="AP271" s="47"/>
      <c r="AQ271" s="110">
        <f t="shared" ref="AQ271:AQ332" si="59">+D271+G271-AM271</f>
        <v>-645</v>
      </c>
    </row>
    <row r="272" spans="1:43" x14ac:dyDescent="0.2">
      <c r="A272" s="14">
        <v>6040300</v>
      </c>
      <c r="B272" s="13" t="s">
        <v>34</v>
      </c>
      <c r="C272" s="45">
        <v>384.25</v>
      </c>
      <c r="D272" s="45">
        <v>0</v>
      </c>
      <c r="E272" s="45"/>
      <c r="F272" s="45">
        <v>1537.72</v>
      </c>
      <c r="G272" s="45">
        <v>1818</v>
      </c>
      <c r="H272" s="45"/>
      <c r="I272" s="45">
        <v>1904.28</v>
      </c>
      <c r="J272" s="45">
        <v>1818</v>
      </c>
      <c r="K272" s="45"/>
      <c r="L272" s="45">
        <v>2064.75</v>
      </c>
      <c r="M272" s="45">
        <v>2728</v>
      </c>
      <c r="N272" s="45"/>
      <c r="O272" s="45"/>
      <c r="P272" s="45"/>
      <c r="Q272" s="45"/>
      <c r="R272" s="45"/>
      <c r="S272" s="45"/>
      <c r="T272" s="45"/>
      <c r="U272" s="45"/>
      <c r="V272" s="45"/>
      <c r="W272" s="45"/>
      <c r="X272" s="45"/>
      <c r="Y272" s="45"/>
      <c r="Z272" s="45"/>
      <c r="AA272" s="45"/>
      <c r="AB272" s="45"/>
      <c r="AC272" s="45"/>
      <c r="AD272" s="45"/>
      <c r="AE272" s="45"/>
      <c r="AF272" s="45"/>
      <c r="AG272" s="45"/>
      <c r="AH272" s="45"/>
      <c r="AI272" s="45"/>
      <c r="AJ272" s="45"/>
      <c r="AK272" s="45"/>
      <c r="AL272" s="27">
        <f t="shared" si="55"/>
        <v>5891</v>
      </c>
      <c r="AM272" s="27">
        <f t="shared" si="56"/>
        <v>6364</v>
      </c>
      <c r="AN272" s="28"/>
      <c r="AO272" s="20">
        <v>10000</v>
      </c>
      <c r="AP272" s="46"/>
      <c r="AQ272" s="110">
        <f t="shared" si="59"/>
        <v>-4546</v>
      </c>
    </row>
    <row r="273" spans="1:43" x14ac:dyDescent="0.2">
      <c r="A273" s="14">
        <v>6040310</v>
      </c>
      <c r="B273" s="13" t="s">
        <v>33</v>
      </c>
      <c r="C273" s="45">
        <v>29.44</v>
      </c>
      <c r="D273" s="45">
        <v>0</v>
      </c>
      <c r="E273" s="45"/>
      <c r="F273" s="45">
        <v>117.82</v>
      </c>
      <c r="G273" s="45">
        <v>182</v>
      </c>
      <c r="H273" s="45"/>
      <c r="I273" s="45">
        <v>145.91</v>
      </c>
      <c r="J273" s="45">
        <v>182</v>
      </c>
      <c r="K273" s="45"/>
      <c r="L273" s="45">
        <v>158.19999999999999</v>
      </c>
      <c r="M273" s="45">
        <v>272</v>
      </c>
      <c r="N273" s="45"/>
      <c r="O273" s="45"/>
      <c r="P273" s="45"/>
      <c r="Q273" s="45"/>
      <c r="R273" s="45"/>
      <c r="S273" s="45"/>
      <c r="T273" s="45"/>
      <c r="U273" s="45"/>
      <c r="V273" s="45"/>
      <c r="W273" s="45"/>
      <c r="X273" s="45"/>
      <c r="Y273" s="45"/>
      <c r="Z273" s="45"/>
      <c r="AA273" s="45"/>
      <c r="AB273" s="45"/>
      <c r="AC273" s="45"/>
      <c r="AD273" s="45"/>
      <c r="AE273" s="45"/>
      <c r="AF273" s="45"/>
      <c r="AG273" s="45"/>
      <c r="AH273" s="45"/>
      <c r="AI273" s="45"/>
      <c r="AJ273" s="45"/>
      <c r="AK273" s="45"/>
      <c r="AL273" s="27">
        <f t="shared" si="55"/>
        <v>451.36999999999995</v>
      </c>
      <c r="AM273" s="27">
        <f t="shared" si="56"/>
        <v>636</v>
      </c>
      <c r="AN273" s="28"/>
      <c r="AO273" s="20">
        <v>1000</v>
      </c>
      <c r="AP273" s="46"/>
      <c r="AQ273" s="110">
        <f t="shared" si="59"/>
        <v>-454</v>
      </c>
    </row>
    <row r="274" spans="1:43" x14ac:dyDescent="0.2">
      <c r="A274" s="14">
        <v>6040350</v>
      </c>
      <c r="B274" s="13" t="s">
        <v>31</v>
      </c>
      <c r="C274" s="45">
        <v>13.44</v>
      </c>
      <c r="D274" s="45">
        <v>24</v>
      </c>
      <c r="E274" s="45"/>
      <c r="F274" s="45">
        <v>13.44</v>
      </c>
      <c r="G274" s="45">
        <v>24</v>
      </c>
      <c r="H274" s="45"/>
      <c r="I274" s="45">
        <v>13.44</v>
      </c>
      <c r="J274" s="45">
        <v>24</v>
      </c>
      <c r="K274" s="45"/>
      <c r="L274" s="45">
        <v>13.44</v>
      </c>
      <c r="M274" s="45">
        <v>36</v>
      </c>
      <c r="N274" s="45"/>
      <c r="O274" s="45"/>
      <c r="P274" s="45"/>
      <c r="Q274" s="45"/>
      <c r="R274" s="45"/>
      <c r="S274" s="45"/>
      <c r="T274" s="45"/>
      <c r="U274" s="45"/>
      <c r="V274" s="45"/>
      <c r="W274" s="45"/>
      <c r="X274" s="45"/>
      <c r="Y274" s="45"/>
      <c r="Z274" s="45"/>
      <c r="AA274" s="45"/>
      <c r="AB274" s="45"/>
      <c r="AC274" s="45"/>
      <c r="AD274" s="45"/>
      <c r="AE274" s="45"/>
      <c r="AF274" s="45"/>
      <c r="AG274" s="45"/>
      <c r="AH274" s="45"/>
      <c r="AI274" s="45"/>
      <c r="AJ274" s="45"/>
      <c r="AK274" s="45"/>
      <c r="AL274" s="27">
        <f t="shared" si="55"/>
        <v>53.76</v>
      </c>
      <c r="AM274" s="27">
        <f t="shared" si="56"/>
        <v>108</v>
      </c>
      <c r="AN274" s="28"/>
      <c r="AO274" s="20">
        <v>308</v>
      </c>
      <c r="AP274" s="46"/>
      <c r="AQ274" s="110">
        <f t="shared" si="59"/>
        <v>-60</v>
      </c>
    </row>
    <row r="275" spans="1:43" x14ac:dyDescent="0.2">
      <c r="A275" s="14" t="s">
        <v>55</v>
      </c>
      <c r="B275" s="13" t="s">
        <v>29</v>
      </c>
      <c r="C275" s="45">
        <v>431.41</v>
      </c>
      <c r="D275" s="45">
        <v>250</v>
      </c>
      <c r="E275" s="45"/>
      <c r="F275" s="45">
        <v>159.47</v>
      </c>
      <c r="G275" s="45">
        <v>250</v>
      </c>
      <c r="H275" s="45"/>
      <c r="I275" s="45">
        <v>228.32</v>
      </c>
      <c r="J275" s="45">
        <v>250</v>
      </c>
      <c r="K275" s="45"/>
      <c r="L275" s="45">
        <v>350.44</v>
      </c>
      <c r="M275" s="45">
        <v>250</v>
      </c>
      <c r="N275" s="45"/>
      <c r="O275" s="45"/>
      <c r="P275" s="45"/>
      <c r="Q275" s="45"/>
      <c r="R275" s="45"/>
      <c r="S275" s="45"/>
      <c r="T275" s="45"/>
      <c r="U275" s="45"/>
      <c r="V275" s="45"/>
      <c r="W275" s="45"/>
      <c r="X275" s="45"/>
      <c r="Y275" s="45"/>
      <c r="Z275" s="45"/>
      <c r="AA275" s="45"/>
      <c r="AB275" s="45"/>
      <c r="AC275" s="45"/>
      <c r="AD275" s="45"/>
      <c r="AE275" s="45"/>
      <c r="AF275" s="45"/>
      <c r="AG275" s="45"/>
      <c r="AH275" s="45"/>
      <c r="AI275" s="45"/>
      <c r="AJ275" s="45"/>
      <c r="AK275" s="45"/>
      <c r="AL275" s="27">
        <f t="shared" si="55"/>
        <v>1169.6400000000001</v>
      </c>
      <c r="AM275" s="27">
        <f t="shared" si="56"/>
        <v>1000</v>
      </c>
      <c r="AN275" s="28"/>
      <c r="AO275" s="20">
        <v>3000</v>
      </c>
      <c r="AP275" s="46"/>
      <c r="AQ275" s="110">
        <f t="shared" si="59"/>
        <v>-500</v>
      </c>
    </row>
    <row r="276" spans="1:43" x14ac:dyDescent="0.2">
      <c r="A276" s="14" t="s">
        <v>54</v>
      </c>
      <c r="B276" s="13" t="s">
        <v>25</v>
      </c>
      <c r="C276" s="45">
        <v>0</v>
      </c>
      <c r="D276" s="45">
        <v>125</v>
      </c>
      <c r="E276" s="45"/>
      <c r="F276" s="45">
        <v>0</v>
      </c>
      <c r="G276" s="45">
        <v>125</v>
      </c>
      <c r="H276" s="45"/>
      <c r="I276" s="45">
        <v>0</v>
      </c>
      <c r="J276" s="45">
        <v>125</v>
      </c>
      <c r="K276" s="45"/>
      <c r="L276" s="45">
        <v>0</v>
      </c>
      <c r="M276" s="45">
        <v>125</v>
      </c>
      <c r="N276" s="45"/>
      <c r="O276" s="45"/>
      <c r="P276" s="45"/>
      <c r="Q276" s="45"/>
      <c r="R276" s="45"/>
      <c r="S276" s="45"/>
      <c r="T276" s="45"/>
      <c r="U276" s="45"/>
      <c r="V276" s="45"/>
      <c r="W276" s="45"/>
      <c r="X276" s="45"/>
      <c r="Y276" s="45"/>
      <c r="Z276" s="45"/>
      <c r="AA276" s="45"/>
      <c r="AB276" s="45"/>
      <c r="AC276" s="45"/>
      <c r="AD276" s="45"/>
      <c r="AE276" s="45"/>
      <c r="AF276" s="45"/>
      <c r="AG276" s="45"/>
      <c r="AH276" s="45"/>
      <c r="AI276" s="45"/>
      <c r="AJ276" s="45"/>
      <c r="AK276" s="45"/>
      <c r="AL276" s="27">
        <f t="shared" si="55"/>
        <v>0</v>
      </c>
      <c r="AM276" s="27">
        <f t="shared" si="56"/>
        <v>500</v>
      </c>
      <c r="AN276" s="28"/>
      <c r="AO276" s="20">
        <v>1500</v>
      </c>
      <c r="AP276" s="46"/>
      <c r="AQ276" s="110">
        <f t="shared" si="59"/>
        <v>-250</v>
      </c>
    </row>
    <row r="277" spans="1:43" x14ac:dyDescent="0.2">
      <c r="A277" s="14" t="s">
        <v>53</v>
      </c>
      <c r="B277" s="13" t="s">
        <v>23</v>
      </c>
      <c r="C277" s="45">
        <v>509.25</v>
      </c>
      <c r="D277" s="45">
        <v>667</v>
      </c>
      <c r="E277" s="45"/>
      <c r="F277" s="45">
        <v>495.38</v>
      </c>
      <c r="G277" s="45">
        <v>667</v>
      </c>
      <c r="H277" s="45"/>
      <c r="I277" s="45">
        <v>431.72</v>
      </c>
      <c r="J277" s="45">
        <v>667</v>
      </c>
      <c r="K277" s="45"/>
      <c r="L277" s="45">
        <v>582.87</v>
      </c>
      <c r="M277" s="45">
        <v>667</v>
      </c>
      <c r="N277" s="45"/>
      <c r="O277" s="45"/>
      <c r="P277" s="45"/>
      <c r="Q277" s="45"/>
      <c r="R277" s="45"/>
      <c r="S277" s="45"/>
      <c r="T277" s="45"/>
      <c r="U277" s="45"/>
      <c r="V277" s="45"/>
      <c r="W277" s="45"/>
      <c r="X277" s="45"/>
      <c r="Y277" s="45"/>
      <c r="Z277" s="45"/>
      <c r="AA277" s="45"/>
      <c r="AB277" s="45"/>
      <c r="AC277" s="45"/>
      <c r="AD277" s="45"/>
      <c r="AE277" s="45"/>
      <c r="AF277" s="45"/>
      <c r="AG277" s="45"/>
      <c r="AH277" s="45"/>
      <c r="AI277" s="45"/>
      <c r="AJ277" s="45"/>
      <c r="AK277" s="45"/>
      <c r="AL277" s="27">
        <f t="shared" si="55"/>
        <v>2019.2199999999998</v>
      </c>
      <c r="AM277" s="27">
        <f t="shared" si="56"/>
        <v>2668</v>
      </c>
      <c r="AN277" s="28"/>
      <c r="AO277" s="20">
        <v>8000</v>
      </c>
      <c r="AP277" s="46"/>
      <c r="AQ277" s="110">
        <f t="shared" si="59"/>
        <v>-1334</v>
      </c>
    </row>
    <row r="278" spans="1:43" x14ac:dyDescent="0.2">
      <c r="A278" s="14" t="s">
        <v>52</v>
      </c>
      <c r="B278" s="13" t="s">
        <v>51</v>
      </c>
      <c r="C278" s="45">
        <v>0</v>
      </c>
      <c r="D278" s="45">
        <v>42</v>
      </c>
      <c r="E278" s="45"/>
      <c r="F278" s="45">
        <v>0</v>
      </c>
      <c r="G278" s="45">
        <v>41</v>
      </c>
      <c r="H278" s="45"/>
      <c r="I278" s="45">
        <v>15.99</v>
      </c>
      <c r="J278" s="45">
        <v>42</v>
      </c>
      <c r="K278" s="45"/>
      <c r="L278" s="45">
        <v>109.29</v>
      </c>
      <c r="M278" s="45">
        <v>42</v>
      </c>
      <c r="N278" s="45"/>
      <c r="O278" s="45"/>
      <c r="P278" s="45"/>
      <c r="Q278" s="45"/>
      <c r="R278" s="45"/>
      <c r="S278" s="45"/>
      <c r="T278" s="45"/>
      <c r="U278" s="45"/>
      <c r="V278" s="45"/>
      <c r="W278" s="45"/>
      <c r="X278" s="45"/>
      <c r="Y278" s="45"/>
      <c r="Z278" s="45"/>
      <c r="AA278" s="45"/>
      <c r="AB278" s="45"/>
      <c r="AC278" s="45"/>
      <c r="AD278" s="45"/>
      <c r="AE278" s="45"/>
      <c r="AF278" s="45"/>
      <c r="AG278" s="45"/>
      <c r="AH278" s="45"/>
      <c r="AI278" s="45"/>
      <c r="AJ278" s="45"/>
      <c r="AK278" s="45"/>
      <c r="AL278" s="27">
        <f t="shared" si="55"/>
        <v>125.28</v>
      </c>
      <c r="AM278" s="27">
        <f t="shared" si="56"/>
        <v>167</v>
      </c>
      <c r="AN278" s="28"/>
      <c r="AO278" s="20">
        <v>500</v>
      </c>
      <c r="AP278" s="46"/>
      <c r="AQ278" s="110">
        <f t="shared" si="59"/>
        <v>-84</v>
      </c>
    </row>
    <row r="279" spans="1:43" x14ac:dyDescent="0.2">
      <c r="A279" s="14" t="s">
        <v>50</v>
      </c>
      <c r="B279" s="13" t="s">
        <v>13</v>
      </c>
      <c r="C279" s="45">
        <v>47.78</v>
      </c>
      <c r="D279" s="45">
        <v>417</v>
      </c>
      <c r="E279" s="45"/>
      <c r="F279" s="45">
        <v>14.97</v>
      </c>
      <c r="G279" s="45">
        <v>417</v>
      </c>
      <c r="H279" s="45"/>
      <c r="I279" s="45">
        <v>249.77</v>
      </c>
      <c r="J279" s="45">
        <v>417</v>
      </c>
      <c r="K279" s="45"/>
      <c r="L279" s="45">
        <v>786.86</v>
      </c>
      <c r="M279" s="45">
        <v>417</v>
      </c>
      <c r="N279" s="45"/>
      <c r="O279" s="45"/>
      <c r="P279" s="45"/>
      <c r="Q279" s="45"/>
      <c r="R279" s="45"/>
      <c r="S279" s="45"/>
      <c r="T279" s="45"/>
      <c r="U279" s="45"/>
      <c r="V279" s="45"/>
      <c r="W279" s="45"/>
      <c r="X279" s="45"/>
      <c r="Y279" s="45"/>
      <c r="Z279" s="45"/>
      <c r="AA279" s="45"/>
      <c r="AB279" s="45"/>
      <c r="AC279" s="45"/>
      <c r="AD279" s="45"/>
      <c r="AE279" s="45"/>
      <c r="AF279" s="45"/>
      <c r="AG279" s="45"/>
      <c r="AH279" s="45"/>
      <c r="AI279" s="45"/>
      <c r="AJ279" s="45"/>
      <c r="AK279" s="45"/>
      <c r="AL279" s="27">
        <f t="shared" si="55"/>
        <v>1099.3800000000001</v>
      </c>
      <c r="AM279" s="27">
        <f t="shared" si="56"/>
        <v>1668</v>
      </c>
      <c r="AN279" s="28"/>
      <c r="AO279" s="20">
        <v>5000</v>
      </c>
      <c r="AP279" s="46"/>
      <c r="AQ279" s="110">
        <f t="shared" si="59"/>
        <v>-834</v>
      </c>
    </row>
    <row r="280" spans="1:43" x14ac:dyDescent="0.2">
      <c r="A280" s="14" t="s">
        <v>49</v>
      </c>
      <c r="B280" s="13" t="s">
        <v>9</v>
      </c>
      <c r="C280" s="45">
        <v>0</v>
      </c>
      <c r="D280" s="45">
        <v>13</v>
      </c>
      <c r="E280" s="45"/>
      <c r="F280" s="45">
        <v>0</v>
      </c>
      <c r="G280" s="45">
        <v>12</v>
      </c>
      <c r="H280" s="45"/>
      <c r="I280" s="45">
        <v>0</v>
      </c>
      <c r="J280" s="45">
        <v>12</v>
      </c>
      <c r="K280" s="45"/>
      <c r="L280" s="45">
        <v>0</v>
      </c>
      <c r="M280" s="45">
        <v>12</v>
      </c>
      <c r="N280" s="45"/>
      <c r="O280" s="45"/>
      <c r="P280" s="45"/>
      <c r="Q280" s="45"/>
      <c r="R280" s="45"/>
      <c r="S280" s="45"/>
      <c r="T280" s="45"/>
      <c r="U280" s="45"/>
      <c r="V280" s="45"/>
      <c r="W280" s="45"/>
      <c r="X280" s="45"/>
      <c r="Y280" s="45"/>
      <c r="Z280" s="45"/>
      <c r="AA280" s="45"/>
      <c r="AB280" s="45"/>
      <c r="AC280" s="45"/>
      <c r="AD280" s="45"/>
      <c r="AE280" s="45"/>
      <c r="AF280" s="45"/>
      <c r="AG280" s="45"/>
      <c r="AH280" s="45"/>
      <c r="AI280" s="45"/>
      <c r="AJ280" s="45"/>
      <c r="AK280" s="45"/>
      <c r="AL280" s="27">
        <f t="shared" si="55"/>
        <v>0</v>
      </c>
      <c r="AM280" s="27">
        <f t="shared" si="56"/>
        <v>49</v>
      </c>
      <c r="AN280" s="28"/>
      <c r="AO280" s="20">
        <v>150</v>
      </c>
      <c r="AP280" s="46"/>
      <c r="AQ280" s="110">
        <f t="shared" si="59"/>
        <v>-24</v>
      </c>
    </row>
    <row r="281" spans="1:43" x14ac:dyDescent="0.2">
      <c r="A281" s="14" t="s">
        <v>48</v>
      </c>
      <c r="B281" s="13" t="s">
        <v>6</v>
      </c>
      <c r="C281" s="45">
        <v>0</v>
      </c>
      <c r="D281" s="45">
        <v>208</v>
      </c>
      <c r="E281" s="45"/>
      <c r="F281" s="45">
        <v>48.76</v>
      </c>
      <c r="G281" s="45">
        <v>208</v>
      </c>
      <c r="H281" s="45"/>
      <c r="I281" s="45">
        <v>41.65</v>
      </c>
      <c r="J281" s="45">
        <v>209</v>
      </c>
      <c r="K281" s="45"/>
      <c r="L281" s="45">
        <v>0</v>
      </c>
      <c r="M281" s="45">
        <v>208</v>
      </c>
      <c r="N281" s="45"/>
      <c r="O281" s="45"/>
      <c r="P281" s="45"/>
      <c r="Q281" s="45"/>
      <c r="R281" s="45"/>
      <c r="S281" s="45"/>
      <c r="T281" s="45"/>
      <c r="U281" s="45"/>
      <c r="V281" s="45"/>
      <c r="W281" s="45"/>
      <c r="X281" s="45"/>
      <c r="Y281" s="45"/>
      <c r="Z281" s="45"/>
      <c r="AA281" s="45"/>
      <c r="AB281" s="45"/>
      <c r="AC281" s="45"/>
      <c r="AD281" s="45"/>
      <c r="AE281" s="45"/>
      <c r="AF281" s="45"/>
      <c r="AG281" s="45"/>
      <c r="AH281" s="45"/>
      <c r="AI281" s="45"/>
      <c r="AJ281" s="45"/>
      <c r="AK281" s="45"/>
      <c r="AL281" s="27">
        <f t="shared" si="55"/>
        <v>90.41</v>
      </c>
      <c r="AM281" s="27">
        <f t="shared" si="56"/>
        <v>833</v>
      </c>
      <c r="AN281" s="28"/>
      <c r="AO281" s="20">
        <v>2500</v>
      </c>
      <c r="AP281" s="46"/>
      <c r="AQ281" s="110">
        <f t="shared" si="59"/>
        <v>-417</v>
      </c>
    </row>
    <row r="282" spans="1:43" x14ac:dyDescent="0.2">
      <c r="A282" s="14">
        <v>6042000</v>
      </c>
      <c r="B282" s="13" t="s">
        <v>47</v>
      </c>
      <c r="C282" s="45">
        <v>0</v>
      </c>
      <c r="D282" s="45">
        <v>417</v>
      </c>
      <c r="E282" s="45"/>
      <c r="F282" s="45">
        <v>0</v>
      </c>
      <c r="G282" s="45">
        <v>417</v>
      </c>
      <c r="H282" s="45"/>
      <c r="I282" s="45">
        <v>0</v>
      </c>
      <c r="J282" s="45">
        <v>417</v>
      </c>
      <c r="K282" s="45"/>
      <c r="L282" s="45">
        <v>0</v>
      </c>
      <c r="M282" s="45">
        <v>417</v>
      </c>
      <c r="N282" s="45"/>
      <c r="O282" s="45"/>
      <c r="P282" s="45"/>
      <c r="Q282" s="45"/>
      <c r="R282" s="45"/>
      <c r="S282" s="45"/>
      <c r="T282" s="45"/>
      <c r="U282" s="45"/>
      <c r="V282" s="45"/>
      <c r="W282" s="45"/>
      <c r="X282" s="45"/>
      <c r="Y282" s="45"/>
      <c r="Z282" s="45"/>
      <c r="AA282" s="45"/>
      <c r="AB282" s="45"/>
      <c r="AC282" s="45"/>
      <c r="AD282" s="45"/>
      <c r="AE282" s="45"/>
      <c r="AF282" s="45"/>
      <c r="AG282" s="45"/>
      <c r="AH282" s="45"/>
      <c r="AI282" s="45"/>
      <c r="AJ282" s="45"/>
      <c r="AK282" s="45"/>
      <c r="AL282" s="27">
        <f t="shared" si="55"/>
        <v>0</v>
      </c>
      <c r="AM282" s="27">
        <f t="shared" si="56"/>
        <v>1668</v>
      </c>
      <c r="AN282" s="28"/>
      <c r="AO282" s="20">
        <v>5000</v>
      </c>
      <c r="AP282" s="46"/>
      <c r="AQ282" s="110">
        <f t="shared" si="59"/>
        <v>-834</v>
      </c>
    </row>
    <row r="283" spans="1:43" x14ac:dyDescent="0.2">
      <c r="A283" s="14">
        <v>6042050</v>
      </c>
      <c r="B283" s="13" t="s">
        <v>375</v>
      </c>
      <c r="C283" s="45">
        <v>0</v>
      </c>
      <c r="D283" s="45">
        <v>0</v>
      </c>
      <c r="E283" s="45"/>
      <c r="F283" s="45">
        <v>0</v>
      </c>
      <c r="G283" s="45">
        <v>0</v>
      </c>
      <c r="H283" s="45"/>
      <c r="I283" s="45">
        <v>0</v>
      </c>
      <c r="J283" s="45">
        <v>0</v>
      </c>
      <c r="K283" s="45"/>
      <c r="L283" s="45">
        <v>0</v>
      </c>
      <c r="M283" s="45">
        <v>0</v>
      </c>
      <c r="N283" s="45"/>
      <c r="O283" s="45"/>
      <c r="P283" s="45"/>
      <c r="Q283" s="45"/>
      <c r="R283" s="45"/>
      <c r="S283" s="45"/>
      <c r="T283" s="45"/>
      <c r="U283" s="45"/>
      <c r="V283" s="45"/>
      <c r="W283" s="45"/>
      <c r="X283" s="45"/>
      <c r="Y283" s="45"/>
      <c r="Z283" s="45"/>
      <c r="AA283" s="45"/>
      <c r="AB283" s="45"/>
      <c r="AC283" s="45"/>
      <c r="AD283" s="45"/>
      <c r="AE283" s="45"/>
      <c r="AF283" s="45"/>
      <c r="AG283" s="45"/>
      <c r="AH283" s="45"/>
      <c r="AI283" s="45"/>
      <c r="AJ283" s="45"/>
      <c r="AK283" s="45"/>
      <c r="AL283" s="27">
        <f t="shared" si="55"/>
        <v>0</v>
      </c>
      <c r="AM283" s="27">
        <f t="shared" si="56"/>
        <v>0</v>
      </c>
      <c r="AN283" s="28"/>
      <c r="AO283" s="20">
        <v>0</v>
      </c>
      <c r="AP283" s="46"/>
      <c r="AQ283" s="110">
        <f t="shared" si="59"/>
        <v>0</v>
      </c>
    </row>
    <row r="284" spans="1:43" x14ac:dyDescent="0.2">
      <c r="A284" s="14"/>
      <c r="B284" s="13"/>
      <c r="C284" s="28"/>
      <c r="D284" s="28"/>
      <c r="E284" s="28"/>
      <c r="F284" s="28"/>
      <c r="G284" s="28"/>
      <c r="H284" s="28"/>
      <c r="I284" s="28"/>
      <c r="J284" s="28"/>
      <c r="K284" s="28"/>
      <c r="L284" s="28"/>
      <c r="M284" s="28"/>
      <c r="N284" s="28"/>
      <c r="O284" s="28"/>
      <c r="P284" s="28"/>
      <c r="Q284" s="28"/>
      <c r="R284" s="28"/>
      <c r="S284" s="28"/>
      <c r="T284" s="28"/>
      <c r="U284" s="28"/>
      <c r="V284" s="28"/>
      <c r="W284" s="28"/>
      <c r="X284" s="28"/>
      <c r="Y284" s="28"/>
      <c r="Z284" s="28"/>
      <c r="AA284" s="28"/>
      <c r="AB284" s="28"/>
      <c r="AC284" s="28"/>
      <c r="AD284" s="28"/>
      <c r="AE284" s="28"/>
      <c r="AF284" s="28"/>
      <c r="AG284" s="28"/>
      <c r="AH284" s="28"/>
      <c r="AI284" s="28"/>
      <c r="AJ284" s="28"/>
      <c r="AK284" s="28"/>
      <c r="AL284" s="28"/>
      <c r="AM284" s="28"/>
      <c r="AN284" s="28"/>
      <c r="AO284" s="20"/>
      <c r="AP284" s="46"/>
      <c r="AQ284" s="110">
        <f t="shared" si="59"/>
        <v>0</v>
      </c>
    </row>
    <row r="285" spans="1:43" x14ac:dyDescent="0.2">
      <c r="A285" s="18"/>
      <c r="B285" s="17" t="s">
        <v>46</v>
      </c>
      <c r="C285" s="31">
        <f>SUM(C265:C283)</f>
        <v>17389.98</v>
      </c>
      <c r="D285" s="31">
        <f>SUM(D265:D283)</f>
        <v>19010</v>
      </c>
      <c r="E285" s="34"/>
      <c r="F285" s="31">
        <f>SUM(F265:F283)</f>
        <v>19078.960000000003</v>
      </c>
      <c r="G285" s="31">
        <f>SUM(G265:G283)</f>
        <v>20509</v>
      </c>
      <c r="H285" s="34"/>
      <c r="I285" s="31">
        <f>SUM(I265:I283)</f>
        <v>18094.840000000004</v>
      </c>
      <c r="J285" s="31">
        <f>SUM(J265:J283)</f>
        <v>20512</v>
      </c>
      <c r="K285" s="34"/>
      <c r="L285" s="31">
        <f>SUM(L265:L283)</f>
        <v>24930.75</v>
      </c>
      <c r="M285" s="31">
        <f>SUM(M265:M283)</f>
        <v>26237</v>
      </c>
      <c r="N285" s="34"/>
      <c r="O285" s="31">
        <f>SUM(O265:O282)</f>
        <v>0</v>
      </c>
      <c r="P285" s="31">
        <f>SUM(P265:P282)</f>
        <v>0</v>
      </c>
      <c r="Q285" s="34"/>
      <c r="R285" s="31">
        <f>SUM(R265:R283)</f>
        <v>0</v>
      </c>
      <c r="S285" s="31">
        <f>SUM(S265:S283)</f>
        <v>0</v>
      </c>
      <c r="T285" s="34"/>
      <c r="U285" s="31">
        <f>SUM(U265:U283)</f>
        <v>0</v>
      </c>
      <c r="V285" s="31">
        <f>SUM(V265:V283)</f>
        <v>0</v>
      </c>
      <c r="W285" s="34"/>
      <c r="X285" s="31">
        <f>SUM(X265:X283)</f>
        <v>0</v>
      </c>
      <c r="Y285" s="31">
        <f>SUM(Y265:Y283)</f>
        <v>0</v>
      </c>
      <c r="Z285" s="34"/>
      <c r="AA285" s="31">
        <f>SUM(AA265:AA283)</f>
        <v>0</v>
      </c>
      <c r="AB285" s="31">
        <f>SUM(AB265:AB283)</f>
        <v>0</v>
      </c>
      <c r="AC285" s="34"/>
      <c r="AD285" s="31">
        <f>SUM(AD265:AD283)</f>
        <v>0</v>
      </c>
      <c r="AE285" s="31">
        <f>SUM(AE265:AE283)</f>
        <v>0</v>
      </c>
      <c r="AF285" s="34"/>
      <c r="AG285" s="31">
        <f>SUM(AG265:AG283)</f>
        <v>0</v>
      </c>
      <c r="AH285" s="31">
        <f>SUM(AH265:AH283)</f>
        <v>0</v>
      </c>
      <c r="AI285" s="34"/>
      <c r="AJ285" s="31">
        <f>SUM(AJ265:AJ283)</f>
        <v>0</v>
      </c>
      <c r="AK285" s="31">
        <f>SUM(AK265:AK283)</f>
        <v>0</v>
      </c>
      <c r="AL285" s="31">
        <f>SUM(AL265:AL283)</f>
        <v>79494.530000000013</v>
      </c>
      <c r="AM285" s="31">
        <f>SUM(AM265:AM283)</f>
        <v>86268</v>
      </c>
      <c r="AN285" s="34"/>
      <c r="AO285" s="31">
        <f>SUM(AO265:AO283)</f>
        <v>243558</v>
      </c>
      <c r="AP285" s="46"/>
      <c r="AQ285" s="110">
        <f t="shared" si="59"/>
        <v>-46749</v>
      </c>
    </row>
    <row r="286" spans="1:43" x14ac:dyDescent="0.2">
      <c r="A286" s="12"/>
      <c r="B286" s="11"/>
      <c r="C286" s="20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  <c r="AF286" s="20"/>
      <c r="AG286" s="20"/>
      <c r="AH286" s="20"/>
      <c r="AI286" s="20"/>
      <c r="AJ286" s="20"/>
      <c r="AK286" s="20"/>
      <c r="AL286" s="20"/>
      <c r="AM286" s="20"/>
      <c r="AN286" s="20"/>
      <c r="AO286" s="20"/>
      <c r="AP286" s="46"/>
      <c r="AQ286" s="110">
        <f t="shared" si="59"/>
        <v>0</v>
      </c>
    </row>
    <row r="287" spans="1:43" x14ac:dyDescent="0.2">
      <c r="A287" s="9" t="s">
        <v>4</v>
      </c>
      <c r="B287" s="8" t="s">
        <v>45</v>
      </c>
      <c r="C287" s="29">
        <f>C285+C263</f>
        <v>23934.79</v>
      </c>
      <c r="D287" s="29">
        <f>D285+D263</f>
        <v>27177</v>
      </c>
      <c r="E287" s="34"/>
      <c r="F287" s="29">
        <f>F285+F263</f>
        <v>46740.17</v>
      </c>
      <c r="G287" s="29">
        <f>G285+G263</f>
        <v>28675</v>
      </c>
      <c r="H287" s="34"/>
      <c r="I287" s="29">
        <f>I285+I263</f>
        <v>139805.79</v>
      </c>
      <c r="J287" s="29">
        <f>J285+J263</f>
        <v>28680</v>
      </c>
      <c r="K287" s="34"/>
      <c r="L287" s="29">
        <f>L285+L263</f>
        <v>44625.7</v>
      </c>
      <c r="M287" s="29">
        <f>M285+M263</f>
        <v>34403</v>
      </c>
      <c r="N287" s="34"/>
      <c r="O287" s="29">
        <f>O285+O263</f>
        <v>0</v>
      </c>
      <c r="P287" s="29">
        <f>P285+P263</f>
        <v>0</v>
      </c>
      <c r="Q287" s="34"/>
      <c r="R287" s="29">
        <f>R285+R263</f>
        <v>0</v>
      </c>
      <c r="S287" s="29">
        <f>S285+S263</f>
        <v>0</v>
      </c>
      <c r="T287" s="34"/>
      <c r="U287" s="29">
        <f>U285+U263</f>
        <v>0</v>
      </c>
      <c r="V287" s="29">
        <f>V285+V263</f>
        <v>0</v>
      </c>
      <c r="W287" s="34"/>
      <c r="X287" s="29">
        <f>X285+X263</f>
        <v>0</v>
      </c>
      <c r="Y287" s="29">
        <f>Y285+Y263</f>
        <v>0</v>
      </c>
      <c r="Z287" s="34"/>
      <c r="AA287" s="29">
        <f>AA285+AA263</f>
        <v>0</v>
      </c>
      <c r="AB287" s="29">
        <f>AB285+AB263</f>
        <v>0</v>
      </c>
      <c r="AC287" s="34"/>
      <c r="AD287" s="29">
        <f>AD285+AD263</f>
        <v>0</v>
      </c>
      <c r="AE287" s="29">
        <f>AE285+AE263</f>
        <v>0</v>
      </c>
      <c r="AF287" s="34"/>
      <c r="AG287" s="29">
        <f>AG285+AG263</f>
        <v>0</v>
      </c>
      <c r="AH287" s="29">
        <f>AH285+AH263</f>
        <v>0</v>
      </c>
      <c r="AI287" s="34"/>
      <c r="AJ287" s="29">
        <f>AJ285+AJ263</f>
        <v>0</v>
      </c>
      <c r="AK287" s="29">
        <f>AK285+AK263</f>
        <v>0</v>
      </c>
      <c r="AL287" s="29">
        <f>AL285+AL263</f>
        <v>255106.45</v>
      </c>
      <c r="AM287" s="29">
        <f>AM285+AM263</f>
        <v>118935</v>
      </c>
      <c r="AN287" s="34"/>
      <c r="AO287" s="29">
        <f>AO285+AO263</f>
        <v>341558</v>
      </c>
      <c r="AP287" s="46"/>
      <c r="AQ287" s="110">
        <f t="shared" si="59"/>
        <v>-63083</v>
      </c>
    </row>
    <row r="288" spans="1:43" x14ac:dyDescent="0.2"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50"/>
      <c r="AH288" s="50"/>
      <c r="AI288" s="50"/>
      <c r="AJ288" s="50"/>
      <c r="AK288" s="50"/>
      <c r="AL288" s="50"/>
      <c r="AM288" s="50"/>
      <c r="AN288" s="50"/>
      <c r="AO288" s="50"/>
      <c r="AP288" s="46"/>
      <c r="AQ288" s="110">
        <f t="shared" si="59"/>
        <v>0</v>
      </c>
    </row>
    <row r="289" spans="1:43" x14ac:dyDescent="0.2">
      <c r="A289" s="16" t="s">
        <v>44</v>
      </c>
      <c r="B289" s="15" t="s">
        <v>43</v>
      </c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51"/>
      <c r="AH289" s="51"/>
      <c r="AI289" s="51"/>
      <c r="AJ289" s="51"/>
      <c r="AK289" s="51"/>
      <c r="AL289" s="51"/>
      <c r="AM289" s="51"/>
      <c r="AN289" s="51"/>
      <c r="AO289" s="50"/>
      <c r="AP289" s="46"/>
      <c r="AQ289" s="110">
        <f t="shared" si="59"/>
        <v>0</v>
      </c>
    </row>
    <row r="290" spans="1:43" x14ac:dyDescent="0.2">
      <c r="A290" s="14" t="s">
        <v>42</v>
      </c>
      <c r="B290" s="13" t="s">
        <v>41</v>
      </c>
      <c r="C290" s="28">
        <v>1980.77</v>
      </c>
      <c r="D290" s="28">
        <v>2167</v>
      </c>
      <c r="E290" s="28"/>
      <c r="F290" s="28">
        <v>2000</v>
      </c>
      <c r="G290" s="28">
        <v>2167</v>
      </c>
      <c r="H290" s="28"/>
      <c r="I290" s="28">
        <v>2000</v>
      </c>
      <c r="J290" s="28">
        <v>2167</v>
      </c>
      <c r="K290" s="28"/>
      <c r="L290" s="28">
        <v>3000</v>
      </c>
      <c r="M290" s="28">
        <v>2167</v>
      </c>
      <c r="N290" s="28"/>
      <c r="O290" s="28"/>
      <c r="P290" s="28"/>
      <c r="Q290" s="28"/>
      <c r="R290" s="28"/>
      <c r="S290" s="28"/>
      <c r="T290" s="28"/>
      <c r="U290" s="28"/>
      <c r="V290" s="28"/>
      <c r="W290" s="28"/>
      <c r="X290" s="28"/>
      <c r="Y290" s="28"/>
      <c r="Z290" s="28"/>
      <c r="AA290" s="28"/>
      <c r="AB290" s="28"/>
      <c r="AC290" s="28"/>
      <c r="AD290" s="28"/>
      <c r="AE290" s="28"/>
      <c r="AF290" s="28"/>
      <c r="AG290" s="28"/>
      <c r="AH290" s="28"/>
      <c r="AI290" s="28"/>
      <c r="AJ290" s="28"/>
      <c r="AK290" s="28"/>
      <c r="AL290" s="27">
        <f t="shared" ref="AL290:AL315" si="60">+C290+F290+I290+L290+O290+R290+U290+X290+AA290+AD290+AG290+AJ290</f>
        <v>8980.77</v>
      </c>
      <c r="AM290" s="27">
        <f t="shared" ref="AM290:AM315" si="61">+D290+G290+J290+M290+P290+S290+V290+Y290+AB290+AE290+AH290+AK290</f>
        <v>8668</v>
      </c>
      <c r="AN290" s="28"/>
      <c r="AO290" s="20">
        <v>26000</v>
      </c>
      <c r="AP290" s="46"/>
      <c r="AQ290" s="110">
        <f t="shared" si="59"/>
        <v>-4334</v>
      </c>
    </row>
    <row r="291" spans="1:43" x14ac:dyDescent="0.2">
      <c r="A291" s="14" t="s">
        <v>40</v>
      </c>
      <c r="B291" s="13" t="s">
        <v>39</v>
      </c>
      <c r="C291" s="28">
        <v>151.77000000000001</v>
      </c>
      <c r="D291" s="28">
        <v>160</v>
      </c>
      <c r="E291" s="28"/>
      <c r="F291" s="28">
        <v>153.24</v>
      </c>
      <c r="G291" s="28">
        <v>160</v>
      </c>
      <c r="H291" s="28"/>
      <c r="I291" s="28">
        <v>153.21</v>
      </c>
      <c r="J291" s="28">
        <v>160</v>
      </c>
      <c r="K291" s="28"/>
      <c r="L291" s="28">
        <v>229.5</v>
      </c>
      <c r="M291" s="28">
        <v>240</v>
      </c>
      <c r="N291" s="28"/>
      <c r="O291" s="28"/>
      <c r="P291" s="28"/>
      <c r="Q291" s="28"/>
      <c r="R291" s="28"/>
      <c r="S291" s="28"/>
      <c r="T291" s="28"/>
      <c r="U291" s="28"/>
      <c r="V291" s="28"/>
      <c r="W291" s="28"/>
      <c r="X291" s="28"/>
      <c r="Y291" s="28"/>
      <c r="Z291" s="28"/>
      <c r="AA291" s="28"/>
      <c r="AB291" s="28"/>
      <c r="AC291" s="28"/>
      <c r="AD291" s="28"/>
      <c r="AE291" s="28"/>
      <c r="AF291" s="28"/>
      <c r="AG291" s="28"/>
      <c r="AH291" s="28"/>
      <c r="AI291" s="28"/>
      <c r="AJ291" s="28"/>
      <c r="AK291" s="28"/>
      <c r="AL291" s="27">
        <f t="shared" si="60"/>
        <v>687.72</v>
      </c>
      <c r="AM291" s="27">
        <f t="shared" si="61"/>
        <v>720</v>
      </c>
      <c r="AN291" s="28"/>
      <c r="AO291" s="20">
        <v>2080</v>
      </c>
      <c r="AP291" s="46"/>
      <c r="AQ291" s="110">
        <f t="shared" si="59"/>
        <v>-400</v>
      </c>
    </row>
    <row r="292" spans="1:43" x14ac:dyDescent="0.2">
      <c r="A292" s="14" t="s">
        <v>38</v>
      </c>
      <c r="B292" s="13" t="s">
        <v>37</v>
      </c>
      <c r="C292" s="28">
        <v>58.7</v>
      </c>
      <c r="D292" s="28">
        <v>59</v>
      </c>
      <c r="E292" s="28"/>
      <c r="F292" s="28">
        <v>58.7</v>
      </c>
      <c r="G292" s="28">
        <v>58</v>
      </c>
      <c r="H292" s="28"/>
      <c r="I292" s="28">
        <v>58.7</v>
      </c>
      <c r="J292" s="28">
        <v>59</v>
      </c>
      <c r="K292" s="28"/>
      <c r="L292" s="28">
        <v>58.7</v>
      </c>
      <c r="M292" s="28">
        <v>59</v>
      </c>
      <c r="N292" s="28"/>
      <c r="O292" s="28"/>
      <c r="P292" s="28"/>
      <c r="Q292" s="28"/>
      <c r="R292" s="28"/>
      <c r="S292" s="28"/>
      <c r="T292" s="28"/>
      <c r="U292" s="28"/>
      <c r="V292" s="28"/>
      <c r="W292" s="28"/>
      <c r="X292" s="28"/>
      <c r="Y292" s="28"/>
      <c r="Z292" s="28"/>
      <c r="AA292" s="28"/>
      <c r="AB292" s="28"/>
      <c r="AC292" s="28"/>
      <c r="AD292" s="28"/>
      <c r="AE292" s="28"/>
      <c r="AF292" s="28"/>
      <c r="AG292" s="28"/>
      <c r="AH292" s="28"/>
      <c r="AI292" s="28"/>
      <c r="AJ292" s="28"/>
      <c r="AK292" s="28"/>
      <c r="AL292" s="27">
        <f t="shared" si="60"/>
        <v>234.8</v>
      </c>
      <c r="AM292" s="27">
        <f t="shared" si="61"/>
        <v>235</v>
      </c>
      <c r="AN292" s="28"/>
      <c r="AO292" s="20">
        <v>704</v>
      </c>
      <c r="AP292" s="46"/>
      <c r="AQ292" s="110">
        <f t="shared" si="59"/>
        <v>-118</v>
      </c>
    </row>
    <row r="293" spans="1:43" x14ac:dyDescent="0.2">
      <c r="A293" s="14" t="s">
        <v>36</v>
      </c>
      <c r="B293" s="13" t="s">
        <v>35</v>
      </c>
      <c r="C293" s="28">
        <v>62.7</v>
      </c>
      <c r="D293" s="28">
        <v>62</v>
      </c>
      <c r="E293" s="28"/>
      <c r="F293" s="28">
        <v>62.7</v>
      </c>
      <c r="G293" s="28">
        <v>62</v>
      </c>
      <c r="H293" s="28"/>
      <c r="I293" s="28">
        <v>62.7</v>
      </c>
      <c r="J293" s="28">
        <v>62</v>
      </c>
      <c r="K293" s="28"/>
      <c r="L293" s="28">
        <v>62.7</v>
      </c>
      <c r="M293" s="28">
        <v>92</v>
      </c>
      <c r="N293" s="28"/>
      <c r="O293" s="28"/>
      <c r="P293" s="28"/>
      <c r="Q293" s="28"/>
      <c r="R293" s="28"/>
      <c r="S293" s="28"/>
      <c r="T293" s="28"/>
      <c r="U293" s="28"/>
      <c r="V293" s="28"/>
      <c r="W293" s="28"/>
      <c r="X293" s="28"/>
      <c r="Y293" s="28"/>
      <c r="Z293" s="28"/>
      <c r="AA293" s="28"/>
      <c r="AB293" s="28"/>
      <c r="AC293" s="28"/>
      <c r="AD293" s="28"/>
      <c r="AE293" s="28"/>
      <c r="AF293" s="28"/>
      <c r="AG293" s="28"/>
      <c r="AH293" s="28"/>
      <c r="AI293" s="28"/>
      <c r="AJ293" s="28"/>
      <c r="AK293" s="28"/>
      <c r="AL293" s="27">
        <f t="shared" si="60"/>
        <v>250.8</v>
      </c>
      <c r="AM293" s="27">
        <f t="shared" si="61"/>
        <v>278</v>
      </c>
      <c r="AN293" s="28"/>
      <c r="AO293" s="20">
        <v>801</v>
      </c>
      <c r="AP293" s="47"/>
      <c r="AQ293" s="110">
        <f t="shared" si="59"/>
        <v>-154</v>
      </c>
    </row>
    <row r="294" spans="1:43" x14ac:dyDescent="0.2">
      <c r="A294" s="14">
        <v>6080300</v>
      </c>
      <c r="B294" s="13" t="s">
        <v>34</v>
      </c>
      <c r="C294" s="28">
        <v>0</v>
      </c>
      <c r="D294" s="28">
        <v>0</v>
      </c>
      <c r="E294" s="28"/>
      <c r="F294" s="28">
        <v>0</v>
      </c>
      <c r="G294" s="28">
        <v>0</v>
      </c>
      <c r="H294" s="28"/>
      <c r="I294" s="28">
        <v>117932.46</v>
      </c>
      <c r="J294" s="28">
        <v>98986</v>
      </c>
      <c r="K294" s="28"/>
      <c r="L294" s="28">
        <v>234702.65</v>
      </c>
      <c r="M294" s="28">
        <v>148477</v>
      </c>
      <c r="N294" s="28"/>
      <c r="O294" s="28"/>
      <c r="P294" s="28"/>
      <c r="Q294" s="28"/>
      <c r="R294" s="28"/>
      <c r="S294" s="28"/>
      <c r="T294" s="28"/>
      <c r="U294" s="28"/>
      <c r="V294" s="28"/>
      <c r="W294" s="28"/>
      <c r="X294" s="28"/>
      <c r="Y294" s="28"/>
      <c r="Z294" s="28"/>
      <c r="AA294" s="28"/>
      <c r="AB294" s="28"/>
      <c r="AC294" s="28"/>
      <c r="AD294" s="28"/>
      <c r="AE294" s="28"/>
      <c r="AF294" s="28"/>
      <c r="AG294" s="28"/>
      <c r="AH294" s="28"/>
      <c r="AI294" s="28"/>
      <c r="AJ294" s="28"/>
      <c r="AK294" s="28"/>
      <c r="AL294" s="27">
        <f t="shared" ref="AL294:AL295" si="62">+C294+F294+I294+L294+O294+R294+U294+X294+AA294+AD294+AG294+AJ294</f>
        <v>352635.11</v>
      </c>
      <c r="AM294" s="27">
        <f t="shared" ref="AM294:AM295" si="63">+D294+G294+J294+M294+P294+S294+V294+Y294+AB294+AE294+AH294+AK294</f>
        <v>247463</v>
      </c>
      <c r="AN294" s="28"/>
      <c r="AO294" s="20">
        <v>445435</v>
      </c>
      <c r="AP294" s="46"/>
      <c r="AQ294" s="110">
        <f t="shared" si="59"/>
        <v>-247463</v>
      </c>
    </row>
    <row r="295" spans="1:43" x14ac:dyDescent="0.2">
      <c r="A295" s="14">
        <v>6080301</v>
      </c>
      <c r="B295" s="13" t="s">
        <v>388</v>
      </c>
      <c r="C295" s="28">
        <v>0</v>
      </c>
      <c r="D295" s="28">
        <v>0</v>
      </c>
      <c r="E295" s="28"/>
      <c r="F295" s="28">
        <v>0</v>
      </c>
      <c r="G295" s="28">
        <v>0</v>
      </c>
      <c r="H295" s="28"/>
      <c r="I295" s="28">
        <v>2131.0500000000002</v>
      </c>
      <c r="J295" s="28">
        <v>0</v>
      </c>
      <c r="K295" s="28"/>
      <c r="L295" s="28">
        <v>5836.2</v>
      </c>
      <c r="M295" s="28">
        <v>0</v>
      </c>
      <c r="N295" s="28"/>
      <c r="O295" s="28"/>
      <c r="P295" s="28"/>
      <c r="Q295" s="28"/>
      <c r="R295" s="28"/>
      <c r="S295" s="28"/>
      <c r="T295" s="28"/>
      <c r="U295" s="28"/>
      <c r="V295" s="28"/>
      <c r="W295" s="28"/>
      <c r="X295" s="28"/>
      <c r="Y295" s="28"/>
      <c r="Z295" s="28"/>
      <c r="AA295" s="28"/>
      <c r="AB295" s="28"/>
      <c r="AC295" s="28"/>
      <c r="AD295" s="28"/>
      <c r="AE295" s="28"/>
      <c r="AF295" s="28"/>
      <c r="AG295" s="28"/>
      <c r="AH295" s="28"/>
      <c r="AI295" s="28"/>
      <c r="AJ295" s="28"/>
      <c r="AK295" s="28"/>
      <c r="AL295" s="27">
        <f t="shared" si="62"/>
        <v>7967.25</v>
      </c>
      <c r="AM295" s="27">
        <f t="shared" si="63"/>
        <v>0</v>
      </c>
      <c r="AN295" s="28"/>
      <c r="AO295" s="20">
        <v>0</v>
      </c>
      <c r="AP295" s="46"/>
      <c r="AQ295" s="110">
        <f t="shared" si="59"/>
        <v>0</v>
      </c>
    </row>
    <row r="296" spans="1:43" x14ac:dyDescent="0.2">
      <c r="A296" s="14">
        <v>6080310</v>
      </c>
      <c r="B296" s="13" t="s">
        <v>33</v>
      </c>
      <c r="C296" s="28">
        <v>0</v>
      </c>
      <c r="D296" s="28">
        <v>0</v>
      </c>
      <c r="E296" s="28"/>
      <c r="F296" s="28">
        <v>0</v>
      </c>
      <c r="G296" s="28">
        <v>0</v>
      </c>
      <c r="H296" s="28"/>
      <c r="I296" s="28">
        <v>9299.31</v>
      </c>
      <c r="J296" s="28">
        <v>8909</v>
      </c>
      <c r="K296" s="28"/>
      <c r="L296" s="28">
        <v>18430.03</v>
      </c>
      <c r="M296" s="28">
        <v>13363</v>
      </c>
      <c r="N296" s="28"/>
      <c r="O296" s="28"/>
      <c r="P296" s="28"/>
      <c r="Q296" s="28"/>
      <c r="R296" s="28"/>
      <c r="S296" s="28"/>
      <c r="T296" s="28"/>
      <c r="U296" s="28"/>
      <c r="V296" s="28"/>
      <c r="W296" s="28"/>
      <c r="X296" s="28"/>
      <c r="Y296" s="28"/>
      <c r="Z296" s="28"/>
      <c r="AA296" s="28"/>
      <c r="AB296" s="28"/>
      <c r="AC296" s="28"/>
      <c r="AD296" s="28"/>
      <c r="AE296" s="28"/>
      <c r="AF296" s="28"/>
      <c r="AG296" s="28"/>
      <c r="AH296" s="28"/>
      <c r="AI296" s="28"/>
      <c r="AJ296" s="28"/>
      <c r="AK296" s="28"/>
      <c r="AL296" s="27">
        <f t="shared" si="60"/>
        <v>27729.339999999997</v>
      </c>
      <c r="AM296" s="27">
        <f t="shared" si="61"/>
        <v>22272</v>
      </c>
      <c r="AN296" s="28"/>
      <c r="AO296" s="20">
        <v>40090</v>
      </c>
      <c r="AP296" s="46"/>
      <c r="AQ296" s="110">
        <f t="shared" si="59"/>
        <v>-22272</v>
      </c>
    </row>
    <row r="297" spans="1:43" x14ac:dyDescent="0.2">
      <c r="A297" s="14">
        <v>6080350</v>
      </c>
      <c r="B297" s="13" t="s">
        <v>32</v>
      </c>
      <c r="C297" s="28">
        <v>7801.1</v>
      </c>
      <c r="D297" s="28">
        <v>5000</v>
      </c>
      <c r="E297" s="28"/>
      <c r="F297" s="28">
        <v>3041.2</v>
      </c>
      <c r="G297" s="28">
        <v>0</v>
      </c>
      <c r="H297" s="28"/>
      <c r="I297" s="28">
        <v>0</v>
      </c>
      <c r="J297" s="28">
        <v>0</v>
      </c>
      <c r="K297" s="28"/>
      <c r="L297" s="28">
        <v>0</v>
      </c>
      <c r="M297" s="28">
        <v>0</v>
      </c>
      <c r="N297" s="28"/>
      <c r="O297" s="28"/>
      <c r="P297" s="28"/>
      <c r="Q297" s="28"/>
      <c r="R297" s="28"/>
      <c r="S297" s="28"/>
      <c r="T297" s="28"/>
      <c r="U297" s="28"/>
      <c r="V297" s="28"/>
      <c r="W297" s="28"/>
      <c r="X297" s="28"/>
      <c r="Y297" s="28"/>
      <c r="Z297" s="28"/>
      <c r="AA297" s="28"/>
      <c r="AB297" s="28"/>
      <c r="AC297" s="28"/>
      <c r="AD297" s="28"/>
      <c r="AE297" s="28"/>
      <c r="AF297" s="28"/>
      <c r="AG297" s="28"/>
      <c r="AH297" s="28"/>
      <c r="AI297" s="28"/>
      <c r="AJ297" s="28"/>
      <c r="AK297" s="28"/>
      <c r="AL297" s="27">
        <f t="shared" si="60"/>
        <v>10842.3</v>
      </c>
      <c r="AM297" s="27">
        <f t="shared" si="61"/>
        <v>5000</v>
      </c>
      <c r="AN297" s="28"/>
      <c r="AO297" s="20">
        <v>10000</v>
      </c>
      <c r="AP297" s="46"/>
      <c r="AQ297" s="110">
        <f t="shared" si="59"/>
        <v>0</v>
      </c>
    </row>
    <row r="298" spans="1:43" x14ac:dyDescent="0.2">
      <c r="A298" s="14">
        <v>6080360</v>
      </c>
      <c r="B298" s="13" t="s">
        <v>31</v>
      </c>
      <c r="C298" s="28">
        <v>1008.16</v>
      </c>
      <c r="D298" s="28">
        <v>1055</v>
      </c>
      <c r="E298" s="28"/>
      <c r="F298" s="28">
        <v>1008.16</v>
      </c>
      <c r="G298" s="28">
        <v>1055</v>
      </c>
      <c r="H298" s="28"/>
      <c r="I298" s="28">
        <v>1008.16</v>
      </c>
      <c r="J298" s="28">
        <v>1055</v>
      </c>
      <c r="K298" s="28"/>
      <c r="L298" s="28">
        <v>1008.16</v>
      </c>
      <c r="M298" s="28">
        <v>1583</v>
      </c>
      <c r="N298" s="28"/>
      <c r="O298" s="28"/>
      <c r="P298" s="28"/>
      <c r="Q298" s="28"/>
      <c r="R298" s="28"/>
      <c r="S298" s="28"/>
      <c r="T298" s="28"/>
      <c r="U298" s="28"/>
      <c r="V298" s="28"/>
      <c r="W298" s="28"/>
      <c r="X298" s="28"/>
      <c r="Y298" s="28"/>
      <c r="Z298" s="28"/>
      <c r="AA298" s="28"/>
      <c r="AB298" s="28"/>
      <c r="AC298" s="28"/>
      <c r="AD298" s="28"/>
      <c r="AE298" s="28"/>
      <c r="AF298" s="28"/>
      <c r="AG298" s="28"/>
      <c r="AH298" s="28"/>
      <c r="AI298" s="28"/>
      <c r="AJ298" s="28"/>
      <c r="AK298" s="28"/>
      <c r="AL298" s="27">
        <f t="shared" si="60"/>
        <v>4032.64</v>
      </c>
      <c r="AM298" s="27">
        <f t="shared" si="61"/>
        <v>4748</v>
      </c>
      <c r="AN298" s="28"/>
      <c r="AO298" s="20">
        <v>13720</v>
      </c>
      <c r="AP298" s="47"/>
      <c r="AQ298" s="110">
        <f t="shared" si="59"/>
        <v>-2638</v>
      </c>
    </row>
    <row r="299" spans="1:43" x14ac:dyDescent="0.2">
      <c r="A299" s="14" t="s">
        <v>30</v>
      </c>
      <c r="B299" s="13" t="s">
        <v>29</v>
      </c>
      <c r="C299" s="28">
        <v>410.02</v>
      </c>
      <c r="D299" s="28">
        <v>666</v>
      </c>
      <c r="E299" s="28"/>
      <c r="F299" s="28">
        <v>799.16</v>
      </c>
      <c r="G299" s="28">
        <v>667</v>
      </c>
      <c r="H299" s="28"/>
      <c r="I299" s="28">
        <v>373.21</v>
      </c>
      <c r="J299" s="28">
        <v>667</v>
      </c>
      <c r="K299" s="28"/>
      <c r="L299" s="28">
        <v>471.63</v>
      </c>
      <c r="M299" s="28">
        <v>666</v>
      </c>
      <c r="N299" s="28"/>
      <c r="O299" s="28"/>
      <c r="P299" s="28"/>
      <c r="Q299" s="28"/>
      <c r="R299" s="28"/>
      <c r="S299" s="28"/>
      <c r="T299" s="28"/>
      <c r="U299" s="28"/>
      <c r="V299" s="28"/>
      <c r="W299" s="28"/>
      <c r="X299" s="28"/>
      <c r="Y299" s="28"/>
      <c r="Z299" s="28"/>
      <c r="AA299" s="28"/>
      <c r="AB299" s="28"/>
      <c r="AC299" s="28"/>
      <c r="AD299" s="28"/>
      <c r="AE299" s="28"/>
      <c r="AF299" s="28"/>
      <c r="AG299" s="28"/>
      <c r="AH299" s="28"/>
      <c r="AI299" s="28"/>
      <c r="AJ299" s="28"/>
      <c r="AK299" s="28"/>
      <c r="AL299" s="27">
        <f t="shared" si="60"/>
        <v>2054.02</v>
      </c>
      <c r="AM299" s="27">
        <f t="shared" si="61"/>
        <v>2666</v>
      </c>
      <c r="AN299" s="28"/>
      <c r="AO299" s="20">
        <v>8000</v>
      </c>
      <c r="AP299" s="46"/>
      <c r="AQ299" s="110">
        <f t="shared" si="59"/>
        <v>-1333</v>
      </c>
    </row>
    <row r="300" spans="1:43" x14ac:dyDescent="0.2">
      <c r="A300" s="14" t="s">
        <v>28</v>
      </c>
      <c r="B300" s="13" t="s">
        <v>27</v>
      </c>
      <c r="C300" s="28">
        <v>325</v>
      </c>
      <c r="D300" s="28">
        <v>317</v>
      </c>
      <c r="E300" s="28"/>
      <c r="F300" s="28">
        <v>0</v>
      </c>
      <c r="G300" s="28">
        <v>317</v>
      </c>
      <c r="H300" s="28"/>
      <c r="I300" s="28">
        <v>315</v>
      </c>
      <c r="J300" s="28">
        <v>316</v>
      </c>
      <c r="K300" s="28"/>
      <c r="L300" s="28">
        <v>360</v>
      </c>
      <c r="M300" s="28">
        <v>317</v>
      </c>
      <c r="N300" s="28"/>
      <c r="O300" s="28"/>
      <c r="P300" s="28"/>
      <c r="Q300" s="28"/>
      <c r="R300" s="28"/>
      <c r="S300" s="28"/>
      <c r="T300" s="28"/>
      <c r="U300" s="28"/>
      <c r="V300" s="28"/>
      <c r="W300" s="28"/>
      <c r="X300" s="28"/>
      <c r="Y300" s="28"/>
      <c r="Z300" s="28"/>
      <c r="AA300" s="28"/>
      <c r="AB300" s="28"/>
      <c r="AC300" s="28"/>
      <c r="AD300" s="28"/>
      <c r="AE300" s="28"/>
      <c r="AF300" s="28"/>
      <c r="AG300" s="28"/>
      <c r="AH300" s="28"/>
      <c r="AI300" s="28"/>
      <c r="AJ300" s="28"/>
      <c r="AK300" s="28"/>
      <c r="AL300" s="27">
        <f t="shared" si="60"/>
        <v>1000</v>
      </c>
      <c r="AM300" s="27">
        <f t="shared" si="61"/>
        <v>1267</v>
      </c>
      <c r="AN300" s="28"/>
      <c r="AO300" s="20">
        <v>3800</v>
      </c>
      <c r="AP300" s="46"/>
      <c r="AQ300" s="110">
        <f t="shared" si="59"/>
        <v>-633</v>
      </c>
    </row>
    <row r="301" spans="1:43" x14ac:dyDescent="0.2">
      <c r="A301" s="14">
        <v>6080520</v>
      </c>
      <c r="B301" s="13" t="s">
        <v>101</v>
      </c>
      <c r="C301" s="28">
        <v>0</v>
      </c>
      <c r="D301" s="28">
        <v>0</v>
      </c>
      <c r="E301" s="28"/>
      <c r="F301" s="28">
        <v>0</v>
      </c>
      <c r="G301" s="28">
        <v>0</v>
      </c>
      <c r="H301" s="28"/>
      <c r="I301" s="28">
        <v>0</v>
      </c>
      <c r="J301" s="28">
        <v>0</v>
      </c>
      <c r="K301" s="28"/>
      <c r="L301" s="28">
        <v>0</v>
      </c>
      <c r="M301" s="28">
        <v>0</v>
      </c>
      <c r="N301" s="28"/>
      <c r="O301" s="28"/>
      <c r="P301" s="28"/>
      <c r="Q301" s="28"/>
      <c r="R301" s="28"/>
      <c r="S301" s="28"/>
      <c r="T301" s="28"/>
      <c r="U301" s="28"/>
      <c r="V301" s="28"/>
      <c r="W301" s="28"/>
      <c r="X301" s="28"/>
      <c r="Y301" s="28"/>
      <c r="Z301" s="28"/>
      <c r="AA301" s="28"/>
      <c r="AB301" s="28"/>
      <c r="AC301" s="28"/>
      <c r="AD301" s="28"/>
      <c r="AE301" s="28"/>
      <c r="AF301" s="28"/>
      <c r="AG301" s="28"/>
      <c r="AH301" s="28"/>
      <c r="AI301" s="28"/>
      <c r="AJ301" s="28"/>
      <c r="AK301" s="28"/>
      <c r="AL301" s="27">
        <f t="shared" si="60"/>
        <v>0</v>
      </c>
      <c r="AM301" s="27">
        <f t="shared" si="61"/>
        <v>0</v>
      </c>
      <c r="AN301" s="28"/>
      <c r="AO301" s="20">
        <v>500</v>
      </c>
      <c r="AP301" s="46"/>
      <c r="AQ301" s="110">
        <f t="shared" si="59"/>
        <v>0</v>
      </c>
    </row>
    <row r="302" spans="1:43" x14ac:dyDescent="0.2">
      <c r="A302" s="14" t="s">
        <v>26</v>
      </c>
      <c r="B302" s="13" t="s">
        <v>25</v>
      </c>
      <c r="C302" s="28">
        <v>0</v>
      </c>
      <c r="D302" s="28">
        <v>125</v>
      </c>
      <c r="E302" s="28"/>
      <c r="F302" s="28">
        <v>202.6</v>
      </c>
      <c r="G302" s="28">
        <v>125</v>
      </c>
      <c r="H302" s="28"/>
      <c r="I302" s="28">
        <v>51.9</v>
      </c>
      <c r="J302" s="28">
        <v>125</v>
      </c>
      <c r="K302" s="28"/>
      <c r="L302" s="28">
        <v>0</v>
      </c>
      <c r="M302" s="28">
        <v>125</v>
      </c>
      <c r="N302" s="28"/>
      <c r="O302" s="28"/>
      <c r="P302" s="28"/>
      <c r="Q302" s="28"/>
      <c r="R302" s="28"/>
      <c r="S302" s="28"/>
      <c r="T302" s="28"/>
      <c r="U302" s="28"/>
      <c r="V302" s="28"/>
      <c r="W302" s="28"/>
      <c r="X302" s="28"/>
      <c r="Y302" s="28"/>
      <c r="Z302" s="28"/>
      <c r="AA302" s="28"/>
      <c r="AB302" s="28"/>
      <c r="AC302" s="28"/>
      <c r="AD302" s="28"/>
      <c r="AE302" s="28"/>
      <c r="AF302" s="28"/>
      <c r="AG302" s="28"/>
      <c r="AH302" s="28"/>
      <c r="AI302" s="28"/>
      <c r="AJ302" s="28"/>
      <c r="AK302" s="28"/>
      <c r="AL302" s="27">
        <f t="shared" si="60"/>
        <v>254.5</v>
      </c>
      <c r="AM302" s="27">
        <f t="shared" si="61"/>
        <v>500</v>
      </c>
      <c r="AN302" s="28"/>
      <c r="AO302" s="20">
        <v>1500</v>
      </c>
      <c r="AP302" s="46"/>
      <c r="AQ302" s="110">
        <f t="shared" si="59"/>
        <v>-250</v>
      </c>
    </row>
    <row r="303" spans="1:43" x14ac:dyDescent="0.2">
      <c r="A303" s="14" t="s">
        <v>24</v>
      </c>
      <c r="B303" s="13" t="s">
        <v>23</v>
      </c>
      <c r="C303" s="28">
        <v>0</v>
      </c>
      <c r="D303" s="28">
        <v>0</v>
      </c>
      <c r="E303" s="28"/>
      <c r="F303" s="28"/>
      <c r="G303" s="28">
        <v>0</v>
      </c>
      <c r="H303" s="28"/>
      <c r="I303" s="28">
        <v>217.8</v>
      </c>
      <c r="J303" s="28">
        <v>250</v>
      </c>
      <c r="K303" s="28"/>
      <c r="L303" s="28">
        <v>255.6</v>
      </c>
      <c r="M303" s="28">
        <v>250</v>
      </c>
      <c r="N303" s="28"/>
      <c r="O303" s="28"/>
      <c r="P303" s="28"/>
      <c r="Q303" s="28"/>
      <c r="R303" s="28"/>
      <c r="S303" s="28"/>
      <c r="T303" s="28"/>
      <c r="U303" s="28"/>
      <c r="V303" s="28"/>
      <c r="W303" s="28"/>
      <c r="X303" s="28"/>
      <c r="Y303" s="28"/>
      <c r="Z303" s="28"/>
      <c r="AA303" s="28"/>
      <c r="AB303" s="28"/>
      <c r="AC303" s="28"/>
      <c r="AD303" s="28"/>
      <c r="AE303" s="28"/>
      <c r="AF303" s="28"/>
      <c r="AG303" s="28"/>
      <c r="AH303" s="28"/>
      <c r="AI303" s="28"/>
      <c r="AJ303" s="28"/>
      <c r="AK303" s="28"/>
      <c r="AL303" s="27">
        <f t="shared" si="60"/>
        <v>473.4</v>
      </c>
      <c r="AM303" s="27">
        <f t="shared" si="61"/>
        <v>500</v>
      </c>
      <c r="AN303" s="28"/>
      <c r="AO303" s="20">
        <v>1000</v>
      </c>
      <c r="AP303" s="46"/>
      <c r="AQ303" s="110">
        <f t="shared" si="59"/>
        <v>-500</v>
      </c>
    </row>
    <row r="304" spans="1:43" x14ac:dyDescent="0.2">
      <c r="A304" s="14" t="s">
        <v>22</v>
      </c>
      <c r="B304" s="13" t="s">
        <v>21</v>
      </c>
      <c r="C304" s="28">
        <v>0</v>
      </c>
      <c r="D304" s="28">
        <v>500</v>
      </c>
      <c r="E304" s="28"/>
      <c r="F304" s="28"/>
      <c r="G304" s="28">
        <v>0</v>
      </c>
      <c r="H304" s="28"/>
      <c r="I304" s="28">
        <v>232.62</v>
      </c>
      <c r="J304" s="28">
        <v>0</v>
      </c>
      <c r="K304" s="28"/>
      <c r="L304" s="28">
        <v>0</v>
      </c>
      <c r="M304" s="28">
        <v>0</v>
      </c>
      <c r="N304" s="28"/>
      <c r="O304" s="28"/>
      <c r="P304" s="28"/>
      <c r="Q304" s="28"/>
      <c r="R304" s="28"/>
      <c r="S304" s="28"/>
      <c r="T304" s="28"/>
      <c r="U304" s="28"/>
      <c r="V304" s="28"/>
      <c r="W304" s="28"/>
      <c r="X304" s="28"/>
      <c r="Y304" s="28"/>
      <c r="Z304" s="28"/>
      <c r="AA304" s="28"/>
      <c r="AB304" s="28"/>
      <c r="AC304" s="28"/>
      <c r="AD304" s="28"/>
      <c r="AE304" s="28"/>
      <c r="AF304" s="28"/>
      <c r="AG304" s="28"/>
      <c r="AH304" s="28"/>
      <c r="AI304" s="28"/>
      <c r="AJ304" s="28"/>
      <c r="AK304" s="28"/>
      <c r="AL304" s="27">
        <f t="shared" si="60"/>
        <v>232.62</v>
      </c>
      <c r="AM304" s="27">
        <f t="shared" si="61"/>
        <v>500</v>
      </c>
      <c r="AN304" s="28"/>
      <c r="AO304" s="20">
        <v>1000</v>
      </c>
      <c r="AP304" s="46"/>
      <c r="AQ304" s="110">
        <f t="shared" si="59"/>
        <v>0</v>
      </c>
    </row>
    <row r="305" spans="1:43" x14ac:dyDescent="0.2">
      <c r="A305" s="14" t="s">
        <v>20</v>
      </c>
      <c r="B305" s="13" t="s">
        <v>19</v>
      </c>
      <c r="C305" s="28">
        <v>121.92</v>
      </c>
      <c r="D305" s="28">
        <v>84</v>
      </c>
      <c r="E305" s="28"/>
      <c r="F305" s="28">
        <v>121.92</v>
      </c>
      <c r="G305" s="28">
        <v>83</v>
      </c>
      <c r="H305" s="28"/>
      <c r="I305" s="28">
        <v>121.92</v>
      </c>
      <c r="J305" s="28">
        <v>84</v>
      </c>
      <c r="K305" s="28"/>
      <c r="L305" s="28">
        <v>121.92</v>
      </c>
      <c r="M305" s="28">
        <v>83</v>
      </c>
      <c r="N305" s="28"/>
      <c r="O305" s="28"/>
      <c r="P305" s="28"/>
      <c r="Q305" s="28"/>
      <c r="R305" s="28"/>
      <c r="S305" s="28"/>
      <c r="T305" s="28"/>
      <c r="U305" s="28"/>
      <c r="V305" s="28"/>
      <c r="W305" s="28"/>
      <c r="X305" s="28"/>
      <c r="Y305" s="28"/>
      <c r="Z305" s="28"/>
      <c r="AA305" s="28"/>
      <c r="AB305" s="28"/>
      <c r="AC305" s="28"/>
      <c r="AD305" s="28"/>
      <c r="AE305" s="28"/>
      <c r="AF305" s="28"/>
      <c r="AG305" s="28"/>
      <c r="AH305" s="28"/>
      <c r="AI305" s="28"/>
      <c r="AJ305" s="28"/>
      <c r="AK305" s="28"/>
      <c r="AL305" s="27">
        <f t="shared" si="60"/>
        <v>487.68</v>
      </c>
      <c r="AM305" s="27">
        <f t="shared" si="61"/>
        <v>334</v>
      </c>
      <c r="AN305" s="28"/>
      <c r="AO305" s="20">
        <v>1000</v>
      </c>
      <c r="AP305" s="46"/>
      <c r="AQ305" s="110">
        <f t="shared" si="59"/>
        <v>-167</v>
      </c>
    </row>
    <row r="306" spans="1:43" x14ac:dyDescent="0.2">
      <c r="A306" s="14" t="s">
        <v>18</v>
      </c>
      <c r="B306" s="13" t="s">
        <v>17</v>
      </c>
      <c r="C306" s="28">
        <v>0</v>
      </c>
      <c r="D306" s="28">
        <v>0</v>
      </c>
      <c r="E306" s="28"/>
      <c r="F306" s="28">
        <v>0</v>
      </c>
      <c r="G306" s="28">
        <v>500</v>
      </c>
      <c r="H306" s="28"/>
      <c r="I306" s="28">
        <v>3375</v>
      </c>
      <c r="J306" s="28">
        <v>0</v>
      </c>
      <c r="K306" s="28"/>
      <c r="L306" s="28">
        <v>0</v>
      </c>
      <c r="M306" s="28">
        <v>0</v>
      </c>
      <c r="N306" s="28"/>
      <c r="O306" s="28"/>
      <c r="P306" s="28"/>
      <c r="Q306" s="28"/>
      <c r="R306" s="28"/>
      <c r="S306" s="28"/>
      <c r="T306" s="28"/>
      <c r="U306" s="28"/>
      <c r="V306" s="28"/>
      <c r="W306" s="28"/>
      <c r="X306" s="28"/>
      <c r="Y306" s="28"/>
      <c r="Z306" s="28"/>
      <c r="AA306" s="28"/>
      <c r="AB306" s="28"/>
      <c r="AC306" s="28"/>
      <c r="AD306" s="28"/>
      <c r="AE306" s="28"/>
      <c r="AF306" s="28"/>
      <c r="AG306" s="28"/>
      <c r="AH306" s="28"/>
      <c r="AI306" s="28"/>
      <c r="AJ306" s="28"/>
      <c r="AK306" s="28"/>
      <c r="AL306" s="27">
        <f t="shared" si="60"/>
        <v>3375</v>
      </c>
      <c r="AM306" s="27">
        <f t="shared" si="61"/>
        <v>500</v>
      </c>
      <c r="AN306" s="28"/>
      <c r="AO306" s="20">
        <v>500</v>
      </c>
      <c r="AP306" s="46"/>
      <c r="AQ306" s="110">
        <f t="shared" si="59"/>
        <v>0</v>
      </c>
    </row>
    <row r="307" spans="1:43" x14ac:dyDescent="0.2">
      <c r="A307" s="14" t="s">
        <v>16</v>
      </c>
      <c r="B307" s="13" t="s">
        <v>15</v>
      </c>
      <c r="C307" s="28">
        <v>180</v>
      </c>
      <c r="D307" s="28">
        <v>0</v>
      </c>
      <c r="E307" s="28"/>
      <c r="F307" s="28">
        <v>0</v>
      </c>
      <c r="G307" s="28">
        <v>0</v>
      </c>
      <c r="H307" s="28"/>
      <c r="I307" s="28">
        <v>0</v>
      </c>
      <c r="J307" s="28">
        <v>10000</v>
      </c>
      <c r="K307" s="28"/>
      <c r="L307" s="28">
        <v>10150</v>
      </c>
      <c r="M307" s="28">
        <v>0</v>
      </c>
      <c r="N307" s="28"/>
      <c r="O307" s="28"/>
      <c r="P307" s="28"/>
      <c r="Q307" s="28"/>
      <c r="R307" s="28"/>
      <c r="S307" s="28"/>
      <c r="T307" s="28"/>
      <c r="U307" s="28"/>
      <c r="V307" s="28"/>
      <c r="W307" s="28"/>
      <c r="X307" s="28"/>
      <c r="Y307" s="28"/>
      <c r="Z307" s="28"/>
      <c r="AA307" s="28"/>
      <c r="AB307" s="28"/>
      <c r="AC307" s="28"/>
      <c r="AD307" s="28"/>
      <c r="AE307" s="28"/>
      <c r="AF307" s="28"/>
      <c r="AG307" s="28"/>
      <c r="AH307" s="28"/>
      <c r="AI307" s="28"/>
      <c r="AJ307" s="28"/>
      <c r="AK307" s="28"/>
      <c r="AL307" s="27">
        <f t="shared" si="60"/>
        <v>10330</v>
      </c>
      <c r="AM307" s="27">
        <f t="shared" si="61"/>
        <v>10000</v>
      </c>
      <c r="AN307" s="28"/>
      <c r="AO307" s="20">
        <v>10000</v>
      </c>
      <c r="AP307" s="46"/>
      <c r="AQ307" s="110">
        <f t="shared" si="59"/>
        <v>-10000</v>
      </c>
    </row>
    <row r="308" spans="1:43" x14ac:dyDescent="0.2">
      <c r="A308" s="14" t="s">
        <v>14</v>
      </c>
      <c r="B308" s="13" t="s">
        <v>13</v>
      </c>
      <c r="C308" s="28">
        <v>0</v>
      </c>
      <c r="D308" s="28">
        <v>1250</v>
      </c>
      <c r="E308" s="28"/>
      <c r="F308" s="28">
        <v>169.94</v>
      </c>
      <c r="G308" s="28">
        <v>1250</v>
      </c>
      <c r="H308" s="28"/>
      <c r="I308" s="28">
        <v>1609.5</v>
      </c>
      <c r="J308" s="28">
        <v>1250</v>
      </c>
      <c r="K308" s="28"/>
      <c r="L308" s="28">
        <v>264.52999999999997</v>
      </c>
      <c r="M308" s="28">
        <v>0</v>
      </c>
      <c r="N308" s="28"/>
      <c r="O308" s="28"/>
      <c r="P308" s="28"/>
      <c r="Q308" s="28"/>
      <c r="R308" s="28"/>
      <c r="S308" s="28"/>
      <c r="T308" s="28"/>
      <c r="U308" s="28"/>
      <c r="V308" s="28"/>
      <c r="W308" s="28"/>
      <c r="X308" s="28"/>
      <c r="Y308" s="28"/>
      <c r="Z308" s="28"/>
      <c r="AA308" s="28"/>
      <c r="AB308" s="28"/>
      <c r="AC308" s="28"/>
      <c r="AD308" s="28"/>
      <c r="AE308" s="28"/>
      <c r="AF308" s="28"/>
      <c r="AG308" s="28"/>
      <c r="AH308" s="28"/>
      <c r="AI308" s="28"/>
      <c r="AJ308" s="28"/>
      <c r="AK308" s="28"/>
      <c r="AL308" s="27">
        <f t="shared" si="60"/>
        <v>2043.97</v>
      </c>
      <c r="AM308" s="27">
        <f t="shared" si="61"/>
        <v>3750</v>
      </c>
      <c r="AN308" s="28"/>
      <c r="AO308" s="20">
        <v>5000</v>
      </c>
      <c r="AP308" s="46"/>
      <c r="AQ308" s="110">
        <f t="shared" si="59"/>
        <v>-1250</v>
      </c>
    </row>
    <row r="309" spans="1:43" x14ac:dyDescent="0.2">
      <c r="A309" s="14" t="s">
        <v>12</v>
      </c>
      <c r="B309" s="13" t="s">
        <v>11</v>
      </c>
      <c r="C309" s="28">
        <v>0</v>
      </c>
      <c r="D309" s="28">
        <v>0</v>
      </c>
      <c r="E309" s="28"/>
      <c r="F309" s="28">
        <v>0</v>
      </c>
      <c r="G309" s="28">
        <v>0</v>
      </c>
      <c r="H309" s="28"/>
      <c r="I309" s="28">
        <v>0</v>
      </c>
      <c r="J309" s="28">
        <v>0</v>
      </c>
      <c r="K309" s="28"/>
      <c r="L309" s="28">
        <v>0</v>
      </c>
      <c r="M309" s="28">
        <v>0</v>
      </c>
      <c r="N309" s="28"/>
      <c r="O309" s="28"/>
      <c r="P309" s="28"/>
      <c r="Q309" s="28"/>
      <c r="R309" s="28"/>
      <c r="S309" s="28"/>
      <c r="T309" s="28"/>
      <c r="U309" s="28"/>
      <c r="V309" s="28"/>
      <c r="W309" s="28"/>
      <c r="X309" s="28"/>
      <c r="Y309" s="28"/>
      <c r="Z309" s="28"/>
      <c r="AA309" s="28"/>
      <c r="AB309" s="28"/>
      <c r="AC309" s="28"/>
      <c r="AD309" s="28"/>
      <c r="AE309" s="28"/>
      <c r="AF309" s="28"/>
      <c r="AG309" s="28"/>
      <c r="AH309" s="28"/>
      <c r="AI309" s="28"/>
      <c r="AJ309" s="28"/>
      <c r="AK309" s="28"/>
      <c r="AL309" s="27">
        <f t="shared" si="60"/>
        <v>0</v>
      </c>
      <c r="AM309" s="27">
        <f t="shared" si="61"/>
        <v>0</v>
      </c>
      <c r="AN309" s="28"/>
      <c r="AO309" s="20">
        <v>1500</v>
      </c>
      <c r="AP309" s="46"/>
      <c r="AQ309" s="110">
        <f t="shared" si="59"/>
        <v>0</v>
      </c>
    </row>
    <row r="310" spans="1:43" x14ac:dyDescent="0.2">
      <c r="A310" s="14" t="s">
        <v>10</v>
      </c>
      <c r="B310" s="13" t="s">
        <v>9</v>
      </c>
      <c r="C310" s="28">
        <v>0</v>
      </c>
      <c r="D310" s="28">
        <v>0</v>
      </c>
      <c r="E310" s="28"/>
      <c r="F310" s="28">
        <v>0</v>
      </c>
      <c r="G310" s="28">
        <v>0</v>
      </c>
      <c r="H310" s="28"/>
      <c r="I310" s="28">
        <v>0</v>
      </c>
      <c r="J310" s="28">
        <v>125</v>
      </c>
      <c r="K310" s="28"/>
      <c r="L310" s="28">
        <v>429.59</v>
      </c>
      <c r="M310" s="28">
        <v>125</v>
      </c>
      <c r="N310" s="28"/>
      <c r="O310" s="28"/>
      <c r="P310" s="28"/>
      <c r="Q310" s="28"/>
      <c r="R310" s="28"/>
      <c r="S310" s="28"/>
      <c r="T310" s="28"/>
      <c r="U310" s="28"/>
      <c r="V310" s="28"/>
      <c r="W310" s="28"/>
      <c r="X310" s="28"/>
      <c r="Y310" s="28"/>
      <c r="Z310" s="28"/>
      <c r="AA310" s="28"/>
      <c r="AB310" s="28"/>
      <c r="AC310" s="28"/>
      <c r="AD310" s="28"/>
      <c r="AE310" s="28"/>
      <c r="AF310" s="28"/>
      <c r="AG310" s="28"/>
      <c r="AH310" s="28"/>
      <c r="AI310" s="28"/>
      <c r="AJ310" s="28"/>
      <c r="AK310" s="28"/>
      <c r="AL310" s="27">
        <f t="shared" si="60"/>
        <v>429.59</v>
      </c>
      <c r="AM310" s="27">
        <f t="shared" si="61"/>
        <v>250</v>
      </c>
      <c r="AN310" s="28"/>
      <c r="AO310" s="20">
        <v>500</v>
      </c>
      <c r="AP310" s="46"/>
      <c r="AQ310" s="110">
        <f t="shared" si="59"/>
        <v>-250</v>
      </c>
    </row>
    <row r="311" spans="1:43" x14ac:dyDescent="0.2">
      <c r="A311" s="14" t="s">
        <v>370</v>
      </c>
      <c r="B311" s="13" t="s">
        <v>8</v>
      </c>
      <c r="C311" s="28">
        <v>820</v>
      </c>
      <c r="D311" s="28">
        <v>0</v>
      </c>
      <c r="E311" s="28"/>
      <c r="F311" s="28">
        <v>0</v>
      </c>
      <c r="G311" s="28">
        <v>0</v>
      </c>
      <c r="H311" s="28"/>
      <c r="I311" s="28">
        <v>60</v>
      </c>
      <c r="J311" s="28">
        <v>0</v>
      </c>
      <c r="K311" s="28"/>
      <c r="L311" s="28">
        <v>2684.95</v>
      </c>
      <c r="M311" s="28">
        <v>0</v>
      </c>
      <c r="N311" s="28"/>
      <c r="O311" s="28"/>
      <c r="P311" s="28"/>
      <c r="Q311" s="28"/>
      <c r="R311" s="28"/>
      <c r="S311" s="28"/>
      <c r="T311" s="28"/>
      <c r="U311" s="28"/>
      <c r="V311" s="28"/>
      <c r="W311" s="28"/>
      <c r="X311" s="28"/>
      <c r="Y311" s="28"/>
      <c r="Z311" s="28"/>
      <c r="AA311" s="45"/>
      <c r="AB311" s="28"/>
      <c r="AC311" s="28"/>
      <c r="AD311" s="45"/>
      <c r="AE311" s="28"/>
      <c r="AF311" s="28"/>
      <c r="AG311" s="45"/>
      <c r="AH311" s="28"/>
      <c r="AI311" s="28"/>
      <c r="AJ311" s="45"/>
      <c r="AK311" s="28"/>
      <c r="AL311" s="27">
        <f t="shared" si="60"/>
        <v>3564.95</v>
      </c>
      <c r="AM311" s="27">
        <f t="shared" si="61"/>
        <v>0</v>
      </c>
      <c r="AN311" s="28"/>
      <c r="AO311" s="20">
        <v>0</v>
      </c>
      <c r="AP311" s="46"/>
      <c r="AQ311" s="110">
        <f t="shared" si="59"/>
        <v>0</v>
      </c>
    </row>
    <row r="312" spans="1:43" x14ac:dyDescent="0.2">
      <c r="A312" s="14" t="s">
        <v>7</v>
      </c>
      <c r="B312" s="13" t="s">
        <v>6</v>
      </c>
      <c r="C312" s="28">
        <v>0</v>
      </c>
      <c r="D312" s="28">
        <v>1250</v>
      </c>
      <c r="E312" s="28"/>
      <c r="F312" s="28">
        <v>0</v>
      </c>
      <c r="G312" s="28">
        <v>0</v>
      </c>
      <c r="H312" s="28"/>
      <c r="I312" s="28">
        <v>0</v>
      </c>
      <c r="J312" s="28">
        <v>0</v>
      </c>
      <c r="K312" s="28"/>
      <c r="L312" s="28">
        <v>0</v>
      </c>
      <c r="M312" s="28">
        <v>0</v>
      </c>
      <c r="N312" s="28"/>
      <c r="O312" s="28"/>
      <c r="P312" s="28"/>
      <c r="Q312" s="28"/>
      <c r="R312" s="28"/>
      <c r="S312" s="28"/>
      <c r="T312" s="28"/>
      <c r="U312" s="28"/>
      <c r="V312" s="28"/>
      <c r="W312" s="28"/>
      <c r="X312" s="28"/>
      <c r="Y312" s="28"/>
      <c r="Z312" s="28"/>
      <c r="AA312" s="28"/>
      <c r="AB312" s="28"/>
      <c r="AC312" s="28"/>
      <c r="AD312" s="28"/>
      <c r="AE312" s="28"/>
      <c r="AF312" s="28"/>
      <c r="AG312" s="28"/>
      <c r="AH312" s="28"/>
      <c r="AI312" s="28"/>
      <c r="AJ312" s="28"/>
      <c r="AK312" s="28"/>
      <c r="AL312" s="27">
        <f t="shared" si="60"/>
        <v>0</v>
      </c>
      <c r="AM312" s="27">
        <f t="shared" si="61"/>
        <v>1250</v>
      </c>
      <c r="AN312" s="28"/>
      <c r="AO312" s="20">
        <v>2500</v>
      </c>
      <c r="AP312" s="46"/>
      <c r="AQ312" s="110">
        <f t="shared" si="59"/>
        <v>0</v>
      </c>
    </row>
    <row r="313" spans="1:43" x14ac:dyDescent="0.2">
      <c r="A313" s="14">
        <v>6081950</v>
      </c>
      <c r="B313" s="13" t="s">
        <v>83</v>
      </c>
      <c r="C313" s="28">
        <v>355.63</v>
      </c>
      <c r="D313" s="28">
        <v>0</v>
      </c>
      <c r="E313" s="28"/>
      <c r="F313" s="28">
        <v>0</v>
      </c>
      <c r="G313" s="28">
        <v>0</v>
      </c>
      <c r="H313" s="28"/>
      <c r="I313" s="28">
        <v>0</v>
      </c>
      <c r="J313" s="28">
        <v>0</v>
      </c>
      <c r="K313" s="28"/>
      <c r="L313" s="28">
        <v>0</v>
      </c>
      <c r="M313" s="28">
        <v>0</v>
      </c>
      <c r="N313" s="28"/>
      <c r="O313" s="28"/>
      <c r="P313" s="28"/>
      <c r="Q313" s="28"/>
      <c r="R313" s="28"/>
      <c r="S313" s="28"/>
      <c r="T313" s="28"/>
      <c r="U313" s="28"/>
      <c r="V313" s="28"/>
      <c r="W313" s="28"/>
      <c r="X313" s="28"/>
      <c r="Y313" s="28"/>
      <c r="Z313" s="28"/>
      <c r="AA313" s="28"/>
      <c r="AB313" s="28"/>
      <c r="AC313" s="28"/>
      <c r="AD313" s="28"/>
      <c r="AE313" s="28"/>
      <c r="AF313" s="28"/>
      <c r="AG313" s="28"/>
      <c r="AH313" s="28"/>
      <c r="AI313" s="28"/>
      <c r="AJ313" s="28"/>
      <c r="AK313" s="28"/>
      <c r="AL313" s="27">
        <f t="shared" ref="AL313" si="64">+C313+F313+I313+L313+O313+R313+U313+X313+AA313+AD313+AG313+AJ313</f>
        <v>355.63</v>
      </c>
      <c r="AM313" s="27">
        <f t="shared" ref="AM313" si="65">+D313+G313+J313+M313+P313+S313+V313+Y313+AB313+AE313+AH313+AK313</f>
        <v>0</v>
      </c>
      <c r="AN313" s="28"/>
      <c r="AO313" s="20">
        <v>0</v>
      </c>
      <c r="AP313" s="46"/>
      <c r="AQ313" s="110">
        <f t="shared" si="59"/>
        <v>0</v>
      </c>
    </row>
    <row r="314" spans="1:43" x14ac:dyDescent="0.2">
      <c r="A314" s="14">
        <v>6082000</v>
      </c>
      <c r="B314" s="13" t="s">
        <v>5</v>
      </c>
      <c r="C314" s="28">
        <v>0</v>
      </c>
      <c r="D314" s="28">
        <v>0</v>
      </c>
      <c r="E314" s="28"/>
      <c r="F314" s="28">
        <v>0</v>
      </c>
      <c r="G314" s="28">
        <v>0</v>
      </c>
      <c r="H314" s="28"/>
      <c r="I314" s="28">
        <v>0</v>
      </c>
      <c r="J314" s="28">
        <v>0</v>
      </c>
      <c r="K314" s="28"/>
      <c r="L314" s="28">
        <v>0</v>
      </c>
      <c r="M314" s="28">
        <v>0</v>
      </c>
      <c r="N314" s="28"/>
      <c r="O314" s="28"/>
      <c r="P314" s="28"/>
      <c r="Q314" s="28"/>
      <c r="R314" s="28"/>
      <c r="S314" s="28"/>
      <c r="T314" s="28"/>
      <c r="U314" s="28"/>
      <c r="V314" s="28"/>
      <c r="W314" s="28"/>
      <c r="X314" s="28"/>
      <c r="Y314" s="28"/>
      <c r="Z314" s="28"/>
      <c r="AA314" s="28"/>
      <c r="AB314" s="28"/>
      <c r="AC314" s="28"/>
      <c r="AD314" s="28"/>
      <c r="AE314" s="28"/>
      <c r="AF314" s="28"/>
      <c r="AG314" s="28"/>
      <c r="AH314" s="28"/>
      <c r="AI314" s="28"/>
      <c r="AJ314" s="28"/>
      <c r="AK314" s="28"/>
      <c r="AL314" s="27">
        <f t="shared" si="60"/>
        <v>0</v>
      </c>
      <c r="AM314" s="27">
        <f t="shared" si="61"/>
        <v>0</v>
      </c>
      <c r="AN314" s="28"/>
      <c r="AO314" s="20">
        <v>0</v>
      </c>
      <c r="AP314" s="46"/>
      <c r="AQ314" s="110">
        <f t="shared" si="59"/>
        <v>0</v>
      </c>
    </row>
    <row r="315" spans="1:43" x14ac:dyDescent="0.2">
      <c r="A315" s="14">
        <v>6082050</v>
      </c>
      <c r="B315" s="13" t="s">
        <v>375</v>
      </c>
      <c r="C315" s="28">
        <v>12498</v>
      </c>
      <c r="D315" s="28">
        <v>0</v>
      </c>
      <c r="E315" s="28"/>
      <c r="F315" s="28">
        <v>0</v>
      </c>
      <c r="G315" s="28">
        <v>0</v>
      </c>
      <c r="H315" s="28"/>
      <c r="I315" s="28">
        <v>0</v>
      </c>
      <c r="J315" s="28">
        <v>0</v>
      </c>
      <c r="K315" s="28"/>
      <c r="L315" s="28">
        <v>0</v>
      </c>
      <c r="M315" s="28">
        <v>0</v>
      </c>
      <c r="N315" s="28"/>
      <c r="O315" s="28"/>
      <c r="P315" s="28"/>
      <c r="Q315" s="28"/>
      <c r="R315" s="28"/>
      <c r="S315" s="28"/>
      <c r="T315" s="28"/>
      <c r="U315" s="28"/>
      <c r="V315" s="28"/>
      <c r="W315" s="28"/>
      <c r="X315" s="28"/>
      <c r="Y315" s="28"/>
      <c r="Z315" s="28"/>
      <c r="AA315" s="28"/>
      <c r="AB315" s="28"/>
      <c r="AC315" s="28"/>
      <c r="AD315" s="28"/>
      <c r="AE315" s="28"/>
      <c r="AF315" s="28"/>
      <c r="AG315" s="28"/>
      <c r="AH315" s="28"/>
      <c r="AI315" s="28"/>
      <c r="AJ315" s="28"/>
      <c r="AK315" s="28"/>
      <c r="AL315" s="27">
        <f t="shared" si="60"/>
        <v>12498</v>
      </c>
      <c r="AM315" s="27">
        <f t="shared" si="61"/>
        <v>0</v>
      </c>
      <c r="AN315" s="28"/>
      <c r="AO315" s="20">
        <v>0</v>
      </c>
      <c r="AP315" s="46"/>
      <c r="AQ315" s="110">
        <f t="shared" si="59"/>
        <v>0</v>
      </c>
    </row>
    <row r="316" spans="1:43" x14ac:dyDescent="0.2">
      <c r="A316" s="12"/>
      <c r="B316" s="11"/>
      <c r="C316" s="20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  <c r="AF316" s="20"/>
      <c r="AG316" s="20"/>
      <c r="AH316" s="20"/>
      <c r="AI316" s="20"/>
      <c r="AJ316" s="20"/>
      <c r="AK316" s="20"/>
      <c r="AL316" s="20"/>
      <c r="AM316" s="20"/>
      <c r="AN316" s="20"/>
      <c r="AO316" s="20"/>
      <c r="AP316" s="46"/>
      <c r="AQ316" s="110">
        <f t="shared" si="59"/>
        <v>0</v>
      </c>
    </row>
    <row r="317" spans="1:43" x14ac:dyDescent="0.2">
      <c r="A317" s="9" t="s">
        <v>4</v>
      </c>
      <c r="B317" s="8" t="s">
        <v>3</v>
      </c>
      <c r="C317" s="29">
        <f>SUM(C290:C316)</f>
        <v>25773.77</v>
      </c>
      <c r="D317" s="29">
        <f>SUM(D290:D316)</f>
        <v>12695</v>
      </c>
      <c r="E317" s="34"/>
      <c r="F317" s="29">
        <f>SUM(F290:F316)</f>
        <v>7617.619999999999</v>
      </c>
      <c r="G317" s="29">
        <f>SUM(G290:G316)</f>
        <v>6444</v>
      </c>
      <c r="H317" s="34"/>
      <c r="I317" s="29">
        <f>SUM(I290:I316)</f>
        <v>139002.54</v>
      </c>
      <c r="J317" s="29">
        <f>SUM(J290:J316)</f>
        <v>124215</v>
      </c>
      <c r="K317" s="34"/>
      <c r="L317" s="29">
        <f>SUM(L290:L316)</f>
        <v>278066.16000000003</v>
      </c>
      <c r="M317" s="29">
        <f>SUM(M290:M316)</f>
        <v>167547</v>
      </c>
      <c r="N317" s="34"/>
      <c r="O317" s="29">
        <f>SUM(O290:O316)</f>
        <v>0</v>
      </c>
      <c r="P317" s="29">
        <f>SUM(P290:P316)</f>
        <v>0</v>
      </c>
      <c r="Q317" s="34"/>
      <c r="R317" s="29">
        <f>SUM(R290:R316)</f>
        <v>0</v>
      </c>
      <c r="S317" s="29">
        <f>SUM(S290:S316)</f>
        <v>0</v>
      </c>
      <c r="T317" s="34"/>
      <c r="U317" s="29">
        <f>SUM(U290:U316)</f>
        <v>0</v>
      </c>
      <c r="V317" s="29">
        <f>SUM(V290:V316)</f>
        <v>0</v>
      </c>
      <c r="W317" s="34"/>
      <c r="X317" s="29">
        <f>SUM(X290:X316)</f>
        <v>0</v>
      </c>
      <c r="Y317" s="29">
        <f>SUM(Y290:Y316)</f>
        <v>0</v>
      </c>
      <c r="Z317" s="34"/>
      <c r="AA317" s="29">
        <f>SUM(AA290:AA316)</f>
        <v>0</v>
      </c>
      <c r="AB317" s="29">
        <f>SUM(AB290:AB316)</f>
        <v>0</v>
      </c>
      <c r="AC317" s="34"/>
      <c r="AD317" s="29">
        <f>SUM(AD290:AD316)</f>
        <v>0</v>
      </c>
      <c r="AE317" s="29">
        <f>SUM(AE290:AE316)</f>
        <v>0</v>
      </c>
      <c r="AF317" s="34"/>
      <c r="AG317" s="29">
        <f>SUM(AG290:AG316)</f>
        <v>0</v>
      </c>
      <c r="AH317" s="29">
        <f>SUM(AH290:AH316)</f>
        <v>0</v>
      </c>
      <c r="AI317" s="34"/>
      <c r="AJ317" s="29">
        <f>SUM(AJ290:AJ316)</f>
        <v>0</v>
      </c>
      <c r="AK317" s="29">
        <f>SUM(AK290:AK316)</f>
        <v>0</v>
      </c>
      <c r="AL317" s="29">
        <f>SUM(AL290:AL316)</f>
        <v>450460.09000000008</v>
      </c>
      <c r="AM317" s="29">
        <f>SUM(AM290:AM316)</f>
        <v>310901</v>
      </c>
      <c r="AN317" s="34"/>
      <c r="AO317" s="29">
        <f>SUM(AO290:AO316)</f>
        <v>575630</v>
      </c>
      <c r="AP317" s="46"/>
      <c r="AQ317" s="110">
        <f t="shared" si="59"/>
        <v>-291762</v>
      </c>
    </row>
    <row r="318" spans="1:43" x14ac:dyDescent="0.2"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50"/>
      <c r="AH318" s="50"/>
      <c r="AI318" s="50"/>
      <c r="AJ318" s="50"/>
      <c r="AK318" s="50"/>
      <c r="AL318" s="50"/>
      <c r="AM318" s="50"/>
      <c r="AN318" s="50"/>
      <c r="AO318" s="50"/>
      <c r="AP318" s="46"/>
      <c r="AQ318" s="110">
        <f t="shared" si="59"/>
        <v>0</v>
      </c>
    </row>
    <row r="319" spans="1:43" ht="12" thickBot="1" x14ac:dyDescent="0.25">
      <c r="A319" s="6" t="s">
        <v>2</v>
      </c>
      <c r="B319" s="5" t="s">
        <v>1</v>
      </c>
      <c r="C319" s="30">
        <f>+C317+C287+C250+C203</f>
        <v>587292.6</v>
      </c>
      <c r="D319" s="30">
        <f>+D317+D287+D250+D203</f>
        <v>396444</v>
      </c>
      <c r="E319" s="34"/>
      <c r="F319" s="30">
        <f>+F317+F287+F250+F203</f>
        <v>715292.03999999992</v>
      </c>
      <c r="G319" s="30">
        <f>+G317+G287+G250+G203</f>
        <v>434971</v>
      </c>
      <c r="H319" s="34"/>
      <c r="I319" s="30">
        <f>+I317+I287+I250+I203</f>
        <v>1381870.38</v>
      </c>
      <c r="J319" s="30">
        <f>+J317+J287+J250+J203</f>
        <v>571404</v>
      </c>
      <c r="K319" s="34"/>
      <c r="L319" s="30">
        <f>+L317+L287+L250+L203</f>
        <v>1216723.7100000004</v>
      </c>
      <c r="M319" s="30">
        <f>+M317+M287+M250+M203</f>
        <v>776033</v>
      </c>
      <c r="N319" s="34"/>
      <c r="O319" s="30">
        <f>+O317+O287+O250+O203</f>
        <v>0</v>
      </c>
      <c r="P319" s="30">
        <f>+P317+P287+P250+P203</f>
        <v>0</v>
      </c>
      <c r="Q319" s="34"/>
      <c r="R319" s="30">
        <f>+R317+R287+R250+R203</f>
        <v>0</v>
      </c>
      <c r="S319" s="30">
        <f>+S317+S287+S250+S203</f>
        <v>0</v>
      </c>
      <c r="T319" s="34"/>
      <c r="U319" s="30">
        <f>+U317+U287+U250+U203</f>
        <v>0</v>
      </c>
      <c r="V319" s="30">
        <f>+V317+V287+V250+V203</f>
        <v>0</v>
      </c>
      <c r="W319" s="34"/>
      <c r="X319" s="30">
        <f>+X317+X287+X250+X203</f>
        <v>0</v>
      </c>
      <c r="Y319" s="30">
        <f>+Y317+Y287+Y250+Y203</f>
        <v>0</v>
      </c>
      <c r="Z319" s="34"/>
      <c r="AA319" s="30">
        <f>+AA317+AA287+AA250+AA203</f>
        <v>0</v>
      </c>
      <c r="AB319" s="30">
        <f>+AB317+AB287+AB250+AB203</f>
        <v>0</v>
      </c>
      <c r="AC319" s="34"/>
      <c r="AD319" s="30">
        <f>+AD317+AD287+AD250+AD203</f>
        <v>0</v>
      </c>
      <c r="AE319" s="30">
        <f>+AE317+AE287+AE250+AE203</f>
        <v>0</v>
      </c>
      <c r="AF319" s="34"/>
      <c r="AG319" s="30">
        <f>+AG317+AG287+AG250+AG203</f>
        <v>0</v>
      </c>
      <c r="AH319" s="30">
        <f>+AH317+AH287+AH250+AH203</f>
        <v>0</v>
      </c>
      <c r="AI319" s="34"/>
      <c r="AJ319" s="30">
        <f>+AJ317+AJ287+AJ250+AJ203</f>
        <v>0</v>
      </c>
      <c r="AK319" s="30">
        <f>+AK317+AK287+AK250+AK203</f>
        <v>0</v>
      </c>
      <c r="AL319" s="42">
        <f>+AL317+AL287+AL250+AL203</f>
        <v>3901178.7300000009</v>
      </c>
      <c r="AM319" s="30">
        <f>+AM317+AM287+AM250+AM203</f>
        <v>2178852</v>
      </c>
      <c r="AN319" s="34"/>
      <c r="AO319" s="30">
        <f>+AO317+AO287+AO250+AO203</f>
        <v>5798899</v>
      </c>
      <c r="AP319" s="46"/>
      <c r="AQ319" s="110">
        <f t="shared" si="59"/>
        <v>-1347437</v>
      </c>
    </row>
    <row r="320" spans="1:43" ht="12" thickTop="1" x14ac:dyDescent="0.2"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50"/>
      <c r="AH320" s="50"/>
      <c r="AI320" s="50"/>
      <c r="AJ320" s="50"/>
      <c r="AK320" s="50"/>
      <c r="AL320" s="50"/>
      <c r="AM320" s="50"/>
      <c r="AN320" s="50"/>
      <c r="AO320" s="50"/>
      <c r="AP320" s="46"/>
      <c r="AQ320" s="110">
        <f t="shared" si="59"/>
        <v>0</v>
      </c>
    </row>
    <row r="321" spans="1:43" x14ac:dyDescent="0.2"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50"/>
      <c r="AH321" s="50"/>
      <c r="AI321" s="50"/>
      <c r="AJ321" s="50"/>
      <c r="AK321" s="50"/>
      <c r="AL321" s="50"/>
      <c r="AM321" s="50"/>
      <c r="AN321" s="50"/>
      <c r="AO321" s="50"/>
      <c r="AP321" s="46"/>
      <c r="AQ321" s="110">
        <f t="shared" si="59"/>
        <v>0</v>
      </c>
    </row>
    <row r="322" spans="1:43" ht="12" thickBot="1" x14ac:dyDescent="0.25">
      <c r="A322" s="4"/>
      <c r="B322" s="3" t="s">
        <v>0</v>
      </c>
      <c r="C322" s="33">
        <f>+C97-C319</f>
        <v>-88705.56</v>
      </c>
      <c r="D322" s="33">
        <f>+D97-D319</f>
        <v>3679</v>
      </c>
      <c r="E322" s="38"/>
      <c r="F322" s="33">
        <f>+F97-F319</f>
        <v>95798.210000000079</v>
      </c>
      <c r="G322" s="33">
        <f>+G97-G319</f>
        <v>283335</v>
      </c>
      <c r="H322" s="38"/>
      <c r="I322" s="33">
        <f>+I97-I319</f>
        <v>-290810.07000000007</v>
      </c>
      <c r="J322" s="33">
        <f>+J97-J319</f>
        <v>166562</v>
      </c>
      <c r="K322" s="38"/>
      <c r="L322" s="33">
        <f>+L97-L319</f>
        <v>-85781.19000000041</v>
      </c>
      <c r="M322" s="33">
        <f>+M97-M319</f>
        <v>-61129</v>
      </c>
      <c r="N322" s="38"/>
      <c r="O322" s="33">
        <f>+O97-O319</f>
        <v>0</v>
      </c>
      <c r="P322" s="33">
        <f>+P97-P319</f>
        <v>0</v>
      </c>
      <c r="Q322" s="38"/>
      <c r="R322" s="33">
        <f>+R97-R319</f>
        <v>0</v>
      </c>
      <c r="S322" s="33">
        <f>+S97-S319</f>
        <v>0</v>
      </c>
      <c r="T322" s="38"/>
      <c r="U322" s="33">
        <f>+U97-U319</f>
        <v>0</v>
      </c>
      <c r="V322" s="33">
        <f>+V97-V319</f>
        <v>0</v>
      </c>
      <c r="W322" s="38"/>
      <c r="X322" s="33">
        <f>+X97-X319</f>
        <v>0</v>
      </c>
      <c r="Y322" s="33">
        <f>+Y97-Y319</f>
        <v>0</v>
      </c>
      <c r="Z322" s="38"/>
      <c r="AA322" s="33">
        <f>+AA97-AA319</f>
        <v>0</v>
      </c>
      <c r="AB322" s="33">
        <f>+AB97-AB319</f>
        <v>0</v>
      </c>
      <c r="AC322" s="38"/>
      <c r="AD322" s="33">
        <f>+AD97-AD319</f>
        <v>0</v>
      </c>
      <c r="AE322" s="33">
        <f>+AE97-AE319</f>
        <v>0</v>
      </c>
      <c r="AF322" s="38"/>
      <c r="AG322" s="33">
        <f>+AG97-AG319</f>
        <v>0</v>
      </c>
      <c r="AH322" s="33">
        <f>+AH97-AH319</f>
        <v>0</v>
      </c>
      <c r="AI322" s="34"/>
      <c r="AJ322" s="33">
        <f>+AJ97-AJ319</f>
        <v>0</v>
      </c>
      <c r="AK322" s="33">
        <f>+AK97-AK319</f>
        <v>0</v>
      </c>
      <c r="AL322" s="33">
        <f>+AL97-AL319</f>
        <v>-369498.6100000008</v>
      </c>
      <c r="AM322" s="33">
        <f>+AM97-AM319</f>
        <v>392447</v>
      </c>
      <c r="AN322" s="34"/>
      <c r="AO322" s="33">
        <f>+AO97-AO319</f>
        <v>393101</v>
      </c>
      <c r="AP322" s="46"/>
      <c r="AQ322" s="110">
        <f t="shared" si="59"/>
        <v>-105433</v>
      </c>
    </row>
    <row r="323" spans="1:43" ht="12" thickTop="1" x14ac:dyDescent="0.2">
      <c r="A323" s="2"/>
      <c r="B323" s="2"/>
      <c r="C323" s="39"/>
      <c r="D323" s="39"/>
      <c r="E323" s="39"/>
      <c r="F323" s="39"/>
      <c r="G323" s="39"/>
      <c r="H323" s="39"/>
      <c r="I323" s="39"/>
      <c r="J323" s="39"/>
      <c r="K323" s="39"/>
      <c r="L323" s="39"/>
      <c r="M323" s="39"/>
      <c r="N323" s="39"/>
      <c r="O323" s="39"/>
      <c r="P323" s="39"/>
      <c r="Q323" s="39"/>
      <c r="R323" s="39"/>
      <c r="S323" s="39"/>
      <c r="T323" s="39"/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F323" s="39"/>
      <c r="AG323" s="54"/>
      <c r="AH323" s="54"/>
      <c r="AI323" s="54"/>
      <c r="AJ323" s="54"/>
      <c r="AK323" s="54"/>
      <c r="AL323" s="54"/>
      <c r="AM323" s="54"/>
      <c r="AN323" s="54"/>
      <c r="AO323" s="54"/>
      <c r="AP323" s="46"/>
      <c r="AQ323" s="110">
        <f t="shared" si="59"/>
        <v>0</v>
      </c>
    </row>
    <row r="324" spans="1:43" x14ac:dyDescent="0.2">
      <c r="A324" s="2"/>
      <c r="B324" s="2"/>
      <c r="C324" s="39"/>
      <c r="D324" s="39"/>
      <c r="E324" s="39"/>
      <c r="F324" s="39"/>
      <c r="G324" s="39"/>
      <c r="H324" s="39"/>
      <c r="I324" s="39"/>
      <c r="J324" s="39"/>
      <c r="K324" s="39"/>
      <c r="L324" s="39"/>
      <c r="M324" s="39"/>
      <c r="N324" s="39"/>
      <c r="O324" s="39"/>
      <c r="P324" s="39"/>
      <c r="Q324" s="39"/>
      <c r="R324" s="39"/>
      <c r="S324" s="39"/>
      <c r="T324" s="39"/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F324" s="39"/>
      <c r="AG324" s="54"/>
      <c r="AH324" s="54"/>
      <c r="AI324" s="54"/>
      <c r="AJ324" s="54"/>
      <c r="AK324" s="54"/>
      <c r="AL324" s="54"/>
      <c r="AM324" s="54"/>
      <c r="AN324" s="54"/>
      <c r="AO324" s="54"/>
      <c r="AP324" s="46"/>
      <c r="AQ324" s="110">
        <f t="shared" si="59"/>
        <v>0</v>
      </c>
    </row>
    <row r="325" spans="1:43" x14ac:dyDescent="0.2">
      <c r="A325" s="2"/>
      <c r="B325" s="2"/>
      <c r="C325" s="39"/>
      <c r="D325" s="39"/>
      <c r="E325" s="39"/>
      <c r="F325" s="39"/>
      <c r="G325" s="39"/>
      <c r="H325" s="39"/>
      <c r="I325" s="39"/>
      <c r="J325" s="39"/>
      <c r="K325" s="39"/>
      <c r="L325" s="39"/>
      <c r="M325" s="39"/>
      <c r="N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F325" s="39"/>
      <c r="AG325" s="54"/>
      <c r="AH325" s="54"/>
      <c r="AI325" s="54"/>
      <c r="AJ325" s="54"/>
      <c r="AK325" s="54"/>
      <c r="AL325" s="54"/>
      <c r="AM325" s="54"/>
      <c r="AN325" s="54"/>
      <c r="AO325" s="54"/>
      <c r="AP325" s="46"/>
      <c r="AQ325" s="110">
        <f t="shared" si="59"/>
        <v>0</v>
      </c>
    </row>
    <row r="326" spans="1:43" x14ac:dyDescent="0.2">
      <c r="A326" s="2"/>
      <c r="B326" s="2"/>
      <c r="C326" s="39"/>
      <c r="D326" s="39"/>
      <c r="E326" s="39"/>
      <c r="F326" s="39"/>
      <c r="G326" s="39"/>
      <c r="H326" s="39"/>
      <c r="I326" s="39"/>
      <c r="J326" s="39"/>
      <c r="K326" s="39"/>
      <c r="L326" s="39"/>
      <c r="M326" s="39"/>
      <c r="N326" s="39"/>
      <c r="O326" s="39"/>
      <c r="P326" s="39"/>
      <c r="Q326" s="39"/>
      <c r="R326" s="39"/>
      <c r="S326" s="39"/>
      <c r="T326" s="39"/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F326" s="39"/>
      <c r="AG326" s="54"/>
      <c r="AH326" s="54"/>
      <c r="AI326" s="54"/>
      <c r="AJ326" s="54"/>
      <c r="AK326" s="54"/>
      <c r="AL326" s="54"/>
      <c r="AM326" s="54"/>
      <c r="AN326" s="54"/>
      <c r="AO326" s="54"/>
      <c r="AP326" s="46"/>
      <c r="AQ326" s="110">
        <f t="shared" si="59"/>
        <v>0</v>
      </c>
    </row>
    <row r="327" spans="1:43" x14ac:dyDescent="0.2">
      <c r="A327" s="2"/>
      <c r="B327" s="2"/>
      <c r="C327" s="39"/>
      <c r="D327" s="39"/>
      <c r="E327" s="39"/>
      <c r="F327" s="39"/>
      <c r="G327" s="39"/>
      <c r="H327" s="39"/>
      <c r="I327" s="39"/>
      <c r="J327" s="39"/>
      <c r="K327" s="39"/>
      <c r="L327" s="39"/>
      <c r="M327" s="39"/>
      <c r="N327" s="39"/>
      <c r="O327" s="39"/>
      <c r="P327" s="39"/>
      <c r="Q327" s="39"/>
      <c r="R327" s="39"/>
      <c r="S327" s="39"/>
      <c r="T327" s="39"/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F327" s="39"/>
      <c r="AG327" s="54"/>
      <c r="AH327" s="54"/>
      <c r="AI327" s="54"/>
      <c r="AJ327" s="54"/>
      <c r="AK327" s="54"/>
      <c r="AL327" s="54"/>
      <c r="AM327" s="54"/>
      <c r="AN327" s="54"/>
      <c r="AO327" s="54"/>
      <c r="AP327" s="46"/>
      <c r="AQ327" s="110">
        <f t="shared" si="59"/>
        <v>0</v>
      </c>
    </row>
    <row r="328" spans="1:43" x14ac:dyDescent="0.2">
      <c r="A328" s="2"/>
      <c r="B328" s="2"/>
      <c r="C328" s="39"/>
      <c r="D328" s="39"/>
      <c r="E328" s="39"/>
      <c r="F328" s="39"/>
      <c r="G328" s="39"/>
      <c r="H328" s="39"/>
      <c r="I328" s="39"/>
      <c r="J328" s="39"/>
      <c r="K328" s="39"/>
      <c r="L328" s="39"/>
      <c r="M328" s="39"/>
      <c r="N328" s="39"/>
      <c r="O328" s="39"/>
      <c r="P328" s="39"/>
      <c r="Q328" s="39"/>
      <c r="R328" s="39"/>
      <c r="S328" s="39"/>
      <c r="T328" s="39"/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F328" s="39"/>
      <c r="AG328" s="54"/>
      <c r="AH328" s="54"/>
      <c r="AI328" s="54"/>
      <c r="AJ328" s="54"/>
      <c r="AK328" s="54"/>
      <c r="AL328" s="54"/>
      <c r="AM328" s="54"/>
      <c r="AN328" s="54"/>
      <c r="AO328" s="54"/>
      <c r="AP328" s="46"/>
      <c r="AQ328" s="110">
        <f t="shared" si="59"/>
        <v>0</v>
      </c>
    </row>
    <row r="329" spans="1:43" x14ac:dyDescent="0.2">
      <c r="A329" s="2"/>
      <c r="B329" s="2"/>
      <c r="C329" s="39"/>
      <c r="D329" s="39"/>
      <c r="E329" s="39"/>
      <c r="F329" s="39"/>
      <c r="G329" s="39"/>
      <c r="H329" s="39"/>
      <c r="I329" s="39"/>
      <c r="J329" s="39"/>
      <c r="K329" s="39"/>
      <c r="L329" s="39"/>
      <c r="M329" s="39"/>
      <c r="N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F329" s="39"/>
      <c r="AG329" s="54"/>
      <c r="AH329" s="54"/>
      <c r="AI329" s="54"/>
      <c r="AJ329" s="54"/>
      <c r="AK329" s="54"/>
      <c r="AL329" s="54"/>
      <c r="AM329" s="54"/>
      <c r="AN329" s="54"/>
      <c r="AO329" s="54"/>
      <c r="AP329" s="46"/>
      <c r="AQ329" s="110">
        <f t="shared" si="59"/>
        <v>0</v>
      </c>
    </row>
    <row r="330" spans="1:43" x14ac:dyDescent="0.2">
      <c r="A330" s="2"/>
      <c r="B330" s="2"/>
      <c r="C330" s="39"/>
      <c r="D330" s="39"/>
      <c r="E330" s="39"/>
      <c r="F330" s="39"/>
      <c r="G330" s="39"/>
      <c r="H330" s="39"/>
      <c r="I330" s="39"/>
      <c r="J330" s="39"/>
      <c r="K330" s="39"/>
      <c r="L330" s="39"/>
      <c r="M330" s="39"/>
      <c r="N330" s="39"/>
      <c r="O330" s="39"/>
      <c r="P330" s="39"/>
      <c r="Q330" s="39"/>
      <c r="R330" s="39"/>
      <c r="S330" s="39"/>
      <c r="T330" s="39"/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F330" s="39"/>
      <c r="AG330" s="54"/>
      <c r="AH330" s="54"/>
      <c r="AI330" s="54"/>
      <c r="AJ330" s="54"/>
      <c r="AK330" s="54"/>
      <c r="AL330" s="54"/>
      <c r="AM330" s="54"/>
      <c r="AN330" s="54"/>
      <c r="AO330" s="54"/>
      <c r="AP330" s="46"/>
      <c r="AQ330" s="110">
        <f t="shared" si="59"/>
        <v>0</v>
      </c>
    </row>
    <row r="331" spans="1:43" x14ac:dyDescent="0.2">
      <c r="A331" s="2"/>
      <c r="B331" s="2"/>
      <c r="C331" s="39"/>
      <c r="D331" s="39"/>
      <c r="E331" s="39"/>
      <c r="F331" s="39"/>
      <c r="G331" s="39"/>
      <c r="H331" s="39"/>
      <c r="I331" s="39"/>
      <c r="J331" s="39"/>
      <c r="K331" s="39"/>
      <c r="L331" s="39"/>
      <c r="M331" s="39"/>
      <c r="N331" s="39"/>
      <c r="O331" s="39"/>
      <c r="P331" s="39"/>
      <c r="Q331" s="39"/>
      <c r="R331" s="39"/>
      <c r="S331" s="39"/>
      <c r="T331" s="39"/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F331" s="39"/>
      <c r="AG331" s="54"/>
      <c r="AH331" s="54"/>
      <c r="AI331" s="54"/>
      <c r="AJ331" s="54"/>
      <c r="AK331" s="54"/>
      <c r="AL331" s="54"/>
      <c r="AM331" s="54"/>
      <c r="AN331" s="54"/>
      <c r="AO331" s="54"/>
      <c r="AP331" s="46"/>
      <c r="AQ331" s="110">
        <f t="shared" si="59"/>
        <v>0</v>
      </c>
    </row>
    <row r="332" spans="1:43" x14ac:dyDescent="0.2">
      <c r="A332" s="2"/>
      <c r="B332" s="2"/>
      <c r="C332" s="39"/>
      <c r="D332" s="39"/>
      <c r="E332" s="39"/>
      <c r="F332" s="39"/>
      <c r="G332" s="39"/>
      <c r="H332" s="39"/>
      <c r="I332" s="39"/>
      <c r="J332" s="39"/>
      <c r="K332" s="39"/>
      <c r="L332" s="39"/>
      <c r="M332" s="39"/>
      <c r="N332" s="39"/>
      <c r="O332" s="39"/>
      <c r="P332" s="39"/>
      <c r="Q332" s="39"/>
      <c r="R332" s="39"/>
      <c r="S332" s="39"/>
      <c r="T332" s="39"/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F332" s="39"/>
      <c r="AG332" s="54"/>
      <c r="AH332" s="54"/>
      <c r="AI332" s="54"/>
      <c r="AJ332" s="54"/>
      <c r="AK332" s="54"/>
      <c r="AL332" s="54"/>
      <c r="AM332" s="54"/>
      <c r="AN332" s="54"/>
      <c r="AO332" s="54"/>
      <c r="AP332" s="46"/>
      <c r="AQ332" s="110">
        <f t="shared" si="59"/>
        <v>0</v>
      </c>
    </row>
    <row r="333" spans="1:43" x14ac:dyDescent="0.2">
      <c r="A333" s="2"/>
      <c r="B333" s="2"/>
      <c r="C333" s="39"/>
      <c r="D333" s="39"/>
      <c r="E333" s="39"/>
      <c r="F333" s="39"/>
      <c r="G333" s="39"/>
      <c r="H333" s="39"/>
      <c r="I333" s="39"/>
      <c r="J333" s="39"/>
      <c r="K333" s="39"/>
      <c r="L333" s="39"/>
      <c r="M333" s="39"/>
      <c r="N333" s="39"/>
      <c r="O333" s="39"/>
      <c r="P333" s="39"/>
      <c r="Q333" s="39"/>
      <c r="R333" s="39"/>
      <c r="S333" s="39"/>
      <c r="T333" s="39"/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F333" s="39"/>
      <c r="AG333" s="54"/>
      <c r="AH333" s="54"/>
      <c r="AI333" s="54"/>
      <c r="AJ333" s="54"/>
      <c r="AK333" s="54"/>
      <c r="AL333" s="54"/>
      <c r="AM333" s="54"/>
      <c r="AN333" s="54"/>
      <c r="AO333" s="54"/>
      <c r="AP333" s="46"/>
    </row>
    <row r="334" spans="1:43" x14ac:dyDescent="0.2">
      <c r="A334" s="2"/>
      <c r="B334" s="2"/>
      <c r="C334" s="39"/>
      <c r="D334" s="39"/>
      <c r="E334" s="39"/>
      <c r="F334" s="39"/>
      <c r="G334" s="39"/>
      <c r="H334" s="39"/>
      <c r="I334" s="39"/>
      <c r="J334" s="39"/>
      <c r="K334" s="39"/>
      <c r="L334" s="39"/>
      <c r="M334" s="39"/>
      <c r="N334" s="39"/>
      <c r="O334" s="39"/>
      <c r="P334" s="39"/>
      <c r="Q334" s="39"/>
      <c r="R334" s="39"/>
      <c r="S334" s="39"/>
      <c r="T334" s="39"/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F334" s="39"/>
      <c r="AG334" s="54"/>
      <c r="AH334" s="54"/>
      <c r="AI334" s="54"/>
      <c r="AJ334" s="54"/>
      <c r="AK334" s="54"/>
      <c r="AL334" s="54"/>
      <c r="AM334" s="54"/>
      <c r="AN334" s="54"/>
      <c r="AO334" s="54"/>
      <c r="AP334" s="46"/>
    </row>
    <row r="335" spans="1:43" x14ac:dyDescent="0.2">
      <c r="A335" s="2"/>
      <c r="B335" s="2"/>
      <c r="C335" s="39"/>
      <c r="D335" s="39"/>
      <c r="E335" s="39"/>
      <c r="F335" s="39"/>
      <c r="G335" s="39"/>
      <c r="H335" s="39"/>
      <c r="I335" s="39"/>
      <c r="J335" s="39"/>
      <c r="K335" s="39"/>
      <c r="L335" s="39"/>
      <c r="M335" s="39"/>
      <c r="N335" s="39"/>
      <c r="O335" s="39"/>
      <c r="P335" s="39"/>
      <c r="Q335" s="39"/>
      <c r="R335" s="39"/>
      <c r="S335" s="39"/>
      <c r="T335" s="39"/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F335" s="39"/>
      <c r="AG335" s="54"/>
      <c r="AH335" s="54"/>
      <c r="AI335" s="54"/>
      <c r="AJ335" s="54"/>
      <c r="AK335" s="54"/>
      <c r="AL335" s="54"/>
      <c r="AM335" s="54"/>
      <c r="AN335" s="54"/>
      <c r="AO335" s="54"/>
      <c r="AP335" s="46"/>
    </row>
    <row r="336" spans="1:43" x14ac:dyDescent="0.2">
      <c r="A336" s="2"/>
      <c r="B336" s="2"/>
      <c r="C336" s="39"/>
      <c r="D336" s="39"/>
      <c r="E336" s="39"/>
      <c r="F336" s="39"/>
      <c r="G336" s="39"/>
      <c r="H336" s="39"/>
      <c r="I336" s="39"/>
      <c r="J336" s="39"/>
      <c r="K336" s="39"/>
      <c r="L336" s="39"/>
      <c r="M336" s="39"/>
      <c r="N336" s="39"/>
      <c r="O336" s="39"/>
      <c r="P336" s="39"/>
      <c r="Q336" s="39"/>
      <c r="R336" s="39"/>
      <c r="S336" s="39"/>
      <c r="T336" s="39"/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F336" s="39"/>
      <c r="AG336" s="54"/>
      <c r="AH336" s="54"/>
      <c r="AI336" s="54"/>
      <c r="AJ336" s="54"/>
      <c r="AK336" s="54"/>
      <c r="AL336" s="54"/>
      <c r="AM336" s="54"/>
      <c r="AN336" s="54"/>
      <c r="AO336" s="54"/>
      <c r="AP336" s="46"/>
    </row>
    <row r="337" spans="1:42" x14ac:dyDescent="0.2">
      <c r="A337" s="2"/>
      <c r="B337" s="2"/>
      <c r="C337" s="39"/>
      <c r="D337" s="39"/>
      <c r="E337" s="39"/>
      <c r="F337" s="39"/>
      <c r="G337" s="39"/>
      <c r="H337" s="39"/>
      <c r="I337" s="39"/>
      <c r="J337" s="39"/>
      <c r="K337" s="39"/>
      <c r="L337" s="39"/>
      <c r="M337" s="39"/>
      <c r="N337" s="39"/>
      <c r="O337" s="39"/>
      <c r="P337" s="39"/>
      <c r="Q337" s="39"/>
      <c r="R337" s="39"/>
      <c r="S337" s="39"/>
      <c r="T337" s="39"/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F337" s="39"/>
      <c r="AG337" s="54"/>
      <c r="AH337" s="54"/>
      <c r="AI337" s="54"/>
      <c r="AJ337" s="54"/>
      <c r="AK337" s="54"/>
      <c r="AL337" s="54"/>
      <c r="AM337" s="54"/>
      <c r="AN337" s="54"/>
      <c r="AO337" s="54"/>
      <c r="AP337" s="46"/>
    </row>
    <row r="338" spans="1:42" x14ac:dyDescent="0.2">
      <c r="A338" s="2"/>
      <c r="B338" s="2"/>
      <c r="C338" s="39"/>
      <c r="D338" s="39"/>
      <c r="E338" s="39"/>
      <c r="F338" s="39"/>
      <c r="G338" s="39"/>
      <c r="H338" s="39"/>
      <c r="I338" s="39"/>
      <c r="J338" s="39"/>
      <c r="K338" s="39"/>
      <c r="L338" s="39"/>
      <c r="M338" s="39"/>
      <c r="N338" s="39"/>
      <c r="O338" s="39"/>
      <c r="P338" s="39"/>
      <c r="Q338" s="39"/>
      <c r="R338" s="39"/>
      <c r="S338" s="39"/>
      <c r="T338" s="39"/>
      <c r="U338" s="39"/>
      <c r="V338" s="39"/>
      <c r="W338" s="39"/>
      <c r="X338" s="39"/>
      <c r="Y338" s="39"/>
      <c r="Z338" s="39"/>
      <c r="AA338" s="39"/>
      <c r="AB338" s="39"/>
      <c r="AC338" s="39"/>
      <c r="AD338" s="39"/>
      <c r="AE338" s="39"/>
      <c r="AF338" s="39"/>
      <c r="AG338" s="54"/>
      <c r="AH338" s="54"/>
      <c r="AI338" s="54"/>
      <c r="AJ338" s="54"/>
      <c r="AK338" s="54"/>
      <c r="AL338" s="54"/>
      <c r="AM338" s="54"/>
      <c r="AN338" s="54"/>
      <c r="AO338" s="54"/>
      <c r="AP338" s="46"/>
    </row>
    <row r="339" spans="1:42" x14ac:dyDescent="0.2">
      <c r="A339" s="2"/>
      <c r="B339" s="2"/>
      <c r="C339" s="39"/>
      <c r="D339" s="39"/>
      <c r="E339" s="39"/>
      <c r="F339" s="39"/>
      <c r="G339" s="39"/>
      <c r="H339" s="39"/>
      <c r="I339" s="39"/>
      <c r="J339" s="39"/>
      <c r="K339" s="39"/>
      <c r="L339" s="39"/>
      <c r="M339" s="39"/>
      <c r="N339" s="39"/>
      <c r="O339" s="39"/>
      <c r="P339" s="39"/>
      <c r="Q339" s="39"/>
      <c r="R339" s="39"/>
      <c r="S339" s="39"/>
      <c r="T339" s="39"/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F339" s="39"/>
      <c r="AG339" s="54"/>
      <c r="AH339" s="54"/>
      <c r="AI339" s="54"/>
      <c r="AJ339" s="54"/>
      <c r="AK339" s="54"/>
      <c r="AL339" s="54"/>
      <c r="AM339" s="54"/>
      <c r="AN339" s="54"/>
      <c r="AO339" s="54"/>
      <c r="AP339" s="46"/>
    </row>
    <row r="340" spans="1:42" x14ac:dyDescent="0.2">
      <c r="A340" s="2"/>
      <c r="B340" s="2"/>
      <c r="C340" s="39"/>
      <c r="D340" s="39"/>
      <c r="E340" s="39"/>
      <c r="F340" s="39"/>
      <c r="G340" s="39"/>
      <c r="H340" s="39"/>
      <c r="I340" s="39"/>
      <c r="J340" s="39"/>
      <c r="K340" s="39"/>
      <c r="L340" s="39"/>
      <c r="M340" s="39"/>
      <c r="N340" s="39"/>
      <c r="O340" s="39"/>
      <c r="P340" s="39"/>
      <c r="Q340" s="39"/>
      <c r="R340" s="39"/>
      <c r="S340" s="39"/>
      <c r="T340" s="39"/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F340" s="39"/>
      <c r="AG340" s="54"/>
      <c r="AH340" s="54"/>
      <c r="AI340" s="54"/>
      <c r="AJ340" s="54"/>
      <c r="AK340" s="54"/>
      <c r="AL340" s="54"/>
      <c r="AM340" s="54"/>
      <c r="AN340" s="54"/>
      <c r="AO340" s="54"/>
      <c r="AP340" s="46"/>
    </row>
    <row r="341" spans="1:42" x14ac:dyDescent="0.2">
      <c r="A341" s="2"/>
      <c r="B341" s="2"/>
      <c r="C341" s="39"/>
      <c r="D341" s="39"/>
      <c r="E341" s="39"/>
      <c r="F341" s="39"/>
      <c r="G341" s="39"/>
      <c r="H341" s="39"/>
      <c r="I341" s="39"/>
      <c r="J341" s="39"/>
      <c r="K341" s="39"/>
      <c r="L341" s="39"/>
      <c r="M341" s="39"/>
      <c r="N341" s="39"/>
      <c r="O341" s="39"/>
      <c r="P341" s="39"/>
      <c r="Q341" s="39"/>
      <c r="R341" s="39"/>
      <c r="S341" s="39"/>
      <c r="T341" s="39"/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F341" s="39"/>
      <c r="AG341" s="54"/>
      <c r="AH341" s="54"/>
      <c r="AI341" s="54"/>
      <c r="AJ341" s="54"/>
      <c r="AK341" s="54"/>
      <c r="AL341" s="54"/>
      <c r="AM341" s="54"/>
      <c r="AN341" s="54"/>
      <c r="AO341" s="54"/>
      <c r="AP341" s="46"/>
    </row>
    <row r="342" spans="1:42" x14ac:dyDescent="0.2">
      <c r="A342" s="2"/>
      <c r="B342" s="2"/>
      <c r="C342" s="39"/>
      <c r="D342" s="39"/>
      <c r="E342" s="39"/>
      <c r="F342" s="39"/>
      <c r="G342" s="39"/>
      <c r="H342" s="39"/>
      <c r="I342" s="39"/>
      <c r="J342" s="39"/>
      <c r="K342" s="39"/>
      <c r="L342" s="39"/>
      <c r="M342" s="39"/>
      <c r="N342" s="39"/>
      <c r="O342" s="39"/>
      <c r="P342" s="39"/>
      <c r="Q342" s="39"/>
      <c r="R342" s="39"/>
      <c r="S342" s="39"/>
      <c r="T342" s="39"/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F342" s="39"/>
      <c r="AG342" s="54"/>
      <c r="AH342" s="54"/>
      <c r="AI342" s="54"/>
      <c r="AJ342" s="54"/>
      <c r="AK342" s="54"/>
      <c r="AL342" s="54"/>
      <c r="AM342" s="54"/>
      <c r="AN342" s="54"/>
      <c r="AO342" s="54"/>
      <c r="AP342" s="46"/>
    </row>
    <row r="343" spans="1:42" x14ac:dyDescent="0.2">
      <c r="A343" s="2"/>
      <c r="B343" s="2"/>
      <c r="C343" s="39"/>
      <c r="D343" s="39"/>
      <c r="E343" s="39"/>
      <c r="F343" s="39"/>
      <c r="G343" s="39"/>
      <c r="H343" s="39"/>
      <c r="I343" s="39"/>
      <c r="J343" s="39"/>
      <c r="K343" s="39"/>
      <c r="L343" s="39"/>
      <c r="M343" s="39"/>
      <c r="N343" s="39"/>
      <c r="O343" s="39"/>
      <c r="P343" s="39"/>
      <c r="Q343" s="39"/>
      <c r="R343" s="39"/>
      <c r="S343" s="39"/>
      <c r="T343" s="39"/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F343" s="39"/>
      <c r="AG343" s="54"/>
      <c r="AH343" s="54"/>
      <c r="AI343" s="54"/>
      <c r="AJ343" s="54"/>
      <c r="AK343" s="54"/>
      <c r="AL343" s="54"/>
      <c r="AM343" s="54"/>
      <c r="AN343" s="54"/>
      <c r="AO343" s="54"/>
      <c r="AP343" s="46"/>
    </row>
    <row r="344" spans="1:42" x14ac:dyDescent="0.2">
      <c r="A344" s="2"/>
      <c r="B344" s="2"/>
      <c r="C344" s="39"/>
      <c r="D344" s="39"/>
      <c r="E344" s="39"/>
      <c r="F344" s="39"/>
      <c r="G344" s="39"/>
      <c r="H344" s="39"/>
      <c r="I344" s="39"/>
      <c r="J344" s="39"/>
      <c r="K344" s="39"/>
      <c r="L344" s="39"/>
      <c r="M344" s="39"/>
      <c r="N344" s="39"/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54"/>
      <c r="AH344" s="54"/>
      <c r="AI344" s="54"/>
      <c r="AJ344" s="54"/>
      <c r="AK344" s="54"/>
      <c r="AL344" s="54"/>
      <c r="AM344" s="54"/>
      <c r="AN344" s="54"/>
      <c r="AO344" s="54"/>
      <c r="AP344" s="46"/>
    </row>
    <row r="345" spans="1:42" x14ac:dyDescent="0.2">
      <c r="A345" s="2"/>
      <c r="B345" s="2"/>
      <c r="C345" s="39"/>
      <c r="D345" s="39"/>
      <c r="E345" s="39"/>
      <c r="F345" s="39"/>
      <c r="G345" s="39"/>
      <c r="H345" s="39"/>
      <c r="I345" s="39"/>
      <c r="J345" s="39"/>
      <c r="K345" s="39"/>
      <c r="L345" s="39"/>
      <c r="M345" s="39"/>
      <c r="N345" s="39"/>
      <c r="O345" s="39"/>
      <c r="P345" s="39"/>
      <c r="Q345" s="39"/>
      <c r="R345" s="39"/>
      <c r="S345" s="39"/>
      <c r="T345" s="39"/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F345" s="39"/>
      <c r="AG345" s="54"/>
      <c r="AH345" s="54"/>
      <c r="AI345" s="54"/>
      <c r="AJ345" s="54"/>
      <c r="AK345" s="54"/>
      <c r="AL345" s="54"/>
      <c r="AM345" s="54"/>
      <c r="AN345" s="54"/>
      <c r="AO345" s="54"/>
      <c r="AP345" s="46"/>
    </row>
    <row r="346" spans="1:42" x14ac:dyDescent="0.2">
      <c r="A346" s="2"/>
      <c r="B346" s="2"/>
      <c r="C346" s="39"/>
      <c r="D346" s="39"/>
      <c r="E346" s="39"/>
      <c r="F346" s="39"/>
      <c r="G346" s="39"/>
      <c r="H346" s="39"/>
      <c r="I346" s="39"/>
      <c r="J346" s="39"/>
      <c r="K346" s="39"/>
      <c r="L346" s="39"/>
      <c r="M346" s="39"/>
      <c r="N346" s="39"/>
      <c r="O346" s="39"/>
      <c r="P346" s="39"/>
      <c r="Q346" s="39"/>
      <c r="R346" s="39"/>
      <c r="S346" s="39"/>
      <c r="T346" s="39"/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F346" s="39"/>
      <c r="AG346" s="54"/>
      <c r="AH346" s="54"/>
      <c r="AI346" s="54"/>
      <c r="AJ346" s="54"/>
      <c r="AK346" s="54"/>
      <c r="AL346" s="54"/>
      <c r="AM346" s="54"/>
      <c r="AN346" s="54"/>
      <c r="AO346" s="54"/>
      <c r="AP346" s="46"/>
    </row>
    <row r="347" spans="1:42" x14ac:dyDescent="0.2">
      <c r="A347" s="2"/>
      <c r="B347" s="2"/>
      <c r="C347" s="39"/>
      <c r="D347" s="39"/>
      <c r="E347" s="39"/>
      <c r="F347" s="39"/>
      <c r="G347" s="39"/>
      <c r="H347" s="39"/>
      <c r="I347" s="39"/>
      <c r="J347" s="39"/>
      <c r="K347" s="39"/>
      <c r="L347" s="39"/>
      <c r="M347" s="39"/>
      <c r="N347" s="39"/>
      <c r="O347" s="39"/>
      <c r="P347" s="39"/>
      <c r="Q347" s="39"/>
      <c r="R347" s="39"/>
      <c r="S347" s="39"/>
      <c r="T347" s="39"/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F347" s="39"/>
      <c r="AG347" s="54"/>
      <c r="AH347" s="54"/>
      <c r="AI347" s="54"/>
      <c r="AJ347" s="54"/>
      <c r="AK347" s="54"/>
      <c r="AL347" s="54"/>
      <c r="AM347" s="54"/>
      <c r="AN347" s="54"/>
      <c r="AO347" s="54"/>
      <c r="AP347" s="46"/>
    </row>
    <row r="348" spans="1:42" x14ac:dyDescent="0.2">
      <c r="A348" s="2"/>
      <c r="B348" s="2"/>
      <c r="C348" s="39"/>
      <c r="D348" s="39"/>
      <c r="E348" s="39"/>
      <c r="F348" s="39"/>
      <c r="G348" s="39"/>
      <c r="H348" s="39"/>
      <c r="I348" s="39"/>
      <c r="J348" s="39"/>
      <c r="K348" s="39"/>
      <c r="L348" s="39"/>
      <c r="M348" s="39"/>
      <c r="N348" s="39"/>
      <c r="O348" s="39"/>
      <c r="P348" s="39"/>
      <c r="Q348" s="39"/>
      <c r="R348" s="39"/>
      <c r="S348" s="39"/>
      <c r="T348" s="39"/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F348" s="39"/>
      <c r="AG348" s="54"/>
      <c r="AH348" s="54"/>
      <c r="AI348" s="54"/>
      <c r="AJ348" s="54"/>
      <c r="AK348" s="54"/>
      <c r="AL348" s="54"/>
      <c r="AM348" s="54"/>
      <c r="AN348" s="54"/>
      <c r="AO348" s="54"/>
      <c r="AP348" s="46"/>
    </row>
    <row r="349" spans="1:42" x14ac:dyDescent="0.2">
      <c r="A349" s="2"/>
      <c r="B349" s="2"/>
      <c r="C349" s="39"/>
      <c r="D349" s="39"/>
      <c r="E349" s="39"/>
      <c r="F349" s="39"/>
      <c r="G349" s="39"/>
      <c r="H349" s="39"/>
      <c r="I349" s="39"/>
      <c r="J349" s="39"/>
      <c r="K349" s="39"/>
      <c r="L349" s="39"/>
      <c r="M349" s="39"/>
      <c r="N349" s="39"/>
      <c r="O349" s="39"/>
      <c r="P349" s="39"/>
      <c r="Q349" s="39"/>
      <c r="R349" s="39"/>
      <c r="S349" s="39"/>
      <c r="T349" s="39"/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F349" s="39"/>
      <c r="AG349" s="54"/>
      <c r="AH349" s="54"/>
      <c r="AI349" s="54"/>
      <c r="AJ349" s="54"/>
      <c r="AK349" s="54"/>
      <c r="AL349" s="54"/>
      <c r="AM349" s="54"/>
      <c r="AN349" s="54"/>
      <c r="AO349" s="54"/>
      <c r="AP349" s="46"/>
    </row>
    <row r="350" spans="1:42" x14ac:dyDescent="0.2">
      <c r="A350" s="2"/>
      <c r="B350" s="2"/>
      <c r="C350" s="39"/>
      <c r="D350" s="39"/>
      <c r="E350" s="39"/>
      <c r="F350" s="39"/>
      <c r="G350" s="39"/>
      <c r="H350" s="39"/>
      <c r="I350" s="39"/>
      <c r="J350" s="39"/>
      <c r="K350" s="39"/>
      <c r="L350" s="39"/>
      <c r="M350" s="39"/>
      <c r="N350" s="39"/>
      <c r="O350" s="39"/>
      <c r="P350" s="39"/>
      <c r="Q350" s="39"/>
      <c r="R350" s="39"/>
      <c r="S350" s="39"/>
      <c r="T350" s="39"/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F350" s="39"/>
      <c r="AG350" s="54"/>
      <c r="AH350" s="54"/>
      <c r="AI350" s="54"/>
      <c r="AJ350" s="54"/>
      <c r="AK350" s="54"/>
      <c r="AL350" s="54"/>
      <c r="AM350" s="54"/>
      <c r="AN350" s="54"/>
      <c r="AO350" s="54"/>
      <c r="AP350" s="46"/>
    </row>
    <row r="351" spans="1:42" x14ac:dyDescent="0.2">
      <c r="A351" s="2"/>
      <c r="B351" s="2"/>
      <c r="C351" s="39"/>
      <c r="D351" s="39"/>
      <c r="E351" s="39"/>
      <c r="F351" s="39"/>
      <c r="G351" s="39"/>
      <c r="H351" s="39"/>
      <c r="I351" s="39"/>
      <c r="J351" s="39"/>
      <c r="K351" s="39"/>
      <c r="L351" s="39"/>
      <c r="M351" s="39"/>
      <c r="N351" s="39"/>
      <c r="O351" s="39"/>
      <c r="P351" s="39"/>
      <c r="Q351" s="39"/>
      <c r="R351" s="39"/>
      <c r="S351" s="39"/>
      <c r="T351" s="39"/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F351" s="39"/>
      <c r="AG351" s="54"/>
      <c r="AH351" s="54"/>
      <c r="AI351" s="54"/>
      <c r="AJ351" s="54"/>
      <c r="AK351" s="54"/>
      <c r="AL351" s="54"/>
      <c r="AM351" s="54"/>
      <c r="AN351" s="54"/>
      <c r="AO351" s="54"/>
      <c r="AP351" s="46"/>
    </row>
    <row r="352" spans="1:42" x14ac:dyDescent="0.2">
      <c r="A352" s="2"/>
      <c r="B352" s="2"/>
      <c r="C352" s="39"/>
      <c r="D352" s="39"/>
      <c r="E352" s="39"/>
      <c r="F352" s="39"/>
      <c r="G352" s="39"/>
      <c r="H352" s="39"/>
      <c r="I352" s="39"/>
      <c r="J352" s="39"/>
      <c r="K352" s="39"/>
      <c r="L352" s="39"/>
      <c r="M352" s="39"/>
      <c r="N352" s="39"/>
      <c r="O352" s="39"/>
      <c r="P352" s="39"/>
      <c r="Q352" s="39"/>
      <c r="R352" s="39"/>
      <c r="S352" s="39"/>
      <c r="T352" s="39"/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F352" s="39"/>
      <c r="AG352" s="54"/>
      <c r="AH352" s="54"/>
      <c r="AI352" s="54"/>
      <c r="AJ352" s="54"/>
      <c r="AK352" s="54"/>
      <c r="AL352" s="54"/>
      <c r="AM352" s="54"/>
      <c r="AN352" s="54"/>
      <c r="AO352" s="54"/>
      <c r="AP352" s="46"/>
    </row>
    <row r="353" spans="1:42" x14ac:dyDescent="0.2">
      <c r="A353" s="2"/>
      <c r="B353" s="2"/>
      <c r="C353" s="39"/>
      <c r="D353" s="39"/>
      <c r="E353" s="39"/>
      <c r="F353" s="39"/>
      <c r="G353" s="39"/>
      <c r="H353" s="39"/>
      <c r="I353" s="39"/>
      <c r="J353" s="39"/>
      <c r="K353" s="39"/>
      <c r="L353" s="39"/>
      <c r="M353" s="39"/>
      <c r="N353" s="39"/>
      <c r="O353" s="39"/>
      <c r="P353" s="39"/>
      <c r="Q353" s="39"/>
      <c r="R353" s="39"/>
      <c r="S353" s="39"/>
      <c r="T353" s="39"/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F353" s="39"/>
      <c r="AG353" s="54"/>
      <c r="AH353" s="54"/>
      <c r="AI353" s="54"/>
      <c r="AJ353" s="54"/>
      <c r="AK353" s="54"/>
      <c r="AL353" s="54"/>
      <c r="AM353" s="54"/>
      <c r="AN353" s="54"/>
      <c r="AO353" s="54"/>
      <c r="AP353" s="46"/>
    </row>
    <row r="354" spans="1:42" x14ac:dyDescent="0.2">
      <c r="A354" s="2"/>
      <c r="B354" s="2"/>
      <c r="C354" s="39"/>
      <c r="D354" s="39"/>
      <c r="E354" s="39"/>
      <c r="F354" s="39"/>
      <c r="G354" s="39"/>
      <c r="H354" s="39"/>
      <c r="I354" s="39"/>
      <c r="J354" s="39"/>
      <c r="K354" s="39"/>
      <c r="L354" s="39"/>
      <c r="M354" s="39"/>
      <c r="N354" s="39"/>
      <c r="O354" s="39"/>
      <c r="P354" s="39"/>
      <c r="Q354" s="39"/>
      <c r="R354" s="39"/>
      <c r="S354" s="39"/>
      <c r="T354" s="39"/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F354" s="39"/>
      <c r="AG354" s="54"/>
      <c r="AH354" s="54"/>
      <c r="AI354" s="54"/>
      <c r="AJ354" s="54"/>
      <c r="AK354" s="54"/>
      <c r="AL354" s="54"/>
      <c r="AM354" s="54"/>
      <c r="AN354" s="54"/>
      <c r="AO354" s="54"/>
      <c r="AP354" s="46"/>
    </row>
    <row r="355" spans="1:42" x14ac:dyDescent="0.2">
      <c r="A355" s="2"/>
      <c r="B355" s="2"/>
      <c r="C355" s="39"/>
      <c r="D355" s="39"/>
      <c r="E355" s="39"/>
      <c r="F355" s="39"/>
      <c r="G355" s="39"/>
      <c r="H355" s="39"/>
      <c r="I355" s="39"/>
      <c r="J355" s="39"/>
      <c r="K355" s="39"/>
      <c r="L355" s="39"/>
      <c r="M355" s="39"/>
      <c r="N355" s="39"/>
      <c r="O355" s="39"/>
      <c r="P355" s="39"/>
      <c r="Q355" s="39"/>
      <c r="R355" s="39"/>
      <c r="S355" s="39"/>
      <c r="T355" s="39"/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F355" s="39"/>
      <c r="AG355" s="54"/>
      <c r="AH355" s="54"/>
      <c r="AI355" s="54"/>
      <c r="AJ355" s="54"/>
      <c r="AK355" s="54"/>
      <c r="AL355" s="54"/>
      <c r="AM355" s="54"/>
      <c r="AN355" s="54"/>
      <c r="AO355" s="54"/>
      <c r="AP355" s="46"/>
    </row>
    <row r="356" spans="1:42" x14ac:dyDescent="0.2">
      <c r="A356" s="2"/>
      <c r="B356" s="2"/>
      <c r="C356" s="61"/>
      <c r="D356" s="61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55"/>
      <c r="AH356" s="55"/>
      <c r="AI356" s="55"/>
      <c r="AJ356" s="55"/>
      <c r="AK356" s="55"/>
      <c r="AL356" s="55"/>
      <c r="AM356" s="55"/>
      <c r="AN356" s="55"/>
      <c r="AO356" s="55"/>
      <c r="AP356" s="46"/>
    </row>
    <row r="357" spans="1:42" x14ac:dyDescent="0.2">
      <c r="A357" s="2"/>
      <c r="B357" s="2"/>
      <c r="C357" s="61"/>
      <c r="D357" s="61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55"/>
      <c r="AH357" s="55"/>
      <c r="AI357" s="55"/>
      <c r="AJ357" s="55"/>
      <c r="AK357" s="55"/>
      <c r="AL357" s="55"/>
      <c r="AM357" s="55"/>
      <c r="AN357" s="55"/>
      <c r="AO357" s="55"/>
      <c r="AP357" s="46"/>
    </row>
    <row r="358" spans="1:42" x14ac:dyDescent="0.2">
      <c r="A358" s="2"/>
      <c r="B358" s="2"/>
      <c r="C358" s="61"/>
      <c r="D358" s="61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55"/>
      <c r="AH358" s="55"/>
      <c r="AI358" s="55"/>
      <c r="AJ358" s="55"/>
      <c r="AK358" s="55"/>
      <c r="AL358" s="55"/>
      <c r="AM358" s="55"/>
      <c r="AN358" s="55"/>
      <c r="AO358" s="55"/>
      <c r="AP358" s="46"/>
    </row>
    <row r="359" spans="1:42" x14ac:dyDescent="0.2">
      <c r="A359" s="2"/>
      <c r="B359" s="2"/>
      <c r="C359" s="61"/>
      <c r="D359" s="61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55"/>
      <c r="AH359" s="55"/>
      <c r="AI359" s="55"/>
      <c r="AJ359" s="55"/>
      <c r="AK359" s="55"/>
      <c r="AL359" s="55"/>
      <c r="AM359" s="55"/>
      <c r="AN359" s="55"/>
      <c r="AO359" s="55"/>
      <c r="AP359" s="46"/>
    </row>
    <row r="360" spans="1:42" x14ac:dyDescent="0.2">
      <c r="A360" s="2"/>
      <c r="B360" s="2"/>
      <c r="C360" s="61"/>
      <c r="D360" s="61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55"/>
      <c r="AH360" s="55"/>
      <c r="AI360" s="55"/>
      <c r="AJ360" s="55"/>
      <c r="AK360" s="55"/>
      <c r="AL360" s="55"/>
      <c r="AM360" s="55"/>
      <c r="AN360" s="55"/>
      <c r="AO360" s="55"/>
      <c r="AP360" s="46"/>
    </row>
    <row r="361" spans="1:42" x14ac:dyDescent="0.2">
      <c r="A361" s="2"/>
      <c r="B361" s="2"/>
      <c r="C361" s="61"/>
      <c r="D361" s="61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55"/>
      <c r="AH361" s="55"/>
      <c r="AI361" s="55"/>
      <c r="AJ361" s="55"/>
      <c r="AK361" s="55"/>
      <c r="AL361" s="55"/>
      <c r="AM361" s="55"/>
      <c r="AN361" s="55"/>
      <c r="AO361" s="55"/>
      <c r="AP361" s="46"/>
    </row>
    <row r="362" spans="1:42" x14ac:dyDescent="0.2">
      <c r="A362" s="2"/>
      <c r="B362" s="2"/>
      <c r="C362" s="61"/>
      <c r="D362" s="61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55"/>
      <c r="AH362" s="55"/>
      <c r="AI362" s="55"/>
      <c r="AJ362" s="55"/>
      <c r="AK362" s="55"/>
      <c r="AL362" s="55"/>
      <c r="AM362" s="55"/>
      <c r="AN362" s="55"/>
      <c r="AO362" s="55"/>
      <c r="AP362" s="46"/>
    </row>
    <row r="363" spans="1:42" x14ac:dyDescent="0.2">
      <c r="A363" s="2"/>
      <c r="B363" s="2"/>
      <c r="C363" s="61"/>
      <c r="D363" s="61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55"/>
      <c r="AH363" s="55"/>
      <c r="AI363" s="55"/>
      <c r="AJ363" s="55"/>
      <c r="AK363" s="55"/>
      <c r="AL363" s="55"/>
      <c r="AM363" s="55"/>
      <c r="AN363" s="55"/>
      <c r="AO363" s="55"/>
      <c r="AP363" s="46"/>
    </row>
    <row r="364" spans="1:42" x14ac:dyDescent="0.2">
      <c r="A364" s="2"/>
      <c r="B364" s="2"/>
      <c r="C364" s="61"/>
      <c r="D364" s="61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55"/>
      <c r="AH364" s="55"/>
      <c r="AI364" s="55"/>
      <c r="AJ364" s="55"/>
      <c r="AK364" s="55"/>
      <c r="AL364" s="55"/>
      <c r="AM364" s="55"/>
      <c r="AN364" s="55"/>
      <c r="AO364" s="55"/>
      <c r="AP364" s="46"/>
    </row>
    <row r="365" spans="1:42" x14ac:dyDescent="0.2">
      <c r="A365" s="2"/>
      <c r="B365" s="2"/>
      <c r="C365" s="61"/>
      <c r="D365" s="61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55"/>
      <c r="AH365" s="55"/>
      <c r="AI365" s="55"/>
      <c r="AJ365" s="55"/>
      <c r="AK365" s="55"/>
      <c r="AL365" s="55"/>
      <c r="AM365" s="55"/>
      <c r="AN365" s="55"/>
      <c r="AO365" s="55"/>
      <c r="AP365" s="46"/>
    </row>
    <row r="366" spans="1:42" x14ac:dyDescent="0.2">
      <c r="A366" s="2"/>
      <c r="B366" s="2"/>
      <c r="C366" s="61"/>
      <c r="D366" s="61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55"/>
      <c r="AH366" s="55"/>
      <c r="AI366" s="55"/>
      <c r="AJ366" s="55"/>
      <c r="AK366" s="55"/>
      <c r="AL366" s="55"/>
      <c r="AM366" s="55"/>
      <c r="AN366" s="55"/>
      <c r="AO366" s="55"/>
      <c r="AP366" s="46"/>
    </row>
    <row r="367" spans="1:42" x14ac:dyDescent="0.2">
      <c r="A367" s="2"/>
      <c r="B367" s="2"/>
      <c r="C367" s="61"/>
      <c r="D367" s="61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55"/>
      <c r="AH367" s="55"/>
      <c r="AI367" s="55"/>
      <c r="AJ367" s="55"/>
      <c r="AK367" s="55"/>
      <c r="AL367" s="55"/>
      <c r="AM367" s="55"/>
      <c r="AN367" s="55"/>
      <c r="AO367" s="55"/>
      <c r="AP367" s="46"/>
    </row>
    <row r="368" spans="1:42" x14ac:dyDescent="0.2">
      <c r="A368" s="2"/>
      <c r="B368" s="2"/>
      <c r="C368" s="61"/>
      <c r="D368" s="61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55"/>
      <c r="AH368" s="55"/>
      <c r="AI368" s="55"/>
      <c r="AJ368" s="55"/>
      <c r="AK368" s="55"/>
      <c r="AL368" s="55"/>
      <c r="AM368" s="55"/>
      <c r="AN368" s="55"/>
      <c r="AO368" s="55"/>
      <c r="AP368" s="46"/>
    </row>
    <row r="369" spans="1:42" x14ac:dyDescent="0.2">
      <c r="A369" s="2"/>
      <c r="B369" s="2"/>
      <c r="C369" s="61"/>
      <c r="D369" s="61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55"/>
      <c r="AH369" s="55"/>
      <c r="AI369" s="55"/>
      <c r="AJ369" s="55"/>
      <c r="AK369" s="55"/>
      <c r="AL369" s="55"/>
      <c r="AM369" s="55"/>
      <c r="AN369" s="55"/>
      <c r="AO369" s="55"/>
      <c r="AP369" s="46"/>
    </row>
    <row r="370" spans="1:42" x14ac:dyDescent="0.2">
      <c r="A370" s="2"/>
      <c r="B370" s="2"/>
      <c r="C370" s="61"/>
      <c r="D370" s="61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55"/>
      <c r="AH370" s="55"/>
      <c r="AI370" s="55"/>
      <c r="AJ370" s="55"/>
      <c r="AK370" s="55"/>
      <c r="AL370" s="55"/>
      <c r="AM370" s="55"/>
      <c r="AN370" s="55"/>
      <c r="AO370" s="55"/>
      <c r="AP370" s="46"/>
    </row>
    <row r="371" spans="1:42" x14ac:dyDescent="0.2">
      <c r="A371" s="2"/>
      <c r="B371" s="2"/>
      <c r="C371" s="61"/>
      <c r="D371" s="61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55"/>
      <c r="AH371" s="55"/>
      <c r="AI371" s="55"/>
      <c r="AJ371" s="55"/>
      <c r="AK371" s="55"/>
      <c r="AL371" s="55"/>
      <c r="AM371" s="55"/>
      <c r="AN371" s="55"/>
      <c r="AO371" s="55"/>
      <c r="AP371" s="46"/>
    </row>
    <row r="372" spans="1:42" x14ac:dyDescent="0.2">
      <c r="A372" s="2"/>
      <c r="B372" s="2"/>
      <c r="C372" s="61"/>
      <c r="D372" s="61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55"/>
      <c r="AH372" s="55"/>
      <c r="AI372" s="55"/>
      <c r="AJ372" s="55"/>
      <c r="AK372" s="55"/>
      <c r="AL372" s="55"/>
      <c r="AM372" s="55"/>
      <c r="AN372" s="55"/>
      <c r="AO372" s="55"/>
      <c r="AP372" s="46"/>
    </row>
    <row r="373" spans="1:42" x14ac:dyDescent="0.2">
      <c r="A373" s="2"/>
      <c r="B373" s="2"/>
      <c r="C373" s="61"/>
      <c r="D373" s="61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55"/>
      <c r="AH373" s="55"/>
      <c r="AI373" s="55"/>
      <c r="AJ373" s="55"/>
      <c r="AK373" s="55"/>
      <c r="AL373" s="55"/>
      <c r="AM373" s="55"/>
      <c r="AN373" s="55"/>
      <c r="AO373" s="55"/>
      <c r="AP373" s="46"/>
    </row>
    <row r="374" spans="1:42" x14ac:dyDescent="0.2">
      <c r="A374" s="2"/>
      <c r="B374" s="2"/>
      <c r="C374" s="61"/>
      <c r="D374" s="61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55"/>
      <c r="AH374" s="55"/>
      <c r="AI374" s="55"/>
      <c r="AJ374" s="55"/>
      <c r="AK374" s="55"/>
      <c r="AL374" s="55"/>
      <c r="AM374" s="55"/>
      <c r="AN374" s="55"/>
      <c r="AO374" s="55"/>
      <c r="AP374" s="46"/>
    </row>
    <row r="375" spans="1:42" x14ac:dyDescent="0.2">
      <c r="A375" s="2"/>
      <c r="B375" s="2"/>
      <c r="C375" s="61"/>
      <c r="D375" s="61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55"/>
      <c r="AH375" s="55"/>
      <c r="AI375" s="55"/>
      <c r="AJ375" s="55"/>
      <c r="AK375" s="55"/>
      <c r="AL375" s="55"/>
      <c r="AM375" s="55"/>
      <c r="AN375" s="55"/>
      <c r="AO375" s="55"/>
      <c r="AP375" s="46"/>
    </row>
    <row r="376" spans="1:42" x14ac:dyDescent="0.2">
      <c r="A376" s="2"/>
      <c r="B376" s="2"/>
      <c r="C376" s="61"/>
      <c r="D376" s="61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55"/>
      <c r="AH376" s="55"/>
      <c r="AI376" s="55"/>
      <c r="AJ376" s="55"/>
      <c r="AK376" s="55"/>
      <c r="AL376" s="55"/>
      <c r="AM376" s="55"/>
      <c r="AN376" s="55"/>
      <c r="AO376" s="55"/>
      <c r="AP376" s="46"/>
    </row>
    <row r="377" spans="1:42" x14ac:dyDescent="0.2">
      <c r="A377" s="2"/>
      <c r="B377" s="2"/>
      <c r="C377" s="61"/>
      <c r="D377" s="61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55"/>
      <c r="AH377" s="55"/>
      <c r="AI377" s="55"/>
      <c r="AJ377" s="55"/>
      <c r="AK377" s="55"/>
      <c r="AL377" s="55"/>
      <c r="AM377" s="55"/>
      <c r="AN377" s="55"/>
      <c r="AO377" s="55"/>
      <c r="AP377" s="46"/>
    </row>
    <row r="378" spans="1:42" x14ac:dyDescent="0.2">
      <c r="A378" s="2"/>
      <c r="B378" s="2"/>
      <c r="C378" s="61"/>
      <c r="D378" s="61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55"/>
      <c r="AH378" s="55"/>
      <c r="AI378" s="55"/>
      <c r="AJ378" s="55"/>
      <c r="AK378" s="55"/>
      <c r="AL378" s="55"/>
      <c r="AM378" s="55"/>
      <c r="AN378" s="55"/>
      <c r="AO378" s="55"/>
      <c r="AP378" s="46"/>
    </row>
    <row r="379" spans="1:42" x14ac:dyDescent="0.2">
      <c r="A379" s="2"/>
      <c r="B379" s="2"/>
      <c r="C379" s="61"/>
      <c r="D379" s="61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55"/>
      <c r="AH379" s="55"/>
      <c r="AI379" s="55"/>
      <c r="AJ379" s="55"/>
      <c r="AK379" s="55"/>
      <c r="AL379" s="55"/>
      <c r="AM379" s="55"/>
      <c r="AN379" s="55"/>
      <c r="AO379" s="55"/>
      <c r="AP379" s="46"/>
    </row>
    <row r="380" spans="1:42" x14ac:dyDescent="0.2">
      <c r="A380" s="2"/>
      <c r="B380" s="2"/>
      <c r="C380" s="61"/>
      <c r="D380" s="61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55"/>
      <c r="AH380" s="55"/>
      <c r="AI380" s="55"/>
      <c r="AJ380" s="55"/>
      <c r="AK380" s="55"/>
      <c r="AL380" s="55"/>
      <c r="AM380" s="55"/>
      <c r="AN380" s="55"/>
      <c r="AO380" s="55"/>
      <c r="AP380" s="46"/>
    </row>
    <row r="381" spans="1:42" x14ac:dyDescent="0.2">
      <c r="A381" s="2"/>
      <c r="B381" s="2"/>
      <c r="C381" s="61"/>
      <c r="D381" s="61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55"/>
      <c r="AH381" s="55"/>
      <c r="AI381" s="55"/>
      <c r="AJ381" s="55"/>
      <c r="AK381" s="55"/>
      <c r="AL381" s="55"/>
      <c r="AM381" s="55"/>
      <c r="AN381" s="55"/>
      <c r="AO381" s="55"/>
      <c r="AP381" s="46"/>
    </row>
    <row r="382" spans="1:42" x14ac:dyDescent="0.2">
      <c r="A382" s="2"/>
      <c r="B382" s="2"/>
      <c r="C382" s="61"/>
      <c r="D382" s="61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55"/>
      <c r="AH382" s="55"/>
      <c r="AI382" s="55"/>
      <c r="AJ382" s="55"/>
      <c r="AK382" s="55"/>
      <c r="AL382" s="55"/>
      <c r="AM382" s="55"/>
      <c r="AN382" s="55"/>
      <c r="AO382" s="55"/>
      <c r="AP382" s="46"/>
    </row>
    <row r="383" spans="1:42" x14ac:dyDescent="0.2">
      <c r="A383" s="2"/>
      <c r="B383" s="2"/>
      <c r="C383" s="61"/>
      <c r="D383" s="61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55"/>
      <c r="AH383" s="55"/>
      <c r="AI383" s="55"/>
      <c r="AJ383" s="55"/>
      <c r="AK383" s="55"/>
      <c r="AL383" s="55"/>
      <c r="AM383" s="55"/>
      <c r="AN383" s="55"/>
      <c r="AO383" s="55"/>
      <c r="AP383" s="46"/>
    </row>
    <row r="384" spans="1:42" x14ac:dyDescent="0.2">
      <c r="A384" s="2"/>
      <c r="B384" s="2"/>
      <c r="C384" s="61"/>
      <c r="D384" s="61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55"/>
      <c r="AH384" s="55"/>
      <c r="AI384" s="55"/>
      <c r="AJ384" s="55"/>
      <c r="AK384" s="55"/>
      <c r="AL384" s="55"/>
      <c r="AM384" s="55"/>
      <c r="AN384" s="55"/>
      <c r="AO384" s="55"/>
      <c r="AP384" s="46"/>
    </row>
    <row r="385" spans="1:42" x14ac:dyDescent="0.2">
      <c r="A385" s="2"/>
      <c r="B385" s="2"/>
      <c r="C385" s="61"/>
      <c r="D385" s="61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55"/>
      <c r="AH385" s="55"/>
      <c r="AI385" s="55"/>
      <c r="AJ385" s="55"/>
      <c r="AK385" s="55"/>
      <c r="AL385" s="55"/>
      <c r="AM385" s="55"/>
      <c r="AN385" s="55"/>
      <c r="AO385" s="55"/>
      <c r="AP385" s="46"/>
    </row>
    <row r="386" spans="1:42" x14ac:dyDescent="0.2">
      <c r="A386" s="2"/>
      <c r="B386" s="2"/>
      <c r="C386" s="61"/>
      <c r="D386" s="61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55"/>
      <c r="AH386" s="55"/>
      <c r="AI386" s="55"/>
      <c r="AJ386" s="55"/>
      <c r="AK386" s="55"/>
      <c r="AL386" s="55"/>
      <c r="AM386" s="55"/>
      <c r="AN386" s="55"/>
      <c r="AO386" s="55"/>
      <c r="AP386" s="46"/>
    </row>
    <row r="387" spans="1:42" x14ac:dyDescent="0.2">
      <c r="A387" s="2"/>
      <c r="B387" s="2"/>
      <c r="C387" s="61"/>
      <c r="D387" s="61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55"/>
      <c r="AH387" s="55"/>
      <c r="AI387" s="55"/>
      <c r="AJ387" s="55"/>
      <c r="AK387" s="55"/>
      <c r="AL387" s="55"/>
      <c r="AM387" s="55"/>
      <c r="AN387" s="55"/>
      <c r="AO387" s="55"/>
      <c r="AP387" s="46"/>
    </row>
    <row r="388" spans="1:42" x14ac:dyDescent="0.2">
      <c r="A388" s="2"/>
      <c r="B388" s="2"/>
      <c r="C388" s="61"/>
      <c r="D388" s="61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55"/>
      <c r="AH388" s="55"/>
      <c r="AI388" s="55"/>
      <c r="AJ388" s="55"/>
      <c r="AK388" s="55"/>
      <c r="AL388" s="55"/>
      <c r="AM388" s="55"/>
      <c r="AN388" s="55"/>
      <c r="AO388" s="55"/>
      <c r="AP388" s="46"/>
    </row>
  </sheetData>
  <mergeCells count="29">
    <mergeCell ref="G1:G2"/>
    <mergeCell ref="AL1:AL2"/>
    <mergeCell ref="AM1:AM2"/>
    <mergeCell ref="A1:A2"/>
    <mergeCell ref="B1:B2"/>
    <mergeCell ref="C1:C2"/>
    <mergeCell ref="D1:D2"/>
    <mergeCell ref="F1:F2"/>
    <mergeCell ref="AB1:AB2"/>
    <mergeCell ref="AD1:AD2"/>
    <mergeCell ref="AE1:AE2"/>
    <mergeCell ref="AG1:AG2"/>
    <mergeCell ref="AH1:AH2"/>
    <mergeCell ref="AJ1:AJ2"/>
    <mergeCell ref="AK1:AK2"/>
    <mergeCell ref="AO1:AO2"/>
    <mergeCell ref="I1:I2"/>
    <mergeCell ref="J1:J2"/>
    <mergeCell ref="L1:L2"/>
    <mergeCell ref="M1:M2"/>
    <mergeCell ref="O1:O2"/>
    <mergeCell ref="P1:P2"/>
    <mergeCell ref="R1:R2"/>
    <mergeCell ref="S1:S2"/>
    <mergeCell ref="U1:U2"/>
    <mergeCell ref="V1:V2"/>
    <mergeCell ref="X1:X2"/>
    <mergeCell ref="Y1:Y2"/>
    <mergeCell ref="AA1:AA2"/>
  </mergeCells>
  <pageMargins left="0.2" right="0.2" top="0.75" bottom="0.75" header="0.3" footer="0.3"/>
  <pageSetup scale="75" fitToHeight="0" orientation="landscape" r:id="rId1"/>
  <headerFooter>
    <oddHeader>&amp;C&amp;14Overall Budget</oddHeader>
    <oddFooter>&amp;R&amp;P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4AB745-326A-40F6-A32E-098314238E16}">
  <dimension ref="A1:S48"/>
  <sheetViews>
    <sheetView tabSelected="1" zoomScaleNormal="100" workbookViewId="0">
      <selection activeCell="D38" sqref="D38"/>
    </sheetView>
  </sheetViews>
  <sheetFormatPr defaultRowHeight="15" x14ac:dyDescent="0.25"/>
  <cols>
    <col min="1" max="1" width="7.5703125" bestFit="1" customWidth="1"/>
    <col min="2" max="2" width="17.42578125" bestFit="1" customWidth="1"/>
    <col min="3" max="3" width="13.28515625" bestFit="1" customWidth="1"/>
    <col min="4" max="4" width="12.28515625" bestFit="1" customWidth="1"/>
    <col min="5" max="5" width="14.42578125" bestFit="1" customWidth="1"/>
    <col min="6" max="6" width="2.7109375" customWidth="1"/>
    <col min="7" max="7" width="7.5703125" bestFit="1" customWidth="1"/>
    <col min="8" max="8" width="17.42578125" bestFit="1" customWidth="1"/>
    <col min="9" max="9" width="11.5703125" bestFit="1" customWidth="1"/>
    <col min="10" max="10" width="14" bestFit="1" customWidth="1"/>
    <col min="11" max="11" width="14.42578125" bestFit="1" customWidth="1"/>
    <col min="12" max="12" width="2.7109375" customWidth="1"/>
    <col min="13" max="13" width="7.5703125" bestFit="1" customWidth="1"/>
    <col min="14" max="14" width="11.140625" bestFit="1" customWidth="1"/>
    <col min="15" max="15" width="17.42578125" bestFit="1" customWidth="1"/>
    <col min="16" max="16" width="13.28515625" bestFit="1" customWidth="1"/>
    <col min="17" max="17" width="12.28515625" bestFit="1" customWidth="1"/>
    <col min="18" max="18" width="14.42578125" bestFit="1" customWidth="1"/>
    <col min="19" max="19" width="14.28515625" bestFit="1" customWidth="1"/>
    <col min="20" max="20" width="14.42578125" bestFit="1" customWidth="1"/>
    <col min="21" max="21" width="7.5703125" bestFit="1" customWidth="1"/>
    <col min="22" max="22" width="17.42578125" bestFit="1" customWidth="1"/>
    <col min="23" max="23" width="9.5703125" bestFit="1" customWidth="1"/>
    <col min="24" max="24" width="12" bestFit="1" customWidth="1"/>
    <col min="25" max="25" width="14.42578125" bestFit="1" customWidth="1"/>
    <col min="26" max="26" width="2.7109375" customWidth="1"/>
    <col min="27" max="27" width="7.5703125" bestFit="1" customWidth="1"/>
    <col min="28" max="28" width="17.42578125" bestFit="1" customWidth="1"/>
    <col min="29" max="29" width="10.5703125" bestFit="1" customWidth="1"/>
    <col min="30" max="30" width="12" bestFit="1" customWidth="1"/>
    <col min="31" max="31" width="14.42578125" bestFit="1" customWidth="1"/>
    <col min="32" max="32" width="2.7109375" customWidth="1"/>
    <col min="33" max="33" width="7.5703125" bestFit="1" customWidth="1"/>
    <col min="34" max="34" width="17.42578125" bestFit="1" customWidth="1"/>
    <col min="35" max="35" width="9.5703125" bestFit="1" customWidth="1"/>
    <col min="36" max="36" width="12" bestFit="1" customWidth="1"/>
    <col min="37" max="37" width="14.42578125" bestFit="1" customWidth="1"/>
  </cols>
  <sheetData>
    <row r="1" spans="1:19" x14ac:dyDescent="0.25">
      <c r="B1" s="137" t="s">
        <v>357</v>
      </c>
      <c r="C1" s="137"/>
      <c r="D1" s="137"/>
      <c r="E1" s="137"/>
      <c r="H1" s="137" t="s">
        <v>486</v>
      </c>
      <c r="I1" s="137"/>
      <c r="J1" s="137"/>
      <c r="K1" s="137"/>
      <c r="O1" t="s">
        <v>485</v>
      </c>
      <c r="P1" t="s">
        <v>484</v>
      </c>
      <c r="Q1" t="s">
        <v>483</v>
      </c>
    </row>
    <row r="2" spans="1:19" x14ac:dyDescent="0.25">
      <c r="A2" t="s">
        <v>475</v>
      </c>
      <c r="B2" t="s">
        <v>474</v>
      </c>
      <c r="C2" t="s">
        <v>473</v>
      </c>
      <c r="D2" t="s">
        <v>472</v>
      </c>
      <c r="E2" t="s">
        <v>471</v>
      </c>
      <c r="G2" t="s">
        <v>475</v>
      </c>
      <c r="H2" t="s">
        <v>474</v>
      </c>
      <c r="I2" t="s">
        <v>473</v>
      </c>
      <c r="J2" t="s">
        <v>472</v>
      </c>
      <c r="K2" t="s">
        <v>471</v>
      </c>
      <c r="N2" t="s">
        <v>482</v>
      </c>
      <c r="O2" s="112">
        <f>5798899*0.5</f>
        <v>2899449.5</v>
      </c>
      <c r="P2" s="112">
        <f>+E14</f>
        <v>2917347.96</v>
      </c>
      <c r="Q2" s="112">
        <f>+P2-O2</f>
        <v>17898.459999999963</v>
      </c>
    </row>
    <row r="3" spans="1:19" x14ac:dyDescent="0.25">
      <c r="A3" s="113" t="s">
        <v>470</v>
      </c>
      <c r="B3" s="112">
        <v>2899449.5</v>
      </c>
      <c r="C3" s="112"/>
      <c r="D3" s="112"/>
      <c r="E3" s="112">
        <f t="shared" ref="E3:E14" si="0">+B3+C3+D3</f>
        <v>2899449.5</v>
      </c>
      <c r="G3" s="113" t="s">
        <v>470</v>
      </c>
      <c r="H3" s="112">
        <v>796288.85</v>
      </c>
      <c r="I3" s="112">
        <f t="shared" ref="I3:I14" si="1">-D3-D19-J19-Q19-D35-Q35</f>
        <v>164820.84</v>
      </c>
      <c r="J3" s="112">
        <f t="shared" ref="J3:J14" si="2">-C3-C19-C35-I19-P19-P35</f>
        <v>-39106.29</v>
      </c>
      <c r="K3" s="112">
        <f t="shared" ref="K3:K8" si="3">+H3+I3+J3</f>
        <v>922003.39999999991</v>
      </c>
      <c r="N3" t="s">
        <v>481</v>
      </c>
      <c r="O3" s="112">
        <f>5798899*0.15</f>
        <v>869834.85</v>
      </c>
      <c r="P3" s="112">
        <f>+K14</f>
        <v>450264.53999999986</v>
      </c>
      <c r="Q3" s="112">
        <f>+P3-O3</f>
        <v>-419570.31000000011</v>
      </c>
    </row>
    <row r="4" spans="1:19" x14ac:dyDescent="0.25">
      <c r="A4" s="113" t="s">
        <v>469</v>
      </c>
      <c r="B4" s="112">
        <f t="shared" ref="B4:B14" si="4">+E3</f>
        <v>2899449.5</v>
      </c>
      <c r="C4" s="112">
        <v>4586.25</v>
      </c>
      <c r="D4" s="112"/>
      <c r="E4" s="112">
        <f t="shared" si="0"/>
        <v>2904035.75</v>
      </c>
      <c r="G4" s="113" t="s">
        <v>469</v>
      </c>
      <c r="H4" s="112">
        <f t="shared" ref="H4:H14" si="5">+K3</f>
        <v>922003.39999999991</v>
      </c>
      <c r="I4" s="112">
        <f t="shared" si="1"/>
        <v>248468.43</v>
      </c>
      <c r="J4" s="112">
        <f t="shared" si="2"/>
        <v>-35546.620000000003</v>
      </c>
      <c r="K4" s="112">
        <f t="shared" si="3"/>
        <v>1134925.2099999997</v>
      </c>
    </row>
    <row r="5" spans="1:19" x14ac:dyDescent="0.25">
      <c r="A5" s="113" t="s">
        <v>468</v>
      </c>
      <c r="B5" s="112">
        <f t="shared" si="4"/>
        <v>2904035.75</v>
      </c>
      <c r="C5" s="112">
        <v>10173.379999999999</v>
      </c>
      <c r="D5" s="112"/>
      <c r="E5" s="112">
        <f t="shared" si="0"/>
        <v>2914209.13</v>
      </c>
      <c r="G5" s="113" t="s">
        <v>468</v>
      </c>
      <c r="H5" s="112">
        <f t="shared" si="5"/>
        <v>1134925.2099999997</v>
      </c>
      <c r="I5" s="112">
        <f t="shared" si="1"/>
        <v>648569.51</v>
      </c>
      <c r="J5" s="112">
        <f t="shared" si="2"/>
        <v>-1507965.8699999999</v>
      </c>
      <c r="K5" s="112">
        <f t="shared" si="3"/>
        <v>275528.84999999986</v>
      </c>
    </row>
    <row r="6" spans="1:19" x14ac:dyDescent="0.25">
      <c r="A6" s="113" t="s">
        <v>467</v>
      </c>
      <c r="B6" s="112">
        <f t="shared" si="4"/>
        <v>2914209.13</v>
      </c>
      <c r="C6" s="112">
        <v>3138.83</v>
      </c>
      <c r="D6" s="112"/>
      <c r="E6" s="112">
        <f t="shared" si="0"/>
        <v>2917347.96</v>
      </c>
      <c r="G6" s="113" t="s">
        <v>467</v>
      </c>
      <c r="H6" s="112">
        <f t="shared" si="5"/>
        <v>275528.84999999986</v>
      </c>
      <c r="I6" s="112">
        <f t="shared" si="1"/>
        <v>222212.71000000002</v>
      </c>
      <c r="J6" s="112">
        <f t="shared" si="2"/>
        <v>-47477.01</v>
      </c>
      <c r="K6" s="112">
        <f t="shared" si="3"/>
        <v>450264.54999999987</v>
      </c>
      <c r="N6" s="116" t="s">
        <v>480</v>
      </c>
      <c r="O6" s="117"/>
      <c r="P6" s="116"/>
      <c r="Q6" s="116"/>
      <c r="R6" s="116"/>
    </row>
    <row r="7" spans="1:19" x14ac:dyDescent="0.25">
      <c r="A7" s="113" t="s">
        <v>466</v>
      </c>
      <c r="B7" s="112">
        <f t="shared" si="4"/>
        <v>2917347.96</v>
      </c>
      <c r="C7" s="112"/>
      <c r="D7" s="112"/>
      <c r="E7" s="112">
        <f t="shared" si="0"/>
        <v>2917347.96</v>
      </c>
      <c r="G7" s="113" t="s">
        <v>466</v>
      </c>
      <c r="H7" s="112">
        <f t="shared" si="5"/>
        <v>450264.54999999987</v>
      </c>
      <c r="I7" s="112">
        <f t="shared" si="1"/>
        <v>0</v>
      </c>
      <c r="J7" s="112">
        <f t="shared" si="2"/>
        <v>0</v>
      </c>
      <c r="K7" s="112">
        <f t="shared" si="3"/>
        <v>450264.54999999987</v>
      </c>
      <c r="N7" s="116" t="s">
        <v>479</v>
      </c>
      <c r="O7" s="116"/>
      <c r="P7" s="116"/>
      <c r="Q7" s="116"/>
      <c r="R7" s="116"/>
    </row>
    <row r="8" spans="1:19" x14ac:dyDescent="0.25">
      <c r="A8" s="113" t="s">
        <v>465</v>
      </c>
      <c r="B8" s="112">
        <f t="shared" si="4"/>
        <v>2917347.96</v>
      </c>
      <c r="C8" s="112"/>
      <c r="D8" s="112"/>
      <c r="E8" s="112">
        <f t="shared" si="0"/>
        <v>2917347.96</v>
      </c>
      <c r="G8" s="113" t="s">
        <v>465</v>
      </c>
      <c r="H8" s="112">
        <f t="shared" si="5"/>
        <v>450264.54999999987</v>
      </c>
      <c r="I8" s="112">
        <f t="shared" si="1"/>
        <v>0</v>
      </c>
      <c r="J8" s="112">
        <f t="shared" si="2"/>
        <v>0</v>
      </c>
      <c r="K8" s="112">
        <f t="shared" si="3"/>
        <v>450264.54999999987</v>
      </c>
    </row>
    <row r="9" spans="1:19" x14ac:dyDescent="0.25">
      <c r="A9" s="113" t="s">
        <v>464</v>
      </c>
      <c r="B9" s="112">
        <f t="shared" si="4"/>
        <v>2917347.96</v>
      </c>
      <c r="C9" s="112"/>
      <c r="D9" s="112"/>
      <c r="E9" s="112">
        <f t="shared" si="0"/>
        <v>2917347.96</v>
      </c>
      <c r="G9" s="113" t="s">
        <v>464</v>
      </c>
      <c r="H9" s="112">
        <f t="shared" si="5"/>
        <v>450264.54999999987</v>
      </c>
      <c r="I9" s="112">
        <f t="shared" si="1"/>
        <v>0</v>
      </c>
      <c r="J9" s="112">
        <f t="shared" si="2"/>
        <v>0</v>
      </c>
      <c r="K9" s="112">
        <f>+H9+I9+J9-0.01</f>
        <v>450264.53999999986</v>
      </c>
      <c r="O9" s="115"/>
      <c r="P9" s="114"/>
      <c r="Q9" s="115"/>
      <c r="R9" s="111"/>
      <c r="S9" s="111"/>
    </row>
    <row r="10" spans="1:19" x14ac:dyDescent="0.25">
      <c r="A10" s="113" t="s">
        <v>463</v>
      </c>
      <c r="B10" s="112">
        <f t="shared" si="4"/>
        <v>2917347.96</v>
      </c>
      <c r="C10" s="112"/>
      <c r="D10" s="112"/>
      <c r="E10" s="112">
        <f t="shared" si="0"/>
        <v>2917347.96</v>
      </c>
      <c r="G10" s="113" t="s">
        <v>463</v>
      </c>
      <c r="H10" s="112">
        <f t="shared" si="5"/>
        <v>450264.53999999986</v>
      </c>
      <c r="I10" s="112">
        <f t="shared" si="1"/>
        <v>0</v>
      </c>
      <c r="J10" s="112">
        <f t="shared" si="2"/>
        <v>0</v>
      </c>
      <c r="K10" s="112">
        <f>+H10+I10+J10</f>
        <v>450264.53999999986</v>
      </c>
      <c r="O10" s="115"/>
      <c r="P10" s="114"/>
      <c r="Q10" s="115"/>
      <c r="S10" s="111"/>
    </row>
    <row r="11" spans="1:19" x14ac:dyDescent="0.25">
      <c r="A11" s="113" t="s">
        <v>462</v>
      </c>
      <c r="B11" s="112">
        <f t="shared" si="4"/>
        <v>2917347.96</v>
      </c>
      <c r="C11" s="112"/>
      <c r="D11" s="112"/>
      <c r="E11" s="112">
        <f t="shared" si="0"/>
        <v>2917347.96</v>
      </c>
      <c r="G11" s="113" t="s">
        <v>462</v>
      </c>
      <c r="H11" s="112">
        <f t="shared" si="5"/>
        <v>450264.53999999986</v>
      </c>
      <c r="I11" s="112">
        <f t="shared" si="1"/>
        <v>0</v>
      </c>
      <c r="J11" s="112">
        <f t="shared" si="2"/>
        <v>0</v>
      </c>
      <c r="K11" s="112">
        <f>+H11+I11+J11</f>
        <v>450264.53999999986</v>
      </c>
      <c r="O11" s="115"/>
      <c r="P11" s="114"/>
      <c r="Q11" s="115"/>
      <c r="R11" s="111"/>
      <c r="S11" s="111"/>
    </row>
    <row r="12" spans="1:19" x14ac:dyDescent="0.25">
      <c r="A12" s="113" t="s">
        <v>461</v>
      </c>
      <c r="B12" s="112">
        <f t="shared" si="4"/>
        <v>2917347.96</v>
      </c>
      <c r="C12" s="112"/>
      <c r="D12" s="112"/>
      <c r="E12" s="112">
        <f t="shared" si="0"/>
        <v>2917347.96</v>
      </c>
      <c r="G12" s="113" t="s">
        <v>461</v>
      </c>
      <c r="H12" s="112">
        <f t="shared" si="5"/>
        <v>450264.53999999986</v>
      </c>
      <c r="I12" s="112">
        <f t="shared" si="1"/>
        <v>0</v>
      </c>
      <c r="J12" s="112">
        <f t="shared" si="2"/>
        <v>0</v>
      </c>
      <c r="K12" s="112">
        <f>+H12+I12+J12</f>
        <v>450264.53999999986</v>
      </c>
      <c r="O12" s="115"/>
      <c r="Q12" s="115"/>
    </row>
    <row r="13" spans="1:19" x14ac:dyDescent="0.25">
      <c r="A13" s="113" t="s">
        <v>460</v>
      </c>
      <c r="B13" s="112">
        <f t="shared" si="4"/>
        <v>2917347.96</v>
      </c>
      <c r="C13" s="112"/>
      <c r="D13" s="112"/>
      <c r="E13" s="112">
        <f t="shared" si="0"/>
        <v>2917347.96</v>
      </c>
      <c r="G13" s="113" t="s">
        <v>460</v>
      </c>
      <c r="H13" s="112">
        <f t="shared" si="5"/>
        <v>450264.53999999986</v>
      </c>
      <c r="I13" s="112">
        <f t="shared" si="1"/>
        <v>0</v>
      </c>
      <c r="J13" s="112">
        <f t="shared" si="2"/>
        <v>0</v>
      </c>
      <c r="K13" s="112">
        <f>+H13+I13+J13</f>
        <v>450264.53999999986</v>
      </c>
      <c r="O13" s="115"/>
      <c r="P13" s="114"/>
      <c r="Q13" s="115"/>
      <c r="R13" s="114"/>
      <c r="S13" s="112"/>
    </row>
    <row r="14" spans="1:19" x14ac:dyDescent="0.25">
      <c r="A14" s="113" t="s">
        <v>459</v>
      </c>
      <c r="B14" s="112">
        <f t="shared" si="4"/>
        <v>2917347.96</v>
      </c>
      <c r="C14" s="112"/>
      <c r="D14" s="112"/>
      <c r="E14" s="112">
        <f t="shared" si="0"/>
        <v>2917347.96</v>
      </c>
      <c r="G14" s="113" t="s">
        <v>459</v>
      </c>
      <c r="H14" s="112">
        <f t="shared" si="5"/>
        <v>450264.53999999986</v>
      </c>
      <c r="I14" s="112">
        <f t="shared" si="1"/>
        <v>0</v>
      </c>
      <c r="J14" s="112">
        <f t="shared" si="2"/>
        <v>0</v>
      </c>
      <c r="K14" s="112">
        <f>+H14+I14+J14</f>
        <v>450264.53999999986</v>
      </c>
    </row>
    <row r="15" spans="1:19" x14ac:dyDescent="0.25">
      <c r="R15" s="111"/>
    </row>
    <row r="17" spans="1:19" x14ac:dyDescent="0.25">
      <c r="B17" s="137" t="s">
        <v>478</v>
      </c>
      <c r="C17" s="137"/>
      <c r="D17" s="137"/>
      <c r="E17" s="137"/>
      <c r="H17" s="137" t="s">
        <v>449</v>
      </c>
      <c r="I17" s="137"/>
      <c r="J17" s="137"/>
      <c r="K17" s="137"/>
      <c r="O17" s="137" t="s">
        <v>477</v>
      </c>
      <c r="P17" s="137"/>
      <c r="Q17" s="137"/>
      <c r="R17" s="137"/>
    </row>
    <row r="18" spans="1:19" x14ac:dyDescent="0.25">
      <c r="A18" t="s">
        <v>475</v>
      </c>
      <c r="B18" t="s">
        <v>474</v>
      </c>
      <c r="C18" t="s">
        <v>473</v>
      </c>
      <c r="D18" t="s">
        <v>472</v>
      </c>
      <c r="E18" t="s">
        <v>471</v>
      </c>
      <c r="G18" t="s">
        <v>475</v>
      </c>
      <c r="H18" t="s">
        <v>474</v>
      </c>
      <c r="I18" t="s">
        <v>473</v>
      </c>
      <c r="J18" t="s">
        <v>472</v>
      </c>
      <c r="K18" t="s">
        <v>471</v>
      </c>
      <c r="N18" t="s">
        <v>475</v>
      </c>
      <c r="O18" t="s">
        <v>474</v>
      </c>
      <c r="P18" t="s">
        <v>473</v>
      </c>
      <c r="Q18" t="s">
        <v>472</v>
      </c>
      <c r="R18" t="s">
        <v>471</v>
      </c>
    </row>
    <row r="19" spans="1:19" x14ac:dyDescent="0.25">
      <c r="A19" s="113" t="s">
        <v>470</v>
      </c>
      <c r="B19" s="112">
        <v>894571.75</v>
      </c>
      <c r="C19" s="112">
        <v>6978.8</v>
      </c>
      <c r="D19" s="112"/>
      <c r="E19" s="112">
        <f t="shared" ref="E19:E30" si="6">+B19+C19+D19</f>
        <v>901550.55</v>
      </c>
      <c r="G19" s="113" t="s">
        <v>470</v>
      </c>
      <c r="H19" s="112">
        <v>142479.75</v>
      </c>
      <c r="I19" s="112"/>
      <c r="J19" s="112">
        <v>-99152</v>
      </c>
      <c r="K19" s="112">
        <f t="shared" ref="K19:K30" si="7">+H19+I19+J19</f>
        <v>43327.75</v>
      </c>
      <c r="N19" s="113" t="s">
        <v>470</v>
      </c>
      <c r="O19" s="112">
        <v>37466.910000000003</v>
      </c>
      <c r="P19" s="112">
        <v>31467.49</v>
      </c>
      <c r="Q19" s="112">
        <v>-49550</v>
      </c>
      <c r="R19" s="112">
        <f t="shared" ref="R19:R30" si="8">+O19+P19+Q19</f>
        <v>19384.400000000009</v>
      </c>
    </row>
    <row r="20" spans="1:19" x14ac:dyDescent="0.25">
      <c r="A20" s="113" t="s">
        <v>469</v>
      </c>
      <c r="B20" s="112">
        <f t="shared" ref="B20:B30" si="9">+E19</f>
        <v>901550.55</v>
      </c>
      <c r="C20" s="112">
        <v>13327.68</v>
      </c>
      <c r="D20" s="112"/>
      <c r="E20" s="112">
        <f t="shared" si="6"/>
        <v>914878.2300000001</v>
      </c>
      <c r="G20" s="113" t="s">
        <v>469</v>
      </c>
      <c r="H20" s="112">
        <f t="shared" ref="H20:H30" si="10">+K19</f>
        <v>43327.75</v>
      </c>
      <c r="I20" s="112"/>
      <c r="J20" s="112">
        <v>-42836.33</v>
      </c>
      <c r="K20" s="112">
        <f t="shared" si="7"/>
        <v>491.41999999999825</v>
      </c>
      <c r="N20" s="113" t="s">
        <v>469</v>
      </c>
      <c r="O20" s="112">
        <f t="shared" ref="O20:O30" si="11">+R19</f>
        <v>19384.400000000009</v>
      </c>
      <c r="P20" s="112">
        <f>648+6463.5</f>
        <v>7111.5</v>
      </c>
      <c r="Q20" s="112"/>
      <c r="R20" s="112">
        <f t="shared" si="8"/>
        <v>26495.900000000009</v>
      </c>
    </row>
    <row r="21" spans="1:19" x14ac:dyDescent="0.25">
      <c r="A21" s="113" t="s">
        <v>468</v>
      </c>
      <c r="B21" s="112">
        <f t="shared" si="9"/>
        <v>914878.2300000001</v>
      </c>
      <c r="C21" s="112">
        <v>8333.5300000000007</v>
      </c>
      <c r="D21" s="112"/>
      <c r="E21" s="112">
        <f t="shared" si="6"/>
        <v>923211.76000000013</v>
      </c>
      <c r="G21" s="113" t="s">
        <v>468</v>
      </c>
      <c r="H21" s="112">
        <f t="shared" si="10"/>
        <v>491.41999999999825</v>
      </c>
      <c r="I21" s="112"/>
      <c r="J21" s="112">
        <v>-45794.55</v>
      </c>
      <c r="K21" s="112">
        <f t="shared" si="7"/>
        <v>-45303.130000000005</v>
      </c>
      <c r="N21" s="113" t="s">
        <v>468</v>
      </c>
      <c r="O21" s="112">
        <f t="shared" si="11"/>
        <v>26495.900000000009</v>
      </c>
      <c r="P21" s="112">
        <v>288.75</v>
      </c>
      <c r="Q21" s="112">
        <v>-15777.45</v>
      </c>
      <c r="R21" s="112">
        <f t="shared" si="8"/>
        <v>11007.200000000008</v>
      </c>
      <c r="S21" s="111"/>
    </row>
    <row r="22" spans="1:19" x14ac:dyDescent="0.25">
      <c r="A22" s="113" t="s">
        <v>467</v>
      </c>
      <c r="B22" s="112">
        <f t="shared" si="9"/>
        <v>923211.76000000013</v>
      </c>
      <c r="C22" s="112">
        <v>3770.49</v>
      </c>
      <c r="D22" s="112"/>
      <c r="E22" s="112">
        <f t="shared" si="6"/>
        <v>926982.25000000012</v>
      </c>
      <c r="G22" s="113" t="s">
        <v>467</v>
      </c>
      <c r="H22" s="112">
        <f t="shared" si="10"/>
        <v>-45303.130000000005</v>
      </c>
      <c r="I22" s="112"/>
      <c r="J22" s="112"/>
      <c r="K22" s="112">
        <f t="shared" si="7"/>
        <v>-45303.130000000005</v>
      </c>
      <c r="N22" s="113" t="s">
        <v>467</v>
      </c>
      <c r="O22" s="112">
        <f t="shared" si="11"/>
        <v>11007.200000000008</v>
      </c>
      <c r="P22" s="112"/>
      <c r="Q22" s="112"/>
      <c r="R22" s="112">
        <f t="shared" si="8"/>
        <v>11007.200000000008</v>
      </c>
      <c r="S22" s="111"/>
    </row>
    <row r="23" spans="1:19" x14ac:dyDescent="0.25">
      <c r="A23" s="113" t="s">
        <v>466</v>
      </c>
      <c r="B23" s="112">
        <f t="shared" si="9"/>
        <v>926982.25000000012</v>
      </c>
      <c r="C23" s="112"/>
      <c r="D23" s="112"/>
      <c r="E23" s="112">
        <f t="shared" si="6"/>
        <v>926982.25000000012</v>
      </c>
      <c r="G23" s="113" t="s">
        <v>466</v>
      </c>
      <c r="H23" s="112">
        <f t="shared" si="10"/>
        <v>-45303.130000000005</v>
      </c>
      <c r="I23" s="112"/>
      <c r="J23" s="112"/>
      <c r="K23" s="112">
        <f t="shared" si="7"/>
        <v>-45303.130000000005</v>
      </c>
      <c r="N23" s="113" t="s">
        <v>466</v>
      </c>
      <c r="O23" s="112">
        <f t="shared" si="11"/>
        <v>11007.200000000008</v>
      </c>
      <c r="P23" s="112"/>
      <c r="Q23" s="112"/>
      <c r="R23" s="112">
        <f t="shared" si="8"/>
        <v>11007.200000000008</v>
      </c>
    </row>
    <row r="24" spans="1:19" x14ac:dyDescent="0.25">
      <c r="A24" s="113" t="s">
        <v>465</v>
      </c>
      <c r="B24" s="112">
        <f t="shared" si="9"/>
        <v>926982.25000000012</v>
      </c>
      <c r="C24" s="112"/>
      <c r="D24" s="112"/>
      <c r="E24" s="112">
        <f t="shared" si="6"/>
        <v>926982.25000000012</v>
      </c>
      <c r="G24" s="113" t="s">
        <v>465</v>
      </c>
      <c r="H24" s="112">
        <f t="shared" si="10"/>
        <v>-45303.130000000005</v>
      </c>
      <c r="I24" s="112"/>
      <c r="J24" s="112"/>
      <c r="K24" s="112">
        <f t="shared" si="7"/>
        <v>-45303.130000000005</v>
      </c>
      <c r="N24" s="113" t="s">
        <v>465</v>
      </c>
      <c r="O24" s="112">
        <f t="shared" si="11"/>
        <v>11007.200000000008</v>
      </c>
      <c r="P24" s="112"/>
      <c r="Q24" s="112"/>
      <c r="R24" s="112">
        <f t="shared" si="8"/>
        <v>11007.200000000008</v>
      </c>
    </row>
    <row r="25" spans="1:19" x14ac:dyDescent="0.25">
      <c r="A25" s="113" t="s">
        <v>464</v>
      </c>
      <c r="B25" s="112">
        <f t="shared" si="9"/>
        <v>926982.25000000012</v>
      </c>
      <c r="C25" s="112"/>
      <c r="D25" s="112"/>
      <c r="E25" s="112">
        <f t="shared" si="6"/>
        <v>926982.25000000012</v>
      </c>
      <c r="G25" s="113" t="s">
        <v>464</v>
      </c>
      <c r="H25" s="112">
        <f t="shared" si="10"/>
        <v>-45303.130000000005</v>
      </c>
      <c r="I25" s="112"/>
      <c r="J25" s="112"/>
      <c r="K25" s="112">
        <f t="shared" si="7"/>
        <v>-45303.130000000005</v>
      </c>
      <c r="N25" s="113" t="s">
        <v>464</v>
      </c>
      <c r="O25" s="112">
        <f t="shared" si="11"/>
        <v>11007.200000000008</v>
      </c>
      <c r="P25" s="112"/>
      <c r="Q25" s="112"/>
      <c r="R25" s="112">
        <f t="shared" si="8"/>
        <v>11007.200000000008</v>
      </c>
    </row>
    <row r="26" spans="1:19" x14ac:dyDescent="0.25">
      <c r="A26" s="113" t="s">
        <v>463</v>
      </c>
      <c r="B26" s="112">
        <f t="shared" si="9"/>
        <v>926982.25000000012</v>
      </c>
      <c r="C26" s="112"/>
      <c r="D26" s="112"/>
      <c r="E26" s="112">
        <f t="shared" si="6"/>
        <v>926982.25000000012</v>
      </c>
      <c r="G26" s="113" t="s">
        <v>463</v>
      </c>
      <c r="H26" s="112">
        <f t="shared" si="10"/>
        <v>-45303.130000000005</v>
      </c>
      <c r="I26" s="112"/>
      <c r="J26" s="112"/>
      <c r="K26" s="112">
        <f t="shared" si="7"/>
        <v>-45303.130000000005</v>
      </c>
      <c r="N26" s="113" t="s">
        <v>463</v>
      </c>
      <c r="O26" s="112">
        <f t="shared" si="11"/>
        <v>11007.200000000008</v>
      </c>
      <c r="P26" s="112"/>
      <c r="Q26" s="112"/>
      <c r="R26" s="112">
        <f t="shared" si="8"/>
        <v>11007.200000000008</v>
      </c>
    </row>
    <row r="27" spans="1:19" x14ac:dyDescent="0.25">
      <c r="A27" s="113" t="s">
        <v>462</v>
      </c>
      <c r="B27" s="112">
        <f t="shared" si="9"/>
        <v>926982.25000000012</v>
      </c>
      <c r="C27" s="112"/>
      <c r="D27" s="112"/>
      <c r="E27" s="112">
        <f t="shared" si="6"/>
        <v>926982.25000000012</v>
      </c>
      <c r="G27" s="113" t="s">
        <v>462</v>
      </c>
      <c r="H27" s="112">
        <f t="shared" si="10"/>
        <v>-45303.130000000005</v>
      </c>
      <c r="I27" s="112"/>
      <c r="J27" s="112"/>
      <c r="K27" s="112">
        <f t="shared" si="7"/>
        <v>-45303.130000000005</v>
      </c>
      <c r="N27" s="113" t="s">
        <v>462</v>
      </c>
      <c r="O27" s="112">
        <f t="shared" si="11"/>
        <v>11007.200000000008</v>
      </c>
      <c r="P27" s="112"/>
      <c r="Q27" s="112"/>
      <c r="R27" s="112">
        <f t="shared" si="8"/>
        <v>11007.200000000008</v>
      </c>
    </row>
    <row r="28" spans="1:19" x14ac:dyDescent="0.25">
      <c r="A28" s="113" t="s">
        <v>461</v>
      </c>
      <c r="B28" s="112">
        <f t="shared" si="9"/>
        <v>926982.25000000012</v>
      </c>
      <c r="C28" s="112"/>
      <c r="D28" s="112"/>
      <c r="E28" s="112">
        <f t="shared" si="6"/>
        <v>926982.25000000012</v>
      </c>
      <c r="G28" s="113" t="s">
        <v>461</v>
      </c>
      <c r="H28" s="112">
        <f t="shared" si="10"/>
        <v>-45303.130000000005</v>
      </c>
      <c r="I28" s="112"/>
      <c r="J28" s="112"/>
      <c r="K28" s="112">
        <f t="shared" si="7"/>
        <v>-45303.130000000005</v>
      </c>
      <c r="N28" s="113" t="s">
        <v>461</v>
      </c>
      <c r="O28" s="112">
        <f t="shared" si="11"/>
        <v>11007.200000000008</v>
      </c>
      <c r="P28" s="112"/>
      <c r="Q28" s="112"/>
      <c r="R28" s="112">
        <f t="shared" si="8"/>
        <v>11007.200000000008</v>
      </c>
    </row>
    <row r="29" spans="1:19" x14ac:dyDescent="0.25">
      <c r="A29" s="113" t="s">
        <v>460</v>
      </c>
      <c r="B29" s="112">
        <f t="shared" si="9"/>
        <v>926982.25000000012</v>
      </c>
      <c r="C29" s="112"/>
      <c r="D29" s="112"/>
      <c r="E29" s="112">
        <f t="shared" si="6"/>
        <v>926982.25000000012</v>
      </c>
      <c r="G29" s="113" t="s">
        <v>460</v>
      </c>
      <c r="H29" s="112">
        <f t="shared" si="10"/>
        <v>-45303.130000000005</v>
      </c>
      <c r="I29" s="112"/>
      <c r="J29" s="112"/>
      <c r="K29" s="112">
        <f t="shared" si="7"/>
        <v>-45303.130000000005</v>
      </c>
      <c r="N29" s="113" t="s">
        <v>460</v>
      </c>
      <c r="O29" s="112">
        <f t="shared" si="11"/>
        <v>11007.200000000008</v>
      </c>
      <c r="P29" s="112"/>
      <c r="Q29" s="112"/>
      <c r="R29" s="112">
        <f t="shared" si="8"/>
        <v>11007.200000000008</v>
      </c>
    </row>
    <row r="30" spans="1:19" x14ac:dyDescent="0.25">
      <c r="A30" s="113" t="s">
        <v>459</v>
      </c>
      <c r="B30" s="112">
        <f t="shared" si="9"/>
        <v>926982.25000000012</v>
      </c>
      <c r="C30" s="112"/>
      <c r="D30" s="112"/>
      <c r="E30" s="112">
        <f t="shared" si="6"/>
        <v>926982.25000000012</v>
      </c>
      <c r="G30" s="113" t="s">
        <v>459</v>
      </c>
      <c r="H30" s="112">
        <f t="shared" si="10"/>
        <v>-45303.130000000005</v>
      </c>
      <c r="I30" s="112"/>
      <c r="J30" s="112"/>
      <c r="K30" s="112">
        <f t="shared" si="7"/>
        <v>-45303.130000000005</v>
      </c>
      <c r="N30" s="113" t="s">
        <v>459</v>
      </c>
      <c r="O30" s="112">
        <f t="shared" si="11"/>
        <v>11007.200000000008</v>
      </c>
      <c r="P30" s="112"/>
      <c r="Q30" s="112"/>
      <c r="R30" s="112">
        <f t="shared" si="8"/>
        <v>11007.200000000008</v>
      </c>
    </row>
    <row r="33" spans="1:18" x14ac:dyDescent="0.25">
      <c r="B33" s="137" t="s">
        <v>359</v>
      </c>
      <c r="C33" s="137"/>
      <c r="D33" s="137"/>
      <c r="E33" s="137"/>
      <c r="H33" s="137" t="s">
        <v>299</v>
      </c>
      <c r="I33" s="137"/>
      <c r="J33" s="137"/>
      <c r="K33" s="137"/>
      <c r="O33" s="137" t="s">
        <v>476</v>
      </c>
      <c r="P33" s="137"/>
      <c r="Q33" s="137"/>
      <c r="R33" s="137"/>
    </row>
    <row r="34" spans="1:18" x14ac:dyDescent="0.25">
      <c r="A34" t="s">
        <v>475</v>
      </c>
      <c r="B34" t="s">
        <v>474</v>
      </c>
      <c r="C34" t="s">
        <v>473</v>
      </c>
      <c r="D34" t="s">
        <v>472</v>
      </c>
      <c r="E34" t="s">
        <v>471</v>
      </c>
      <c r="G34" t="s">
        <v>475</v>
      </c>
      <c r="H34" t="s">
        <v>474</v>
      </c>
      <c r="I34" t="s">
        <v>473</v>
      </c>
      <c r="J34" t="s">
        <v>472</v>
      </c>
      <c r="K34" t="s">
        <v>471</v>
      </c>
      <c r="N34" t="s">
        <v>475</v>
      </c>
      <c r="O34" t="s">
        <v>474</v>
      </c>
      <c r="P34" t="s">
        <v>473</v>
      </c>
      <c r="Q34" t="s">
        <v>472</v>
      </c>
      <c r="R34" t="s">
        <v>471</v>
      </c>
    </row>
    <row r="35" spans="1:18" x14ac:dyDescent="0.25">
      <c r="A35" s="113" t="s">
        <v>470</v>
      </c>
      <c r="B35" s="112">
        <v>2113101.16</v>
      </c>
      <c r="C35" s="112"/>
      <c r="D35" s="112">
        <v>-16118.84</v>
      </c>
      <c r="E35" s="112">
        <f t="shared" ref="E35:E46" si="12">+B35+C35+D35</f>
        <v>2096982.32</v>
      </c>
      <c r="G35" s="113" t="s">
        <v>470</v>
      </c>
      <c r="H35" s="112">
        <v>311550.32</v>
      </c>
      <c r="I35" s="112"/>
      <c r="J35" s="112">
        <v>-806.25</v>
      </c>
      <c r="K35" s="112">
        <f t="shared" ref="K35:K46" si="13">+H35+I35+J35</f>
        <v>310744.07</v>
      </c>
      <c r="N35" s="113" t="s">
        <v>470</v>
      </c>
      <c r="O35" s="112">
        <v>33209.4</v>
      </c>
      <c r="P35" s="112">
        <v>660</v>
      </c>
      <c r="Q35" s="112"/>
      <c r="R35" s="112">
        <f t="shared" ref="R35:R46" si="14">+O35+P35+Q35</f>
        <v>33869.4</v>
      </c>
    </row>
    <row r="36" spans="1:18" x14ac:dyDescent="0.25">
      <c r="A36" s="113" t="s">
        <v>469</v>
      </c>
      <c r="B36" s="112">
        <f t="shared" ref="B36:B46" si="15">+E35</f>
        <v>2096982.32</v>
      </c>
      <c r="C36" s="112">
        <v>8638.19</v>
      </c>
      <c r="D36" s="112">
        <v>-205632.1</v>
      </c>
      <c r="E36" s="112">
        <f t="shared" si="12"/>
        <v>1899988.4100000001</v>
      </c>
      <c r="G36" s="113" t="s">
        <v>469</v>
      </c>
      <c r="H36" s="112">
        <f t="shared" ref="H36:H46" si="16">+K35</f>
        <v>310744.07</v>
      </c>
      <c r="I36" s="112"/>
      <c r="J36" s="112"/>
      <c r="K36" s="112">
        <f t="shared" si="13"/>
        <v>310744.07</v>
      </c>
      <c r="N36" s="113" t="s">
        <v>469</v>
      </c>
      <c r="O36" s="112">
        <f t="shared" ref="O36:O46" si="17">+R35</f>
        <v>33869.4</v>
      </c>
      <c r="P36" s="112">
        <v>1883</v>
      </c>
      <c r="Q36" s="112"/>
      <c r="R36" s="112">
        <f t="shared" si="14"/>
        <v>35752.400000000001</v>
      </c>
    </row>
    <row r="37" spans="1:18" x14ac:dyDescent="0.25">
      <c r="A37" s="113" t="s">
        <v>468</v>
      </c>
      <c r="B37" s="112">
        <f t="shared" si="15"/>
        <v>1899988.4100000001</v>
      </c>
      <c r="C37" s="112">
        <f>21284.89+1463855.32</f>
        <v>1485140.21</v>
      </c>
      <c r="D37" s="112">
        <v>-586997.51</v>
      </c>
      <c r="E37" s="112">
        <f t="shared" si="12"/>
        <v>2798131.1100000003</v>
      </c>
      <c r="G37" s="113" t="s">
        <v>468</v>
      </c>
      <c r="H37" s="112">
        <f t="shared" si="16"/>
        <v>310744.07</v>
      </c>
      <c r="I37" s="112"/>
      <c r="J37" s="112"/>
      <c r="K37" s="112">
        <f t="shared" si="13"/>
        <v>310744.07</v>
      </c>
      <c r="N37" s="113" t="s">
        <v>468</v>
      </c>
      <c r="O37" s="112">
        <f t="shared" si="17"/>
        <v>35752.400000000001</v>
      </c>
      <c r="P37" s="112">
        <v>4030</v>
      </c>
      <c r="Q37" s="112"/>
      <c r="R37" s="112">
        <f t="shared" si="14"/>
        <v>39782.400000000001</v>
      </c>
    </row>
    <row r="38" spans="1:18" x14ac:dyDescent="0.25">
      <c r="A38" s="113" t="s">
        <v>467</v>
      </c>
      <c r="B38" s="112">
        <f t="shared" si="15"/>
        <v>2798131.1100000003</v>
      </c>
      <c r="C38" s="112">
        <v>39062.69</v>
      </c>
      <c r="D38" s="112">
        <v>-219527.76</v>
      </c>
      <c r="E38" s="112">
        <f t="shared" si="12"/>
        <v>2617666.04</v>
      </c>
      <c r="G38" s="113" t="s">
        <v>467</v>
      </c>
      <c r="H38" s="112">
        <f t="shared" si="16"/>
        <v>310744.07</v>
      </c>
      <c r="I38" s="112"/>
      <c r="J38" s="112"/>
      <c r="K38" s="112">
        <f t="shared" si="13"/>
        <v>310744.07</v>
      </c>
      <c r="N38" s="113" t="s">
        <v>467</v>
      </c>
      <c r="O38" s="112">
        <f t="shared" si="17"/>
        <v>39782.400000000001</v>
      </c>
      <c r="P38" s="112">
        <v>1505</v>
      </c>
      <c r="Q38" s="112">
        <v>-2684.95</v>
      </c>
      <c r="R38" s="112">
        <f t="shared" si="14"/>
        <v>38602.450000000004</v>
      </c>
    </row>
    <row r="39" spans="1:18" x14ac:dyDescent="0.25">
      <c r="A39" s="113" t="s">
        <v>466</v>
      </c>
      <c r="B39" s="112">
        <f t="shared" si="15"/>
        <v>2617666.04</v>
      </c>
      <c r="C39" s="112"/>
      <c r="D39" s="112"/>
      <c r="E39" s="112">
        <f t="shared" si="12"/>
        <v>2617666.04</v>
      </c>
      <c r="G39" s="113" t="s">
        <v>466</v>
      </c>
      <c r="H39" s="112">
        <f t="shared" si="16"/>
        <v>310744.07</v>
      </c>
      <c r="I39" s="112"/>
      <c r="J39" s="112"/>
      <c r="K39" s="112">
        <f t="shared" si="13"/>
        <v>310744.07</v>
      </c>
      <c r="N39" s="113" t="s">
        <v>466</v>
      </c>
      <c r="O39" s="112">
        <f t="shared" si="17"/>
        <v>38602.450000000004</v>
      </c>
      <c r="P39" s="112"/>
      <c r="Q39" s="112"/>
      <c r="R39" s="112">
        <f t="shared" si="14"/>
        <v>38602.450000000004</v>
      </c>
    </row>
    <row r="40" spans="1:18" x14ac:dyDescent="0.25">
      <c r="A40" s="113" t="s">
        <v>465</v>
      </c>
      <c r="B40" s="112">
        <f t="shared" si="15"/>
        <v>2617666.04</v>
      </c>
      <c r="C40" s="112"/>
      <c r="D40" s="112"/>
      <c r="E40" s="112">
        <f t="shared" si="12"/>
        <v>2617666.04</v>
      </c>
      <c r="G40" s="113" t="s">
        <v>465</v>
      </c>
      <c r="H40" s="112">
        <f t="shared" si="16"/>
        <v>310744.07</v>
      </c>
      <c r="I40" s="112"/>
      <c r="J40" s="112"/>
      <c r="K40" s="112">
        <f t="shared" si="13"/>
        <v>310744.07</v>
      </c>
      <c r="N40" s="113" t="s">
        <v>465</v>
      </c>
      <c r="O40" s="112">
        <f t="shared" si="17"/>
        <v>38602.450000000004</v>
      </c>
      <c r="P40" s="112"/>
      <c r="Q40" s="112"/>
      <c r="R40" s="112">
        <f t="shared" si="14"/>
        <v>38602.450000000004</v>
      </c>
    </row>
    <row r="41" spans="1:18" x14ac:dyDescent="0.25">
      <c r="A41" s="113" t="s">
        <v>464</v>
      </c>
      <c r="B41" s="112">
        <f t="shared" si="15"/>
        <v>2617666.04</v>
      </c>
      <c r="C41" s="112"/>
      <c r="D41" s="112"/>
      <c r="E41" s="112">
        <f t="shared" si="12"/>
        <v>2617666.04</v>
      </c>
      <c r="G41" s="113" t="s">
        <v>464</v>
      </c>
      <c r="H41" s="112">
        <f t="shared" si="16"/>
        <v>310744.07</v>
      </c>
      <c r="I41" s="112"/>
      <c r="J41" s="112"/>
      <c r="K41" s="112">
        <f t="shared" si="13"/>
        <v>310744.07</v>
      </c>
      <c r="N41" s="113" t="s">
        <v>464</v>
      </c>
      <c r="O41" s="112">
        <f t="shared" si="17"/>
        <v>38602.450000000004</v>
      </c>
      <c r="P41" s="112"/>
      <c r="Q41" s="112"/>
      <c r="R41" s="112">
        <f t="shared" si="14"/>
        <v>38602.450000000004</v>
      </c>
    </row>
    <row r="42" spans="1:18" x14ac:dyDescent="0.25">
      <c r="A42" s="113" t="s">
        <v>463</v>
      </c>
      <c r="B42" s="112">
        <f t="shared" si="15"/>
        <v>2617666.04</v>
      </c>
      <c r="C42" s="112"/>
      <c r="D42" s="112"/>
      <c r="E42" s="112">
        <f t="shared" si="12"/>
        <v>2617666.04</v>
      </c>
      <c r="G42" s="113" t="s">
        <v>463</v>
      </c>
      <c r="H42" s="112">
        <f t="shared" si="16"/>
        <v>310744.07</v>
      </c>
      <c r="I42" s="112"/>
      <c r="J42" s="112"/>
      <c r="K42" s="112">
        <f t="shared" si="13"/>
        <v>310744.07</v>
      </c>
      <c r="N42" s="113" t="s">
        <v>463</v>
      </c>
      <c r="O42" s="112">
        <f t="shared" si="17"/>
        <v>38602.450000000004</v>
      </c>
      <c r="P42" s="112"/>
      <c r="Q42" s="112"/>
      <c r="R42" s="112">
        <f t="shared" si="14"/>
        <v>38602.450000000004</v>
      </c>
    </row>
    <row r="43" spans="1:18" x14ac:dyDescent="0.25">
      <c r="A43" s="113" t="s">
        <v>462</v>
      </c>
      <c r="B43" s="112">
        <f t="shared" si="15"/>
        <v>2617666.04</v>
      </c>
      <c r="C43" s="112"/>
      <c r="D43" s="112"/>
      <c r="E43" s="112">
        <f t="shared" si="12"/>
        <v>2617666.04</v>
      </c>
      <c r="G43" s="113" t="s">
        <v>462</v>
      </c>
      <c r="H43" s="112">
        <f t="shared" si="16"/>
        <v>310744.07</v>
      </c>
      <c r="I43" s="112"/>
      <c r="J43" s="112"/>
      <c r="K43" s="112">
        <f t="shared" si="13"/>
        <v>310744.07</v>
      </c>
      <c r="N43" s="113" t="s">
        <v>462</v>
      </c>
      <c r="O43" s="112">
        <f t="shared" si="17"/>
        <v>38602.450000000004</v>
      </c>
      <c r="P43" s="112"/>
      <c r="Q43" s="112"/>
      <c r="R43" s="112">
        <f t="shared" si="14"/>
        <v>38602.450000000004</v>
      </c>
    </row>
    <row r="44" spans="1:18" x14ac:dyDescent="0.25">
      <c r="A44" s="113" t="s">
        <v>461</v>
      </c>
      <c r="B44" s="112">
        <f t="shared" si="15"/>
        <v>2617666.04</v>
      </c>
      <c r="C44" s="112"/>
      <c r="D44" s="112"/>
      <c r="E44" s="112">
        <f t="shared" si="12"/>
        <v>2617666.04</v>
      </c>
      <c r="G44" s="113" t="s">
        <v>461</v>
      </c>
      <c r="H44" s="112">
        <f t="shared" si="16"/>
        <v>310744.07</v>
      </c>
      <c r="I44" s="112"/>
      <c r="J44" s="112"/>
      <c r="K44" s="112">
        <f t="shared" si="13"/>
        <v>310744.07</v>
      </c>
      <c r="N44" s="113" t="s">
        <v>461</v>
      </c>
      <c r="O44" s="112">
        <f t="shared" si="17"/>
        <v>38602.450000000004</v>
      </c>
      <c r="P44" s="112"/>
      <c r="Q44" s="112"/>
      <c r="R44" s="112">
        <f t="shared" si="14"/>
        <v>38602.450000000004</v>
      </c>
    </row>
    <row r="45" spans="1:18" x14ac:dyDescent="0.25">
      <c r="A45" s="113" t="s">
        <v>460</v>
      </c>
      <c r="B45" s="112">
        <f t="shared" si="15"/>
        <v>2617666.04</v>
      </c>
      <c r="C45" s="112"/>
      <c r="D45" s="112"/>
      <c r="E45" s="112">
        <f t="shared" si="12"/>
        <v>2617666.04</v>
      </c>
      <c r="G45" s="113" t="s">
        <v>460</v>
      </c>
      <c r="H45" s="112">
        <f t="shared" si="16"/>
        <v>310744.07</v>
      </c>
      <c r="I45" s="112"/>
      <c r="J45" s="112"/>
      <c r="K45" s="112">
        <f t="shared" si="13"/>
        <v>310744.07</v>
      </c>
      <c r="N45" s="113" t="s">
        <v>460</v>
      </c>
      <c r="O45" s="112">
        <f t="shared" si="17"/>
        <v>38602.450000000004</v>
      </c>
      <c r="P45" s="112"/>
      <c r="Q45" s="112"/>
      <c r="R45" s="112">
        <f t="shared" si="14"/>
        <v>38602.450000000004</v>
      </c>
    </row>
    <row r="46" spans="1:18" x14ac:dyDescent="0.25">
      <c r="A46" s="113" t="s">
        <v>459</v>
      </c>
      <c r="B46" s="112">
        <f t="shared" si="15"/>
        <v>2617666.04</v>
      </c>
      <c r="C46" s="112"/>
      <c r="D46" s="112"/>
      <c r="E46" s="112">
        <f t="shared" si="12"/>
        <v>2617666.04</v>
      </c>
      <c r="G46" s="113" t="s">
        <v>459</v>
      </c>
      <c r="H46" s="112">
        <f t="shared" si="16"/>
        <v>310744.07</v>
      </c>
      <c r="I46" s="112"/>
      <c r="J46" s="112"/>
      <c r="K46" s="112">
        <f t="shared" si="13"/>
        <v>310744.07</v>
      </c>
      <c r="N46" s="113" t="s">
        <v>459</v>
      </c>
      <c r="O46" s="112">
        <f t="shared" si="17"/>
        <v>38602.450000000004</v>
      </c>
      <c r="P46" s="112"/>
      <c r="Q46" s="112"/>
      <c r="R46" s="112">
        <f t="shared" si="14"/>
        <v>38602.450000000004</v>
      </c>
    </row>
    <row r="48" spans="1:18" x14ac:dyDescent="0.25">
      <c r="J48" s="111"/>
    </row>
  </sheetData>
  <mergeCells count="8">
    <mergeCell ref="O33:R33"/>
    <mergeCell ref="H33:K33"/>
    <mergeCell ref="B1:E1"/>
    <mergeCell ref="H1:K1"/>
    <mergeCell ref="B17:E17"/>
    <mergeCell ref="O17:R17"/>
    <mergeCell ref="H17:K17"/>
    <mergeCell ref="B33:E33"/>
  </mergeCells>
  <pageMargins left="0.2" right="0.2" top="0.5" bottom="0.5" header="0.3" footer="0.3"/>
  <pageSetup orientation="landscape" r:id="rId1"/>
  <rowBreaks count="1" manualBreakCount="1">
    <brk id="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FEA2B-D2D6-40C5-A0DD-62DF364B03DE}">
  <sheetPr>
    <pageSetUpPr fitToPage="1"/>
  </sheetPr>
  <dimension ref="A1:R38"/>
  <sheetViews>
    <sheetView workbookViewId="0">
      <selection activeCell="R27" sqref="R27"/>
    </sheetView>
  </sheetViews>
  <sheetFormatPr defaultRowHeight="15" x14ac:dyDescent="0.25"/>
  <cols>
    <col min="1" max="1" width="29.42578125" customWidth="1"/>
    <col min="2" max="2" width="10.5703125" style="118" bestFit="1" customWidth="1"/>
    <col min="3" max="4" width="10.5703125" style="118" customWidth="1"/>
    <col min="5" max="5" width="2.7109375" style="118" customWidth="1"/>
    <col min="6" max="6" width="10.5703125" style="118" bestFit="1" customWidth="1"/>
    <col min="7" max="7" width="10.5703125" bestFit="1" customWidth="1"/>
    <col min="8" max="8" width="11.28515625" bestFit="1" customWidth="1"/>
    <col min="9" max="9" width="2.7109375" style="118" customWidth="1"/>
    <col min="10" max="10" width="10.5703125" style="118" bestFit="1" customWidth="1"/>
    <col min="11" max="11" width="10.5703125" bestFit="1" customWidth="1"/>
    <col min="12" max="12" width="11.28515625" bestFit="1" customWidth="1"/>
    <col min="13" max="13" width="2.7109375" style="118" customWidth="1"/>
    <col min="14" max="14" width="10.5703125" style="118" bestFit="1" customWidth="1"/>
    <col min="15" max="15" width="10.5703125" bestFit="1" customWidth="1"/>
    <col min="16" max="16" width="11.28515625" bestFit="1" customWidth="1"/>
    <col min="18" max="18" width="13.85546875" bestFit="1" customWidth="1"/>
  </cols>
  <sheetData>
    <row r="1" spans="1:18" x14ac:dyDescent="0.25">
      <c r="B1" s="138" t="s">
        <v>503</v>
      </c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8"/>
      <c r="P1" s="138"/>
      <c r="Q1" s="126"/>
    </row>
    <row r="2" spans="1:18" x14ac:dyDescent="0.25">
      <c r="B2" s="138" t="s">
        <v>493</v>
      </c>
      <c r="C2" s="138"/>
      <c r="D2" s="138"/>
      <c r="E2" s="124"/>
      <c r="F2" s="138" t="s">
        <v>492</v>
      </c>
      <c r="G2" s="138"/>
      <c r="H2" s="138"/>
      <c r="I2" s="124"/>
      <c r="J2" s="138" t="s">
        <v>504</v>
      </c>
      <c r="K2" s="138"/>
      <c r="L2" s="138"/>
      <c r="M2" s="124"/>
      <c r="N2" s="138" t="s">
        <v>527</v>
      </c>
      <c r="O2" s="138"/>
      <c r="P2" s="138"/>
      <c r="R2" s="125" t="s">
        <v>529</v>
      </c>
    </row>
    <row r="3" spans="1:18" x14ac:dyDescent="0.25">
      <c r="A3" s="120" t="s">
        <v>502</v>
      </c>
      <c r="B3" s="119" t="s">
        <v>490</v>
      </c>
      <c r="C3" s="119" t="s">
        <v>489</v>
      </c>
      <c r="D3" s="119" t="s">
        <v>483</v>
      </c>
      <c r="E3" s="123"/>
      <c r="F3" s="119" t="s">
        <v>490</v>
      </c>
      <c r="G3" s="119" t="s">
        <v>489</v>
      </c>
      <c r="H3" s="119" t="s">
        <v>483</v>
      </c>
      <c r="I3" s="123"/>
      <c r="J3" s="119" t="s">
        <v>490</v>
      </c>
      <c r="K3" s="119" t="s">
        <v>489</v>
      </c>
      <c r="L3" s="119" t="s">
        <v>483</v>
      </c>
      <c r="M3" s="123"/>
      <c r="N3" s="119" t="s">
        <v>490</v>
      </c>
      <c r="O3" s="119" t="s">
        <v>489</v>
      </c>
      <c r="P3" s="119" t="s">
        <v>483</v>
      </c>
      <c r="R3" s="127" t="s">
        <v>530</v>
      </c>
    </row>
    <row r="4" spans="1:18" x14ac:dyDescent="0.25">
      <c r="A4" t="s">
        <v>501</v>
      </c>
      <c r="B4" s="118">
        <v>220.99</v>
      </c>
      <c r="C4" s="118">
        <v>1646</v>
      </c>
      <c r="D4" s="118">
        <f t="shared" ref="D4:D12" si="0">+B4-C4</f>
        <v>-1425.01</v>
      </c>
      <c r="E4" s="122"/>
      <c r="F4" s="118">
        <v>1299.5899999999999</v>
      </c>
      <c r="G4" s="118">
        <v>1646</v>
      </c>
      <c r="H4" s="118">
        <f t="shared" ref="H4:H12" si="1">+F4-G4</f>
        <v>-346.41000000000008</v>
      </c>
      <c r="I4" s="122"/>
      <c r="J4" s="118">
        <v>586.91</v>
      </c>
      <c r="K4" s="118">
        <v>1646</v>
      </c>
      <c r="L4" s="118">
        <f t="shared" ref="L4:L12" si="2">+J4-K4</f>
        <v>-1059.0900000000001</v>
      </c>
      <c r="M4" s="122"/>
      <c r="N4" s="118">
        <v>546.12</v>
      </c>
      <c r="O4" s="118">
        <v>1646</v>
      </c>
      <c r="P4" s="118">
        <f t="shared" ref="P4:P14" si="3">+N4-O4</f>
        <v>-1099.8800000000001</v>
      </c>
    </row>
    <row r="5" spans="1:18" x14ac:dyDescent="0.25">
      <c r="A5" t="s">
        <v>500</v>
      </c>
      <c r="B5" s="118">
        <v>17792.84</v>
      </c>
      <c r="C5" s="118">
        <v>10158</v>
      </c>
      <c r="D5" s="118">
        <f t="shared" si="0"/>
        <v>7634.84</v>
      </c>
      <c r="E5" s="122"/>
      <c r="F5" s="118">
        <v>16902.48</v>
      </c>
      <c r="G5" s="118">
        <v>10976</v>
      </c>
      <c r="H5" s="118">
        <f t="shared" si="1"/>
        <v>5926.48</v>
      </c>
      <c r="I5" s="122"/>
      <c r="J5" s="118">
        <v>19450.25</v>
      </c>
      <c r="K5" s="118">
        <v>10976</v>
      </c>
      <c r="L5" s="118">
        <f t="shared" si="2"/>
        <v>8474.25</v>
      </c>
      <c r="M5" s="122"/>
      <c r="N5" s="118">
        <v>2208.98</v>
      </c>
      <c r="O5" s="118">
        <v>10976</v>
      </c>
      <c r="P5" s="118">
        <f t="shared" si="3"/>
        <v>-8767.02</v>
      </c>
    </row>
    <row r="6" spans="1:18" x14ac:dyDescent="0.25">
      <c r="A6" t="s">
        <v>499</v>
      </c>
      <c r="B6" s="118">
        <v>2625</v>
      </c>
      <c r="C6" s="118">
        <v>0</v>
      </c>
      <c r="D6" s="118">
        <f t="shared" si="0"/>
        <v>2625</v>
      </c>
      <c r="E6" s="122"/>
      <c r="F6" s="118">
        <v>2212.5</v>
      </c>
      <c r="G6" s="118">
        <v>9900</v>
      </c>
      <c r="H6" s="118">
        <f t="shared" si="1"/>
        <v>-7687.5</v>
      </c>
      <c r="I6" s="122"/>
      <c r="J6" s="118">
        <v>6600</v>
      </c>
      <c r="K6" s="118">
        <v>9900</v>
      </c>
      <c r="L6" s="118">
        <f t="shared" si="2"/>
        <v>-3300</v>
      </c>
      <c r="M6" s="122"/>
      <c r="N6" s="118">
        <v>14062.5</v>
      </c>
      <c r="O6" s="118">
        <v>9900</v>
      </c>
      <c r="P6" s="118">
        <f t="shared" si="3"/>
        <v>4162.5</v>
      </c>
    </row>
    <row r="7" spans="1:18" x14ac:dyDescent="0.25">
      <c r="A7" t="s">
        <v>498</v>
      </c>
      <c r="B7" s="118">
        <v>0</v>
      </c>
      <c r="C7" s="118">
        <v>0</v>
      </c>
      <c r="D7" s="118">
        <f t="shared" si="0"/>
        <v>0</v>
      </c>
      <c r="E7" s="122"/>
      <c r="F7" s="118">
        <v>2360.44</v>
      </c>
      <c r="G7" s="118">
        <v>16250</v>
      </c>
      <c r="H7" s="118">
        <f t="shared" si="1"/>
        <v>-13889.56</v>
      </c>
      <c r="I7" s="122"/>
      <c r="J7" s="118">
        <v>12545</v>
      </c>
      <c r="K7" s="118">
        <v>16250</v>
      </c>
      <c r="L7" s="118">
        <f t="shared" si="2"/>
        <v>-3705</v>
      </c>
      <c r="M7" s="122"/>
      <c r="N7" s="118">
        <v>20637.5</v>
      </c>
      <c r="O7" s="118">
        <v>16250</v>
      </c>
      <c r="P7" s="118">
        <f t="shared" si="3"/>
        <v>4387.5</v>
      </c>
    </row>
    <row r="8" spans="1:18" x14ac:dyDescent="0.25">
      <c r="A8" t="s">
        <v>497</v>
      </c>
      <c r="B8" s="118">
        <v>221.6</v>
      </c>
      <c r="C8" s="118">
        <v>0</v>
      </c>
      <c r="D8" s="118">
        <f t="shared" si="0"/>
        <v>221.6</v>
      </c>
      <c r="E8" s="122"/>
      <c r="F8" s="118">
        <v>1083.32</v>
      </c>
      <c r="G8" s="118">
        <v>0</v>
      </c>
      <c r="H8" s="118">
        <f t="shared" si="1"/>
        <v>1083.32</v>
      </c>
      <c r="I8" s="122"/>
      <c r="J8" s="118">
        <v>1192.8</v>
      </c>
      <c r="K8" s="118">
        <v>0</v>
      </c>
      <c r="L8" s="118">
        <f t="shared" si="2"/>
        <v>1192.8</v>
      </c>
      <c r="M8" s="122"/>
      <c r="N8" s="118">
        <v>3224.2</v>
      </c>
      <c r="O8" s="118"/>
      <c r="P8" s="118">
        <f t="shared" si="3"/>
        <v>3224.2</v>
      </c>
    </row>
    <row r="9" spans="1:18" x14ac:dyDescent="0.25">
      <c r="A9" t="s">
        <v>496</v>
      </c>
      <c r="B9" s="118">
        <v>2304.35</v>
      </c>
      <c r="C9" s="118">
        <v>3970</v>
      </c>
      <c r="D9" s="118">
        <f t="shared" si="0"/>
        <v>-1665.65</v>
      </c>
      <c r="E9" s="122"/>
      <c r="F9" s="118">
        <v>4097.32</v>
      </c>
      <c r="G9" s="118">
        <v>7248</v>
      </c>
      <c r="H9" s="118">
        <f t="shared" si="1"/>
        <v>-3150.6800000000003</v>
      </c>
      <c r="I9" s="122"/>
      <c r="J9" s="118">
        <v>4730.6099999999997</v>
      </c>
      <c r="K9" s="118">
        <v>7249</v>
      </c>
      <c r="L9" s="118">
        <f t="shared" si="2"/>
        <v>-2518.3900000000003</v>
      </c>
      <c r="M9" s="122"/>
      <c r="N9" s="118">
        <v>5031.7700000000004</v>
      </c>
      <c r="O9" s="118">
        <v>7248</v>
      </c>
      <c r="P9" s="118">
        <f t="shared" si="3"/>
        <v>-2216.2299999999996</v>
      </c>
    </row>
    <row r="10" spans="1:18" x14ac:dyDescent="0.25">
      <c r="A10" t="s">
        <v>495</v>
      </c>
      <c r="B10" s="118">
        <v>0</v>
      </c>
      <c r="C10" s="118">
        <v>0</v>
      </c>
      <c r="D10" s="118">
        <f t="shared" si="0"/>
        <v>0</v>
      </c>
      <c r="E10" s="122"/>
      <c r="F10" s="118">
        <v>574.55999999999995</v>
      </c>
      <c r="G10" s="118">
        <v>0</v>
      </c>
      <c r="H10" s="118">
        <f t="shared" si="1"/>
        <v>574.55999999999995</v>
      </c>
      <c r="I10" s="122"/>
      <c r="J10" s="118">
        <v>1944.85</v>
      </c>
      <c r="K10" s="118">
        <v>0</v>
      </c>
      <c r="L10" s="118">
        <f t="shared" si="2"/>
        <v>1944.85</v>
      </c>
      <c r="M10" s="122"/>
      <c r="N10" s="118">
        <v>2553.08</v>
      </c>
      <c r="O10" s="118">
        <v>0</v>
      </c>
      <c r="P10" s="118">
        <f t="shared" si="3"/>
        <v>2553.08</v>
      </c>
    </row>
    <row r="11" spans="1:18" x14ac:dyDescent="0.25">
      <c r="A11" t="s">
        <v>506</v>
      </c>
      <c r="B11" s="118">
        <v>29.61</v>
      </c>
      <c r="C11" s="118">
        <v>0</v>
      </c>
      <c r="D11" s="118">
        <f t="shared" si="0"/>
        <v>29.61</v>
      </c>
      <c r="E11" s="122"/>
      <c r="F11" s="118">
        <v>253.41</v>
      </c>
      <c r="G11" s="118">
        <v>587</v>
      </c>
      <c r="H11" s="118">
        <f t="shared" si="1"/>
        <v>-333.59000000000003</v>
      </c>
      <c r="I11" s="122"/>
      <c r="J11" s="118">
        <v>198.09</v>
      </c>
      <c r="K11" s="118">
        <v>587</v>
      </c>
      <c r="L11" s="118">
        <f t="shared" si="2"/>
        <v>-388.90999999999997</v>
      </c>
      <c r="M11" s="122"/>
      <c r="N11" s="118">
        <v>185.55</v>
      </c>
      <c r="O11" s="118">
        <v>587</v>
      </c>
      <c r="P11" s="118">
        <f t="shared" si="3"/>
        <v>-401.45</v>
      </c>
    </row>
    <row r="12" spans="1:18" x14ac:dyDescent="0.25">
      <c r="A12" t="s">
        <v>507</v>
      </c>
      <c r="B12" s="118">
        <v>35.06</v>
      </c>
      <c r="C12" s="118">
        <v>0</v>
      </c>
      <c r="D12" s="118">
        <f t="shared" si="0"/>
        <v>35.06</v>
      </c>
      <c r="E12" s="122"/>
      <c r="F12" s="118">
        <v>792.36</v>
      </c>
      <c r="G12" s="118">
        <v>1168</v>
      </c>
      <c r="H12" s="118">
        <f t="shared" si="1"/>
        <v>-375.64</v>
      </c>
      <c r="I12" s="122"/>
      <c r="J12" s="118">
        <v>845.65</v>
      </c>
      <c r="K12" s="118">
        <v>1168</v>
      </c>
      <c r="L12" s="118">
        <f t="shared" si="2"/>
        <v>-322.35000000000002</v>
      </c>
      <c r="M12" s="122"/>
      <c r="N12" s="118">
        <v>1181.99</v>
      </c>
      <c r="O12" s="118">
        <v>1168</v>
      </c>
      <c r="P12" s="118">
        <f t="shared" si="3"/>
        <v>13.990000000000009</v>
      </c>
    </row>
    <row r="13" spans="1:18" x14ac:dyDescent="0.25">
      <c r="A13" t="s">
        <v>505</v>
      </c>
      <c r="B13" s="118">
        <v>0</v>
      </c>
      <c r="D13" s="118">
        <f t="shared" ref="D13:D14" si="4">+B13-C13</f>
        <v>0</v>
      </c>
      <c r="E13" s="122"/>
      <c r="F13" s="118">
        <v>0</v>
      </c>
      <c r="G13" s="118"/>
      <c r="H13" s="118">
        <f t="shared" ref="H13:H14" si="5">+F13-G13</f>
        <v>0</v>
      </c>
      <c r="I13" s="122"/>
      <c r="J13" s="118">
        <v>103.72</v>
      </c>
      <c r="K13" s="118">
        <v>0</v>
      </c>
      <c r="L13" s="118">
        <f t="shared" ref="L13:L14" si="6">+J13-K13</f>
        <v>103.72</v>
      </c>
      <c r="M13" s="122"/>
      <c r="N13" s="118">
        <v>248.63</v>
      </c>
      <c r="O13" s="118">
        <v>0</v>
      </c>
      <c r="P13" s="118">
        <f t="shared" si="3"/>
        <v>248.63</v>
      </c>
    </row>
    <row r="14" spans="1:18" x14ac:dyDescent="0.25">
      <c r="A14" t="s">
        <v>508</v>
      </c>
      <c r="B14" s="118">
        <v>0</v>
      </c>
      <c r="D14" s="118">
        <f t="shared" si="4"/>
        <v>0</v>
      </c>
      <c r="E14" s="122"/>
      <c r="F14" s="118">
        <v>0</v>
      </c>
      <c r="G14" s="118"/>
      <c r="H14" s="118">
        <f t="shared" si="5"/>
        <v>0</v>
      </c>
      <c r="I14" s="122"/>
      <c r="J14" s="118">
        <v>2131.0500000000002</v>
      </c>
      <c r="K14" s="118">
        <v>0</v>
      </c>
      <c r="L14" s="118">
        <f t="shared" si="6"/>
        <v>2131.0500000000002</v>
      </c>
      <c r="M14" s="122"/>
      <c r="N14" s="118">
        <v>5836.2</v>
      </c>
      <c r="O14" s="118">
        <v>0</v>
      </c>
      <c r="P14" s="118">
        <f t="shared" si="3"/>
        <v>5836.2</v>
      </c>
    </row>
    <row r="15" spans="1:18" x14ac:dyDescent="0.25">
      <c r="E15" s="122"/>
      <c r="G15" s="118"/>
      <c r="H15" s="118"/>
      <c r="I15" s="122"/>
      <c r="K15" s="118"/>
      <c r="L15" s="118"/>
      <c r="M15" s="122"/>
      <c r="O15" s="118"/>
      <c r="P15" s="118"/>
    </row>
    <row r="16" spans="1:18" x14ac:dyDescent="0.25">
      <c r="E16" s="122"/>
      <c r="G16" s="118"/>
      <c r="H16" s="118"/>
      <c r="I16" s="122"/>
      <c r="K16" s="118"/>
      <c r="L16" s="118"/>
      <c r="M16" s="122"/>
      <c r="O16" s="118"/>
      <c r="P16" s="118"/>
    </row>
    <row r="17" spans="1:18" x14ac:dyDescent="0.25">
      <c r="E17" s="122"/>
      <c r="G17" s="118"/>
      <c r="H17" s="118"/>
      <c r="I17" s="122"/>
      <c r="K17" s="118"/>
      <c r="L17" s="118"/>
      <c r="M17" s="122"/>
      <c r="O17" s="118"/>
      <c r="P17" s="118"/>
    </row>
    <row r="18" spans="1:18" x14ac:dyDescent="0.25">
      <c r="B18" s="118">
        <f>SUM(B4:B17)</f>
        <v>23229.45</v>
      </c>
      <c r="C18" s="118">
        <f>SUM(C4:C17)</f>
        <v>15774</v>
      </c>
      <c r="D18" s="118">
        <f>SUM(D4:D17)</f>
        <v>7455.4500000000007</v>
      </c>
      <c r="E18" s="122"/>
      <c r="F18" s="118">
        <f>SUM(F4:F17)</f>
        <v>29575.98</v>
      </c>
      <c r="G18" s="118">
        <f>SUM(G4:G17)</f>
        <v>47775</v>
      </c>
      <c r="H18" s="118">
        <f>SUM(H4:H17)</f>
        <v>-18199.019999999997</v>
      </c>
      <c r="I18" s="122"/>
      <c r="J18" s="118">
        <f>SUM(J4:J17)</f>
        <v>50328.930000000008</v>
      </c>
      <c r="K18" s="118">
        <f>SUM(K4:K17)</f>
        <v>47776</v>
      </c>
      <c r="L18" s="118">
        <f>SUM(L4:L17)</f>
        <v>2552.9299999999994</v>
      </c>
      <c r="M18" s="122"/>
      <c r="N18" s="118">
        <f>SUM(N4:N17)</f>
        <v>55716.51999999999</v>
      </c>
      <c r="O18" s="118">
        <f>SUM(O4:O17)</f>
        <v>47775</v>
      </c>
      <c r="P18" s="118">
        <f>SUM(P4:P17)</f>
        <v>7941.5199999999986</v>
      </c>
      <c r="R18" s="111">
        <f>+D18+H18+L18+P18</f>
        <v>-249.11999999999807</v>
      </c>
    </row>
    <row r="19" spans="1:18" x14ac:dyDescent="0.25">
      <c r="E19" s="122"/>
      <c r="I19" s="122"/>
      <c r="M19" s="122"/>
    </row>
    <row r="20" spans="1:18" x14ac:dyDescent="0.25">
      <c r="D20" s="121" t="str">
        <f>IF(D18&gt;0,"OVER","UNDER")</f>
        <v>OVER</v>
      </c>
      <c r="E20" s="122"/>
      <c r="H20" s="121" t="str">
        <f>IF(H18&gt;0,"OVER","UNDER")</f>
        <v>UNDER</v>
      </c>
      <c r="I20" s="122"/>
      <c r="L20" s="121" t="str">
        <f>IF(L18&gt;0,"OVER","UNDER")</f>
        <v>OVER</v>
      </c>
      <c r="M20" s="122"/>
      <c r="P20" s="121" t="str">
        <f>IF(P18&gt;0,"OVER","UNDER")</f>
        <v>OVER</v>
      </c>
      <c r="R20" s="121" t="str">
        <f>IF(R18&gt;0,"OVER","UNDER")</f>
        <v>UNDER</v>
      </c>
    </row>
    <row r="24" spans="1:18" x14ac:dyDescent="0.25">
      <c r="B24" s="138" t="s">
        <v>494</v>
      </c>
      <c r="C24" s="138"/>
      <c r="D24" s="138"/>
      <c r="E24" s="138"/>
      <c r="F24" s="138"/>
      <c r="G24" s="138"/>
      <c r="H24" s="138"/>
      <c r="I24" s="138"/>
      <c r="J24" s="138"/>
      <c r="K24" s="138"/>
      <c r="L24" s="138"/>
      <c r="M24"/>
      <c r="N24"/>
    </row>
    <row r="25" spans="1:18" x14ac:dyDescent="0.25">
      <c r="B25" s="138" t="s">
        <v>493</v>
      </c>
      <c r="C25" s="138"/>
      <c r="D25" s="138"/>
      <c r="E25" s="121"/>
      <c r="F25" s="138" t="s">
        <v>492</v>
      </c>
      <c r="G25" s="138"/>
      <c r="H25" s="138"/>
      <c r="I25" s="121"/>
      <c r="J25" s="138" t="s">
        <v>504</v>
      </c>
      <c r="K25" s="138"/>
      <c r="L25" s="138"/>
      <c r="M25" s="121"/>
      <c r="N25" s="138" t="s">
        <v>504</v>
      </c>
      <c r="O25" s="138"/>
      <c r="P25" s="138"/>
    </row>
    <row r="26" spans="1:18" x14ac:dyDescent="0.25">
      <c r="A26" s="120" t="s">
        <v>491</v>
      </c>
      <c r="B26" s="119" t="s">
        <v>490</v>
      </c>
      <c r="C26" s="119" t="s">
        <v>489</v>
      </c>
      <c r="D26" s="119" t="s">
        <v>483</v>
      </c>
      <c r="E26" s="119"/>
      <c r="F26" s="119" t="s">
        <v>490</v>
      </c>
      <c r="G26" s="119" t="s">
        <v>489</v>
      </c>
      <c r="H26" s="119" t="s">
        <v>483</v>
      </c>
      <c r="I26" s="119"/>
      <c r="J26" s="119" t="s">
        <v>490</v>
      </c>
      <c r="K26" s="119" t="s">
        <v>489</v>
      </c>
      <c r="L26" s="119" t="s">
        <v>483</v>
      </c>
      <c r="M26" s="119"/>
      <c r="N26" s="119" t="s">
        <v>490</v>
      </c>
      <c r="O26" s="119" t="s">
        <v>489</v>
      </c>
      <c r="P26" s="119" t="s">
        <v>483</v>
      </c>
    </row>
    <row r="27" spans="1:18" x14ac:dyDescent="0.25">
      <c r="A27" t="s">
        <v>395</v>
      </c>
      <c r="B27" s="118">
        <v>2625</v>
      </c>
      <c r="C27" s="118">
        <v>0</v>
      </c>
      <c r="D27" s="118">
        <f>+B27-C27</f>
        <v>2625</v>
      </c>
      <c r="F27" s="118">
        <v>0</v>
      </c>
      <c r="G27" s="118">
        <v>5000</v>
      </c>
      <c r="H27" s="118">
        <f>+F27-G27</f>
        <v>-5000</v>
      </c>
      <c r="J27" s="118">
        <v>0</v>
      </c>
      <c r="K27" s="118">
        <v>0</v>
      </c>
      <c r="L27" s="118">
        <f>+J27-K27</f>
        <v>0</v>
      </c>
      <c r="N27" s="118">
        <v>14587.5</v>
      </c>
      <c r="O27" s="118">
        <v>5000</v>
      </c>
      <c r="P27" s="118">
        <f>+N27-O27</f>
        <v>9587.5</v>
      </c>
    </row>
    <row r="28" spans="1:18" x14ac:dyDescent="0.25">
      <c r="A28" t="s">
        <v>396</v>
      </c>
      <c r="B28" s="118">
        <v>1780.2</v>
      </c>
      <c r="C28" s="118">
        <v>0</v>
      </c>
      <c r="D28" s="118">
        <f>+B28-C28</f>
        <v>1780.2</v>
      </c>
      <c r="F28" s="118">
        <v>0</v>
      </c>
      <c r="G28" s="118">
        <v>0</v>
      </c>
      <c r="H28" s="118">
        <f>+F28-G28</f>
        <v>0</v>
      </c>
      <c r="J28" s="118">
        <v>0</v>
      </c>
      <c r="K28" s="118">
        <v>0</v>
      </c>
      <c r="L28" s="118">
        <f>+J28-K28</f>
        <v>0</v>
      </c>
      <c r="N28" s="118">
        <v>945.6</v>
      </c>
      <c r="O28" s="118">
        <v>0</v>
      </c>
      <c r="P28" s="118">
        <f>+N28-O28</f>
        <v>945.6</v>
      </c>
    </row>
    <row r="29" spans="1:18" x14ac:dyDescent="0.25">
      <c r="G29" s="118"/>
      <c r="H29" s="118"/>
      <c r="K29" s="118"/>
      <c r="L29" s="118"/>
      <c r="O29" s="118"/>
      <c r="P29" s="118"/>
    </row>
    <row r="30" spans="1:18" x14ac:dyDescent="0.25">
      <c r="B30" s="118">
        <f>SUM(B27:B29)</f>
        <v>4405.2</v>
      </c>
      <c r="C30" s="118">
        <f>SUM(C27:C29)</f>
        <v>0</v>
      </c>
      <c r="D30" s="118">
        <f>SUM(D27:D29)</f>
        <v>4405.2</v>
      </c>
      <c r="F30" s="118">
        <f>SUM(F27:F29)</f>
        <v>0</v>
      </c>
      <c r="G30" s="118">
        <f>SUM(G27:G29)</f>
        <v>5000</v>
      </c>
      <c r="H30" s="118">
        <f>SUM(H27:H29)</f>
        <v>-5000</v>
      </c>
      <c r="J30" s="118">
        <f>SUM(J27:J29)</f>
        <v>0</v>
      </c>
      <c r="K30" s="118">
        <f>SUM(K27:K29)</f>
        <v>0</v>
      </c>
      <c r="L30" s="118">
        <f>SUM(L27:L29)</f>
        <v>0</v>
      </c>
      <c r="N30" s="118">
        <f>SUM(N27:N29)</f>
        <v>15533.1</v>
      </c>
      <c r="O30" s="118">
        <f>SUM(O27:O29)</f>
        <v>5000</v>
      </c>
      <c r="P30" s="118">
        <f>SUM(P27:P29)</f>
        <v>10533.1</v>
      </c>
      <c r="R30" s="111"/>
    </row>
    <row r="34" spans="1:1" x14ac:dyDescent="0.25">
      <c r="A34" t="s">
        <v>488</v>
      </c>
    </row>
    <row r="35" spans="1:1" x14ac:dyDescent="0.25">
      <c r="A35" t="s">
        <v>509</v>
      </c>
    </row>
    <row r="36" spans="1:1" x14ac:dyDescent="0.25">
      <c r="A36" t="s">
        <v>487</v>
      </c>
    </row>
    <row r="37" spans="1:1" x14ac:dyDescent="0.25">
      <c r="A37" t="s">
        <v>510</v>
      </c>
    </row>
    <row r="38" spans="1:1" x14ac:dyDescent="0.25">
      <c r="A38" t="s">
        <v>528</v>
      </c>
    </row>
  </sheetData>
  <mergeCells count="10">
    <mergeCell ref="N2:P2"/>
    <mergeCell ref="N25:P25"/>
    <mergeCell ref="B1:P1"/>
    <mergeCell ref="J2:L2"/>
    <mergeCell ref="J25:L25"/>
    <mergeCell ref="B24:L24"/>
    <mergeCell ref="B2:D2"/>
    <mergeCell ref="F2:H2"/>
    <mergeCell ref="B25:D25"/>
    <mergeCell ref="F25:H25"/>
  </mergeCells>
  <conditionalFormatting sqref="B20:X20">
    <cfRule type="containsText" dxfId="1" priority="1" operator="containsText" text="UNDER">
      <formula>NOT(ISERROR(SEARCH("UNDER",B20)))</formula>
    </cfRule>
    <cfRule type="containsText" dxfId="0" priority="2" operator="containsText" text="OVER">
      <formula>NOT(ISERROR(SEARCH("OVER",B20)))</formula>
    </cfRule>
  </conditionalFormatting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Fin Summary - Operating</vt:lpstr>
      <vt:lpstr>Fin Summary - Full Data</vt:lpstr>
      <vt:lpstr>Full Data</vt:lpstr>
      <vt:lpstr>Fund Balances</vt:lpstr>
      <vt:lpstr>Overtime</vt:lpstr>
      <vt:lpstr>'Fin Summary - Full Data'!Print_Area</vt:lpstr>
      <vt:lpstr>'Fin Summary - Operating'!Print_Area</vt:lpstr>
      <vt:lpstr>'Full Data'!Print_Area</vt:lpstr>
      <vt:lpstr>'Full Data'!Print_Titles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Sheena Hall</dc:creator>
  <cp:lastModifiedBy>Sheena Hall</cp:lastModifiedBy>
  <cp:lastPrinted>2025-08-08T14:45:26Z</cp:lastPrinted>
  <dcterms:created xsi:type="dcterms:W3CDTF">2024-06-18T22:29:38Z</dcterms:created>
  <dcterms:modified xsi:type="dcterms:W3CDTF">2025-08-08T16:03:55Z</dcterms:modified>
</cp:coreProperties>
</file>