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ppriver3651017750-my.sharepoint.com/personal/sheena_townofdeweybeach_com/Documents/Accounting Supervisor/Analysis &amp; Recons/FY 27 Budget Prep/"/>
    </mc:Choice>
  </mc:AlternateContent>
  <xr:revisionPtr revIDLastSave="1536" documentId="8_{5CA99F61-A300-4878-9054-3ACFD2AD1ADB}" xr6:coauthVersionLast="47" xr6:coauthVersionMax="47" xr10:uidLastSave="{44EC4A73-D51D-4BE0-95FC-A97F792EBD79}"/>
  <bookViews>
    <workbookView xWindow="-28920" yWindow="-120" windowWidth="29040" windowHeight="15720" xr2:uid="{93A7F480-A199-4B04-A3D6-402FA464CD4E}"/>
  </bookViews>
  <sheets>
    <sheet name="Operating" sheetId="1" r:id="rId1"/>
    <sheet name="Operating w no changes but sal" sheetId="11" state="hidden" r:id="rId2"/>
    <sheet name="Revenue" sheetId="2" state="hidden" r:id="rId3"/>
    <sheet name="Administration" sheetId="3" state="hidden" r:id="rId4"/>
    <sheet name="Police" sheetId="4" state="hidden" r:id="rId5"/>
    <sheet name="Streets - Maintenance" sheetId="5" state="hidden" r:id="rId6"/>
    <sheet name="Parking" sheetId="6" state="hidden" r:id="rId7"/>
    <sheet name="Building" sheetId="7" state="hidden" r:id="rId8"/>
    <sheet name="Alderman" sheetId="8" state="hidden" r:id="rId9"/>
    <sheet name="Beach Patrol" sheetId="9" state="hidden" r:id="rId10"/>
    <sheet name="Summary" sheetId="10" state="hidden" r:id="rId11"/>
  </sheets>
  <externalReferences>
    <externalReference r:id="rId12"/>
  </externalReferences>
  <definedNames>
    <definedName name="_xlnm._FilterDatabase" localSheetId="0" hidden="1">Operating!$A$1:$AB$777</definedName>
    <definedName name="_xlnm.Print_Area" localSheetId="0">Operating!$A$1:$U$311</definedName>
    <definedName name="_xlnm.Print_Area" localSheetId="4">Police!$A$1:$O$209</definedName>
    <definedName name="_xlnm.Print_Titles" localSheetId="3">Administration!$1:$66</definedName>
    <definedName name="_xlnm.Print_Titles" localSheetId="8">Alderman!$1:$2</definedName>
    <definedName name="_xlnm.Print_Titles" localSheetId="9">'Beach Patrol'!$1:$244</definedName>
    <definedName name="_xlnm.Print_Titles" localSheetId="7">Building!$1:$2</definedName>
    <definedName name="_xlnm.Print_Titles" localSheetId="0">Operating!$1:$2</definedName>
    <definedName name="_xlnm.Print_Titles" localSheetId="6">Parking!$1:$2</definedName>
    <definedName name="_xlnm.Print_Titles" localSheetId="4">Police!$1:$166</definedName>
    <definedName name="_xlnm.Print_Titles" localSheetId="2">Revenue!$1:$3</definedName>
    <definedName name="_xlnm.Print_Titles" localSheetId="5">'Streets - Maintenance'!$1:$211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08" i="1" l="1"/>
  <c r="J308" i="1"/>
  <c r="H308" i="1"/>
  <c r="M306" i="1"/>
  <c r="M308" i="1" s="1"/>
  <c r="K306" i="1"/>
  <c r="J306" i="1"/>
  <c r="H306" i="1"/>
  <c r="M305" i="1"/>
  <c r="K305" i="1"/>
  <c r="J305" i="1"/>
  <c r="H305" i="1"/>
  <c r="F279" i="1"/>
  <c r="D279" i="1"/>
  <c r="C279" i="1"/>
  <c r="G279" i="1"/>
  <c r="H279" i="1"/>
  <c r="J279" i="1"/>
  <c r="K279" i="1"/>
  <c r="M279" i="1"/>
  <c r="M192" i="1"/>
  <c r="M184" i="1"/>
  <c r="M148" i="1" l="1"/>
  <c r="M86" i="1"/>
  <c r="H297" i="1" l="1"/>
  <c r="G297" i="1"/>
  <c r="F297" i="1"/>
  <c r="D297" i="1"/>
  <c r="C297" i="1"/>
  <c r="M273" i="1"/>
  <c r="M297" i="1" s="1"/>
  <c r="K273" i="1"/>
  <c r="K297" i="1" s="1"/>
  <c r="J273" i="1"/>
  <c r="J297" i="1" s="1"/>
  <c r="H273" i="1"/>
  <c r="G273" i="1"/>
  <c r="F273" i="1"/>
  <c r="E273" i="1"/>
  <c r="D273" i="1"/>
  <c r="C273" i="1"/>
  <c r="H254" i="1"/>
  <c r="G254" i="1"/>
  <c r="F254" i="1"/>
  <c r="E254" i="1"/>
  <c r="E264" i="1" s="1"/>
  <c r="D254" i="1"/>
  <c r="C254" i="1"/>
  <c r="K254" i="1"/>
  <c r="M254" i="1"/>
  <c r="M250" i="1"/>
  <c r="K250" i="1"/>
  <c r="J250" i="1"/>
  <c r="H250" i="1"/>
  <c r="G250" i="1"/>
  <c r="F250" i="1"/>
  <c r="E250" i="1"/>
  <c r="D250" i="1"/>
  <c r="C250" i="1"/>
  <c r="M203" i="1"/>
  <c r="K203" i="1"/>
  <c r="J203" i="1"/>
  <c r="H203" i="1"/>
  <c r="G203" i="1"/>
  <c r="F203" i="1"/>
  <c r="E203" i="1"/>
  <c r="D203" i="1"/>
  <c r="C203" i="1"/>
  <c r="J197" i="1"/>
  <c r="H197" i="1"/>
  <c r="G197" i="1"/>
  <c r="F197" i="1"/>
  <c r="E197" i="1"/>
  <c r="D197" i="1"/>
  <c r="C197" i="1"/>
  <c r="K189" i="1"/>
  <c r="J189" i="1"/>
  <c r="H189" i="1"/>
  <c r="G189" i="1"/>
  <c r="F189" i="1"/>
  <c r="E189" i="1"/>
  <c r="D189" i="1"/>
  <c r="C189" i="1"/>
  <c r="M95" i="1"/>
  <c r="K95" i="1"/>
  <c r="J95" i="1"/>
  <c r="H95" i="1"/>
  <c r="G95" i="1"/>
  <c r="F95" i="1"/>
  <c r="E95" i="1"/>
  <c r="D95" i="1"/>
  <c r="C95" i="1"/>
  <c r="D124" i="1"/>
  <c r="M130" i="1"/>
  <c r="K130" i="1"/>
  <c r="J130" i="1"/>
  <c r="H130" i="1"/>
  <c r="G130" i="1"/>
  <c r="F130" i="1"/>
  <c r="D130" i="1"/>
  <c r="C130" i="1"/>
  <c r="M169" i="1"/>
  <c r="M174" i="1" s="1"/>
  <c r="K169" i="1"/>
  <c r="K174" i="1" s="1"/>
  <c r="J169" i="1"/>
  <c r="J174" i="1" s="1"/>
  <c r="H169" i="1"/>
  <c r="H174" i="1" s="1"/>
  <c r="G169" i="1"/>
  <c r="G174" i="1" s="1"/>
  <c r="F169" i="1"/>
  <c r="F174" i="1" s="1"/>
  <c r="E169" i="1"/>
  <c r="E174" i="1" s="1"/>
  <c r="D169" i="1"/>
  <c r="D174" i="1" s="1"/>
  <c r="C169" i="1"/>
  <c r="C174" i="1" s="1"/>
  <c r="C153" i="1"/>
  <c r="C162" i="1" s="1"/>
  <c r="M153" i="1"/>
  <c r="M162" i="1" s="1"/>
  <c r="K153" i="1"/>
  <c r="K162" i="1" s="1"/>
  <c r="J153" i="1"/>
  <c r="J162" i="1" s="1"/>
  <c r="H153" i="1"/>
  <c r="H162" i="1" s="1"/>
  <c r="G153" i="1"/>
  <c r="G162" i="1" s="1"/>
  <c r="F153" i="1"/>
  <c r="F162" i="1" s="1"/>
  <c r="E153" i="1"/>
  <c r="E162" i="1" s="1"/>
  <c r="D153" i="1"/>
  <c r="D162" i="1" s="1"/>
  <c r="K124" i="1"/>
  <c r="J124" i="1"/>
  <c r="H124" i="1"/>
  <c r="G124" i="1"/>
  <c r="F124" i="1"/>
  <c r="E124" i="1"/>
  <c r="C124" i="1"/>
  <c r="K91" i="1"/>
  <c r="J91" i="1"/>
  <c r="H91" i="1"/>
  <c r="G91" i="1"/>
  <c r="F91" i="1"/>
  <c r="E91" i="1"/>
  <c r="D91" i="1"/>
  <c r="C91" i="1"/>
  <c r="F109" i="1"/>
  <c r="H109" i="1"/>
  <c r="K109" i="1"/>
  <c r="J109" i="1"/>
  <c r="G109" i="1"/>
  <c r="E109" i="1"/>
  <c r="D109" i="1"/>
  <c r="C109" i="1"/>
  <c r="H103" i="1"/>
  <c r="K103" i="1"/>
  <c r="J103" i="1"/>
  <c r="G103" i="1"/>
  <c r="F103" i="1"/>
  <c r="E103" i="1"/>
  <c r="D103" i="1"/>
  <c r="C103" i="1"/>
  <c r="G102" i="1"/>
  <c r="F102" i="1"/>
  <c r="K100" i="1"/>
  <c r="J100" i="1"/>
  <c r="G100" i="1"/>
  <c r="E100" i="1"/>
  <c r="F100" i="1"/>
  <c r="D100" i="1"/>
  <c r="H99" i="1"/>
  <c r="G99" i="1"/>
  <c r="F99" i="1"/>
  <c r="E99" i="1"/>
  <c r="D99" i="1"/>
  <c r="C99" i="1"/>
  <c r="F98" i="1"/>
  <c r="E98" i="1"/>
  <c r="D98" i="1"/>
  <c r="C98" i="1"/>
  <c r="H97" i="1"/>
  <c r="G97" i="1"/>
  <c r="F97" i="1"/>
  <c r="E97" i="1"/>
  <c r="D97" i="1"/>
  <c r="C97" i="1"/>
  <c r="H96" i="1"/>
  <c r="G96" i="1"/>
  <c r="F96" i="1"/>
  <c r="E96" i="1"/>
  <c r="D96" i="1"/>
  <c r="C96" i="1"/>
  <c r="O17" i="1"/>
  <c r="F264" i="1" l="1"/>
  <c r="C264" i="1"/>
  <c r="D264" i="1"/>
  <c r="M264" i="1"/>
  <c r="G264" i="1"/>
  <c r="K264" i="1"/>
  <c r="H264" i="1"/>
  <c r="E229" i="1"/>
  <c r="G229" i="1"/>
  <c r="D229" i="1"/>
  <c r="C229" i="1"/>
  <c r="H229" i="1"/>
  <c r="J229" i="1"/>
  <c r="F229" i="1"/>
  <c r="F144" i="1"/>
  <c r="G144" i="1"/>
  <c r="D144" i="1"/>
  <c r="H144" i="1"/>
  <c r="J144" i="1"/>
  <c r="E114" i="1"/>
  <c r="G114" i="1"/>
  <c r="H114" i="1"/>
  <c r="K144" i="1"/>
  <c r="J114" i="1"/>
  <c r="F114" i="1"/>
  <c r="D114" i="1"/>
  <c r="K114" i="1"/>
  <c r="C144" i="1"/>
  <c r="P294" i="1"/>
  <c r="P293" i="1"/>
  <c r="P292" i="1"/>
  <c r="P291" i="1"/>
  <c r="P290" i="1"/>
  <c r="P289" i="1"/>
  <c r="P288" i="1"/>
  <c r="P287" i="1"/>
  <c r="P283" i="1"/>
  <c r="P282" i="1"/>
  <c r="P281" i="1"/>
  <c r="P280" i="1"/>
  <c r="P278" i="1"/>
  <c r="P277" i="1"/>
  <c r="P276" i="1"/>
  <c r="P275" i="1"/>
  <c r="P274" i="1"/>
  <c r="P279" i="1" s="1"/>
  <c r="P272" i="1"/>
  <c r="P271" i="1"/>
  <c r="P270" i="1"/>
  <c r="P269" i="1"/>
  <c r="P262" i="1"/>
  <c r="P261" i="1"/>
  <c r="P260" i="1"/>
  <c r="P259" i="1"/>
  <c r="P256" i="1"/>
  <c r="P255" i="1"/>
  <c r="P253" i="1"/>
  <c r="P252" i="1"/>
  <c r="P251" i="1"/>
  <c r="P254" i="1" s="1"/>
  <c r="P249" i="1"/>
  <c r="P248" i="1"/>
  <c r="P247" i="1"/>
  <c r="P246" i="1"/>
  <c r="P245" i="1"/>
  <c r="P244" i="1"/>
  <c r="P243" i="1"/>
  <c r="P241" i="1"/>
  <c r="P236" i="1"/>
  <c r="P235" i="1"/>
  <c r="P234" i="1"/>
  <c r="P233" i="1"/>
  <c r="P227" i="1"/>
  <c r="P226" i="1"/>
  <c r="P225" i="1"/>
  <c r="P224" i="1"/>
  <c r="P222" i="1"/>
  <c r="P221" i="1"/>
  <c r="P220" i="1"/>
  <c r="P219" i="1"/>
  <c r="P218" i="1"/>
  <c r="P217" i="1"/>
  <c r="P216" i="1"/>
  <c r="P215" i="1"/>
  <c r="P214" i="1"/>
  <c r="P213" i="1"/>
  <c r="P202" i="1"/>
  <c r="P201" i="1"/>
  <c r="P200" i="1"/>
  <c r="P199" i="1"/>
  <c r="P198" i="1"/>
  <c r="P195" i="1"/>
  <c r="P193" i="1"/>
  <c r="P192" i="1"/>
  <c r="P191" i="1"/>
  <c r="P190" i="1"/>
  <c r="P187" i="1"/>
  <c r="P185" i="1"/>
  <c r="P184" i="1"/>
  <c r="P204" i="1"/>
  <c r="P183" i="1"/>
  <c r="P182" i="1"/>
  <c r="P181" i="1"/>
  <c r="P172" i="1"/>
  <c r="P171" i="1"/>
  <c r="P170" i="1"/>
  <c r="P168" i="1"/>
  <c r="P167" i="1"/>
  <c r="P166" i="1"/>
  <c r="P165" i="1"/>
  <c r="P160" i="1"/>
  <c r="P159" i="1"/>
  <c r="P158" i="1"/>
  <c r="P152" i="1"/>
  <c r="P151" i="1"/>
  <c r="P150" i="1"/>
  <c r="P149" i="1"/>
  <c r="P148" i="1"/>
  <c r="P147" i="1"/>
  <c r="P141" i="1"/>
  <c r="P140" i="1"/>
  <c r="P139" i="1"/>
  <c r="P138" i="1"/>
  <c r="P135" i="1"/>
  <c r="P134" i="1"/>
  <c r="P133" i="1"/>
  <c r="P132" i="1"/>
  <c r="P131" i="1"/>
  <c r="P129" i="1"/>
  <c r="P128" i="1"/>
  <c r="P127" i="1"/>
  <c r="P126" i="1"/>
  <c r="P125" i="1"/>
  <c r="P122" i="1"/>
  <c r="P120" i="1"/>
  <c r="P119" i="1"/>
  <c r="P118" i="1"/>
  <c r="P117" i="1"/>
  <c r="P111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4" i="1"/>
  <c r="P93" i="1"/>
  <c r="P92" i="1"/>
  <c r="P89" i="1"/>
  <c r="P87" i="1"/>
  <c r="P86" i="1"/>
  <c r="P85" i="1"/>
  <c r="P84" i="1"/>
  <c r="P79" i="1"/>
  <c r="P78" i="1"/>
  <c r="P77" i="1"/>
  <c r="P76" i="1"/>
  <c r="P75" i="1"/>
  <c r="P74" i="1"/>
  <c r="P73" i="1"/>
  <c r="P72" i="1"/>
  <c r="P71" i="1"/>
  <c r="P70" i="1"/>
  <c r="P68" i="1"/>
  <c r="P67" i="1"/>
  <c r="P66" i="1"/>
  <c r="P65" i="1"/>
  <c r="P63" i="1"/>
  <c r="P54" i="1"/>
  <c r="P53" i="1"/>
  <c r="P52" i="1"/>
  <c r="P50" i="1"/>
  <c r="P45" i="1"/>
  <c r="P47" i="1" s="1"/>
  <c r="P40" i="1"/>
  <c r="P39" i="1"/>
  <c r="P38" i="1"/>
  <c r="P32" i="1"/>
  <c r="P31" i="1"/>
  <c r="P30" i="1"/>
  <c r="P29" i="1"/>
  <c r="P24" i="1"/>
  <c r="P23" i="1"/>
  <c r="P22" i="1"/>
  <c r="P21" i="1"/>
  <c r="P305" i="1" s="1"/>
  <c r="P308" i="1" s="1"/>
  <c r="P20" i="1"/>
  <c r="P19" i="1"/>
  <c r="P18" i="1"/>
  <c r="P17" i="1"/>
  <c r="P15" i="1"/>
  <c r="P6" i="1"/>
  <c r="P7" i="1"/>
  <c r="P306" i="1" s="1"/>
  <c r="P8" i="1"/>
  <c r="P9" i="1"/>
  <c r="P5" i="1"/>
  <c r="P273" i="1" l="1"/>
  <c r="P297" i="1" s="1"/>
  <c r="P203" i="1"/>
  <c r="P250" i="1"/>
  <c r="P264" i="1" s="1"/>
  <c r="P169" i="1"/>
  <c r="P174" i="1" s="1"/>
  <c r="P95" i="1"/>
  <c r="P42" i="1"/>
  <c r="P130" i="1"/>
  <c r="P56" i="1"/>
  <c r="P153" i="1"/>
  <c r="P162" i="1" s="1"/>
  <c r="P34" i="1"/>
  <c r="P11" i="1"/>
  <c r="P26" i="1"/>
  <c r="P58" i="1" l="1"/>
  <c r="M180" i="1"/>
  <c r="P180" i="1" s="1"/>
  <c r="J11" i="1" l="1"/>
  <c r="R293" i="1" l="1"/>
  <c r="R292" i="1"/>
  <c r="R291" i="1"/>
  <c r="R290" i="1"/>
  <c r="R289" i="1"/>
  <c r="R288" i="1"/>
  <c r="R287" i="1"/>
  <c r="R283" i="1"/>
  <c r="R282" i="1"/>
  <c r="R281" i="1"/>
  <c r="R280" i="1"/>
  <c r="R277" i="1"/>
  <c r="R274" i="1"/>
  <c r="R272" i="1"/>
  <c r="R271" i="1"/>
  <c r="R270" i="1"/>
  <c r="R269" i="1"/>
  <c r="R262" i="1"/>
  <c r="R261" i="1"/>
  <c r="R260" i="1"/>
  <c r="R259" i="1"/>
  <c r="R256" i="1"/>
  <c r="R255" i="1"/>
  <c r="R252" i="1"/>
  <c r="R251" i="1"/>
  <c r="R249" i="1"/>
  <c r="R248" i="1"/>
  <c r="R247" i="1"/>
  <c r="R246" i="1"/>
  <c r="R245" i="1"/>
  <c r="R243" i="1"/>
  <c r="R238" i="1"/>
  <c r="R236" i="1"/>
  <c r="R235" i="1"/>
  <c r="R234" i="1"/>
  <c r="R233" i="1"/>
  <c r="R227" i="1"/>
  <c r="R226" i="1"/>
  <c r="R225" i="1"/>
  <c r="R224" i="1"/>
  <c r="R222" i="1"/>
  <c r="R220" i="1"/>
  <c r="R219" i="1"/>
  <c r="R218" i="1"/>
  <c r="R217" i="1"/>
  <c r="R216" i="1"/>
  <c r="R215" i="1"/>
  <c r="R214" i="1"/>
  <c r="R213" i="1"/>
  <c r="R201" i="1"/>
  <c r="R198" i="1"/>
  <c r="R195" i="1"/>
  <c r="R193" i="1"/>
  <c r="R192" i="1"/>
  <c r="R190" i="1"/>
  <c r="R187" i="1"/>
  <c r="R185" i="1"/>
  <c r="R184" i="1"/>
  <c r="R204" i="1"/>
  <c r="R172" i="1"/>
  <c r="R170" i="1"/>
  <c r="R168" i="1"/>
  <c r="R166" i="1"/>
  <c r="R165" i="1"/>
  <c r="R160" i="1"/>
  <c r="R158" i="1"/>
  <c r="R157" i="1"/>
  <c r="R152" i="1"/>
  <c r="R151" i="1"/>
  <c r="R150" i="1"/>
  <c r="R149" i="1"/>
  <c r="R148" i="1"/>
  <c r="R147" i="1"/>
  <c r="R141" i="1"/>
  <c r="R139" i="1"/>
  <c r="R138" i="1"/>
  <c r="R136" i="1"/>
  <c r="R129" i="1"/>
  <c r="R128" i="1"/>
  <c r="R125" i="1"/>
  <c r="R122" i="1"/>
  <c r="R120" i="1"/>
  <c r="R119" i="1"/>
  <c r="R117" i="1"/>
  <c r="R111" i="1"/>
  <c r="R109" i="1"/>
  <c r="R108" i="1"/>
  <c r="R107" i="1"/>
  <c r="R106" i="1"/>
  <c r="R105" i="1"/>
  <c r="R104" i="1"/>
  <c r="R102" i="1"/>
  <c r="R99" i="1"/>
  <c r="R98" i="1"/>
  <c r="R97" i="1"/>
  <c r="R96" i="1"/>
  <c r="R94" i="1"/>
  <c r="R93" i="1"/>
  <c r="R92" i="1"/>
  <c r="R87" i="1"/>
  <c r="R86" i="1"/>
  <c r="R84" i="1"/>
  <c r="R79" i="1"/>
  <c r="R78" i="1"/>
  <c r="R77" i="1"/>
  <c r="R76" i="1"/>
  <c r="R75" i="1"/>
  <c r="R74" i="1"/>
  <c r="R73" i="1"/>
  <c r="R72" i="1"/>
  <c r="R70" i="1"/>
  <c r="R69" i="1"/>
  <c r="R68" i="1"/>
  <c r="R67" i="1"/>
  <c r="R66" i="1"/>
  <c r="R65" i="1"/>
  <c r="R63" i="1"/>
  <c r="R54" i="1"/>
  <c r="R53" i="1"/>
  <c r="R52" i="1"/>
  <c r="R50" i="1"/>
  <c r="R45" i="1"/>
  <c r="R40" i="1"/>
  <c r="R39" i="1"/>
  <c r="R38" i="1"/>
  <c r="R32" i="1"/>
  <c r="R31" i="1"/>
  <c r="R30" i="1"/>
  <c r="R29" i="1"/>
  <c r="R24" i="1"/>
  <c r="R23" i="1"/>
  <c r="R22" i="1"/>
  <c r="R21" i="1"/>
  <c r="R20" i="1"/>
  <c r="R19" i="1"/>
  <c r="R18" i="1"/>
  <c r="R17" i="1"/>
  <c r="R15" i="1"/>
  <c r="R9" i="1"/>
  <c r="R8" i="1"/>
  <c r="R7" i="1"/>
  <c r="R6" i="1"/>
  <c r="R5" i="1"/>
  <c r="R278" i="1"/>
  <c r="R276" i="1"/>
  <c r="S53" i="1" l="1"/>
  <c r="M196" i="1" l="1"/>
  <c r="M194" i="1"/>
  <c r="K190" i="1"/>
  <c r="K197" i="1" s="1"/>
  <c r="K229" i="1" s="1"/>
  <c r="M197" i="1" l="1"/>
  <c r="R194" i="1"/>
  <c r="P194" i="1"/>
  <c r="R196" i="1"/>
  <c r="P196" i="1"/>
  <c r="S214" i="1"/>
  <c r="P197" i="1" l="1"/>
  <c r="R202" i="1"/>
  <c r="R200" i="1"/>
  <c r="Z79" i="1"/>
  <c r="Y79" i="1"/>
  <c r="Z78" i="1"/>
  <c r="Y78" i="1"/>
  <c r="Z77" i="1"/>
  <c r="Y77" i="1"/>
  <c r="Z76" i="1"/>
  <c r="Y76" i="1"/>
  <c r="Z75" i="1"/>
  <c r="Y75" i="1"/>
  <c r="Z74" i="1"/>
  <c r="Y74" i="1"/>
  <c r="Z73" i="1"/>
  <c r="Y73" i="1"/>
  <c r="Z72" i="1"/>
  <c r="Y72" i="1"/>
  <c r="Z71" i="1"/>
  <c r="Z70" i="1"/>
  <c r="Y70" i="1"/>
  <c r="Z69" i="1"/>
  <c r="Y69" i="1"/>
  <c r="Z68" i="1"/>
  <c r="Y68" i="1"/>
  <c r="Z67" i="1"/>
  <c r="Y67" i="1"/>
  <c r="Z66" i="1"/>
  <c r="Y66" i="1"/>
  <c r="Z65" i="1"/>
  <c r="Y65" i="1"/>
  <c r="Z63" i="1"/>
  <c r="Y63" i="1"/>
  <c r="Z112" i="1"/>
  <c r="Z111" i="1"/>
  <c r="Y111" i="1"/>
  <c r="Z110" i="1"/>
  <c r="Z109" i="1"/>
  <c r="Y109" i="1"/>
  <c r="Z108" i="1"/>
  <c r="Y108" i="1"/>
  <c r="Z107" i="1"/>
  <c r="Y107" i="1"/>
  <c r="Z106" i="1"/>
  <c r="Y106" i="1"/>
  <c r="Z105" i="1"/>
  <c r="Y105" i="1"/>
  <c r="Z104" i="1"/>
  <c r="Y104" i="1"/>
  <c r="Z103" i="1"/>
  <c r="Z102" i="1"/>
  <c r="Y102" i="1"/>
  <c r="Z101" i="1"/>
  <c r="Z100" i="1"/>
  <c r="Z99" i="1"/>
  <c r="Y99" i="1"/>
  <c r="Z98" i="1"/>
  <c r="Y98" i="1"/>
  <c r="Z97" i="1"/>
  <c r="Y97" i="1"/>
  <c r="Z96" i="1"/>
  <c r="Y96" i="1"/>
  <c r="Z94" i="1"/>
  <c r="Y94" i="1"/>
  <c r="Z93" i="1"/>
  <c r="Y93" i="1"/>
  <c r="Z92" i="1"/>
  <c r="Y92" i="1"/>
  <c r="Z89" i="1"/>
  <c r="Z85" i="1"/>
  <c r="Z160" i="1"/>
  <c r="Y160" i="1"/>
  <c r="Z159" i="1"/>
  <c r="Y159" i="1"/>
  <c r="Z158" i="1"/>
  <c r="Y158" i="1"/>
  <c r="Z157" i="1"/>
  <c r="Y157" i="1"/>
  <c r="Z156" i="1"/>
  <c r="Z155" i="1"/>
  <c r="Y155" i="1"/>
  <c r="Z154" i="1"/>
  <c r="Y154" i="1"/>
  <c r="Z151" i="1"/>
  <c r="Y151" i="1"/>
  <c r="Z141" i="1"/>
  <c r="Y141" i="1"/>
  <c r="Z140" i="1"/>
  <c r="Y140" i="1"/>
  <c r="Z139" i="1"/>
  <c r="Y139" i="1"/>
  <c r="Z138" i="1"/>
  <c r="Y138" i="1"/>
  <c r="Z137" i="1"/>
  <c r="Z136" i="1"/>
  <c r="Y136" i="1"/>
  <c r="Z135" i="1"/>
  <c r="Y135" i="1"/>
  <c r="Z134" i="1"/>
  <c r="Y134" i="1"/>
  <c r="Z133" i="1"/>
  <c r="Z132" i="1"/>
  <c r="Y132" i="1"/>
  <c r="Z131" i="1"/>
  <c r="Y131" i="1"/>
  <c r="Z129" i="1"/>
  <c r="Y129" i="1"/>
  <c r="Z128" i="1"/>
  <c r="Y128" i="1"/>
  <c r="Z126" i="1"/>
  <c r="Z125" i="1"/>
  <c r="Y125" i="1"/>
  <c r="Z122" i="1"/>
  <c r="Y122" i="1"/>
  <c r="Z118" i="1"/>
  <c r="AA5" i="1"/>
  <c r="AA21" i="1"/>
  <c r="S294" i="1"/>
  <c r="S292" i="1"/>
  <c r="S282" i="1"/>
  <c r="S253" i="1"/>
  <c r="S100" i="1"/>
  <c r="M123" i="1"/>
  <c r="M124" i="1" s="1"/>
  <c r="M144" i="1" s="1"/>
  <c r="M90" i="1"/>
  <c r="M88" i="1"/>
  <c r="Z84" i="1"/>
  <c r="S96" i="1"/>
  <c r="S89" i="1"/>
  <c r="M64" i="1"/>
  <c r="P64" i="1" s="1"/>
  <c r="P81" i="1" s="1"/>
  <c r="M189" i="1" l="1"/>
  <c r="M229" i="1" s="1"/>
  <c r="M91" i="1"/>
  <c r="M114" i="1" s="1"/>
  <c r="R179" i="1"/>
  <c r="P179" i="1"/>
  <c r="R188" i="1"/>
  <c r="P188" i="1"/>
  <c r="R186" i="1"/>
  <c r="P186" i="1"/>
  <c r="R88" i="1"/>
  <c r="P88" i="1"/>
  <c r="R90" i="1"/>
  <c r="P90" i="1"/>
  <c r="R123" i="1"/>
  <c r="P123" i="1"/>
  <c r="Y127" i="1"/>
  <c r="R127" i="1"/>
  <c r="Z127" i="1"/>
  <c r="Y84" i="1"/>
  <c r="H240" i="1"/>
  <c r="H266" i="1" s="1"/>
  <c r="H81" i="1"/>
  <c r="H56" i="1"/>
  <c r="H47" i="1"/>
  <c r="H42" i="1"/>
  <c r="H34" i="1"/>
  <c r="H26" i="1"/>
  <c r="H11" i="1"/>
  <c r="J253" i="1"/>
  <c r="J240" i="1"/>
  <c r="J64" i="1"/>
  <c r="J81" i="1" s="1"/>
  <c r="J56" i="1"/>
  <c r="J47" i="1"/>
  <c r="J42" i="1"/>
  <c r="J34" i="1"/>
  <c r="J26" i="1"/>
  <c r="L157" i="11"/>
  <c r="M157" i="11" s="1"/>
  <c r="L271" i="11"/>
  <c r="M271" i="11" s="1"/>
  <c r="J271" i="11"/>
  <c r="I271" i="11"/>
  <c r="G271" i="11"/>
  <c r="G273" i="11" s="1"/>
  <c r="F271" i="11"/>
  <c r="E271" i="11"/>
  <c r="D271" i="11"/>
  <c r="C271" i="11"/>
  <c r="M268" i="11"/>
  <c r="M265" i="11"/>
  <c r="M264" i="11"/>
  <c r="M263" i="11"/>
  <c r="M262" i="11"/>
  <c r="M261" i="11"/>
  <c r="M260" i="11"/>
  <c r="M258" i="11"/>
  <c r="M256" i="11"/>
  <c r="M255" i="11"/>
  <c r="M254" i="11"/>
  <c r="M253" i="11"/>
  <c r="M252" i="11"/>
  <c r="M251" i="11"/>
  <c r="E251" i="11"/>
  <c r="M250" i="11"/>
  <c r="M249" i="11"/>
  <c r="M248" i="11"/>
  <c r="M247" i="11"/>
  <c r="M246" i="11"/>
  <c r="J240" i="11"/>
  <c r="J242" i="11" s="1"/>
  <c r="J273" i="11" s="1"/>
  <c r="I240" i="11"/>
  <c r="I242" i="11" s="1"/>
  <c r="G240" i="11"/>
  <c r="G242" i="11" s="1"/>
  <c r="F240" i="11"/>
  <c r="F242" i="11" s="1"/>
  <c r="E240" i="11"/>
  <c r="E242" i="11" s="1"/>
  <c r="D240" i="11"/>
  <c r="C240" i="11"/>
  <c r="M237" i="11"/>
  <c r="M236" i="11"/>
  <c r="M235" i="11"/>
  <c r="M234" i="11"/>
  <c r="M233" i="11"/>
  <c r="M232" i="11"/>
  <c r="M231" i="11"/>
  <c r="L230" i="11"/>
  <c r="M229" i="11"/>
  <c r="M228" i="11"/>
  <c r="L227" i="11"/>
  <c r="M227" i="11" s="1"/>
  <c r="M226" i="11"/>
  <c r="L225" i="11"/>
  <c r="M225" i="11" s="1"/>
  <c r="L224" i="11"/>
  <c r="M224" i="11" s="1"/>
  <c r="L223" i="11"/>
  <c r="L222" i="11"/>
  <c r="M222" i="11" s="1"/>
  <c r="M220" i="11"/>
  <c r="L220" i="11"/>
  <c r="J220" i="11"/>
  <c r="I220" i="11"/>
  <c r="G220" i="11"/>
  <c r="F220" i="11"/>
  <c r="E220" i="11"/>
  <c r="D220" i="11"/>
  <c r="D242" i="11" s="1"/>
  <c r="C220" i="11"/>
  <c r="C242" i="11" s="1"/>
  <c r="M218" i="11"/>
  <c r="M216" i="11"/>
  <c r="M215" i="11"/>
  <c r="M214" i="11"/>
  <c r="M213" i="11"/>
  <c r="J209" i="11"/>
  <c r="G209" i="11"/>
  <c r="F209" i="11"/>
  <c r="E209" i="11"/>
  <c r="D209" i="11"/>
  <c r="C209" i="11"/>
  <c r="M207" i="11"/>
  <c r="M206" i="11"/>
  <c r="M205" i="11"/>
  <c r="M204" i="11"/>
  <c r="M202" i="11"/>
  <c r="M201" i="11"/>
  <c r="M200" i="11"/>
  <c r="M199" i="11"/>
  <c r="M198" i="11"/>
  <c r="M197" i="11"/>
  <c r="M196" i="11"/>
  <c r="M195" i="11"/>
  <c r="M193" i="11"/>
  <c r="M192" i="11"/>
  <c r="M191" i="11"/>
  <c r="M190" i="11"/>
  <c r="M189" i="11"/>
  <c r="M185" i="11"/>
  <c r="M184" i="11"/>
  <c r="M183" i="11"/>
  <c r="M182" i="11"/>
  <c r="M181" i="11"/>
  <c r="L180" i="11"/>
  <c r="M180" i="11" s="1"/>
  <c r="I180" i="11"/>
  <c r="M179" i="11"/>
  <c r="L178" i="11"/>
  <c r="M178" i="11" s="1"/>
  <c r="I178" i="11"/>
  <c r="L177" i="11"/>
  <c r="M177" i="11" s="1"/>
  <c r="I177" i="11"/>
  <c r="L176" i="11"/>
  <c r="M176" i="11" s="1"/>
  <c r="I176" i="11"/>
  <c r="L175" i="11"/>
  <c r="M175" i="11" s="1"/>
  <c r="I175" i="11"/>
  <c r="L174" i="11"/>
  <c r="M174" i="11" s="1"/>
  <c r="I174" i="11"/>
  <c r="M173" i="11"/>
  <c r="L172" i="11"/>
  <c r="M172" i="11" s="1"/>
  <c r="I172" i="11"/>
  <c r="L171" i="11"/>
  <c r="M171" i="11" s="1"/>
  <c r="I171" i="11"/>
  <c r="I209" i="11" s="1"/>
  <c r="L170" i="11"/>
  <c r="M170" i="11" s="1"/>
  <c r="I170" i="11"/>
  <c r="M169" i="11"/>
  <c r="L168" i="11"/>
  <c r="G164" i="11"/>
  <c r="J162" i="11"/>
  <c r="I162" i="11"/>
  <c r="G162" i="11"/>
  <c r="F162" i="11"/>
  <c r="F164" i="11" s="1"/>
  <c r="E162" i="11"/>
  <c r="D162" i="11"/>
  <c r="D164" i="11" s="1"/>
  <c r="C162" i="11"/>
  <c r="M160" i="11"/>
  <c r="M159" i="11"/>
  <c r="M158" i="11"/>
  <c r="L155" i="11"/>
  <c r="M155" i="11" s="1"/>
  <c r="L154" i="11"/>
  <c r="J152" i="11"/>
  <c r="I152" i="11"/>
  <c r="G152" i="11"/>
  <c r="F152" i="11"/>
  <c r="E152" i="11"/>
  <c r="D152" i="11"/>
  <c r="C152" i="11"/>
  <c r="M150" i="11"/>
  <c r="M149" i="11"/>
  <c r="M148" i="11"/>
  <c r="M147" i="11"/>
  <c r="M145" i="11"/>
  <c r="M144" i="11"/>
  <c r="L143" i="11"/>
  <c r="M143" i="11" s="1"/>
  <c r="M142" i="11"/>
  <c r="L141" i="11"/>
  <c r="M141" i="11" s="1"/>
  <c r="L140" i="11"/>
  <c r="M140" i="11" s="1"/>
  <c r="L139" i="11"/>
  <c r="M139" i="11" s="1"/>
  <c r="L138" i="11"/>
  <c r="M138" i="11" s="1"/>
  <c r="J136" i="11"/>
  <c r="G136" i="11"/>
  <c r="F136" i="11"/>
  <c r="D136" i="11"/>
  <c r="C136" i="11"/>
  <c r="M133" i="11"/>
  <c r="M132" i="11"/>
  <c r="M131" i="11"/>
  <c r="M130" i="11"/>
  <c r="M128" i="11"/>
  <c r="M127" i="11"/>
  <c r="M126" i="11"/>
  <c r="M124" i="11"/>
  <c r="M123" i="11"/>
  <c r="L122" i="11"/>
  <c r="M122" i="11" s="1"/>
  <c r="M121" i="11"/>
  <c r="M120" i="11"/>
  <c r="E120" i="11"/>
  <c r="E136" i="11" s="1"/>
  <c r="M119" i="11"/>
  <c r="L118" i="11"/>
  <c r="M118" i="11" s="1"/>
  <c r="M117" i="11"/>
  <c r="L115" i="11"/>
  <c r="M115" i="11" s="1"/>
  <c r="L114" i="11"/>
  <c r="M114" i="11" s="1"/>
  <c r="I114" i="11"/>
  <c r="I136" i="11" s="1"/>
  <c r="I164" i="11" s="1"/>
  <c r="L113" i="11"/>
  <c r="M113" i="11" s="1"/>
  <c r="J111" i="11"/>
  <c r="G111" i="11"/>
  <c r="E111" i="11"/>
  <c r="D111" i="11"/>
  <c r="C111" i="11"/>
  <c r="O108" i="11"/>
  <c r="M108" i="11"/>
  <c r="O107" i="11"/>
  <c r="M107" i="11"/>
  <c r="O106" i="11"/>
  <c r="M106" i="11"/>
  <c r="O105" i="11"/>
  <c r="M105" i="11"/>
  <c r="O104" i="11"/>
  <c r="M104" i="11"/>
  <c r="O103" i="11"/>
  <c r="M103" i="11"/>
  <c r="O102" i="11"/>
  <c r="M102" i="11"/>
  <c r="O101" i="11"/>
  <c r="M101" i="11"/>
  <c r="O100" i="11"/>
  <c r="M100" i="11"/>
  <c r="F100" i="11"/>
  <c r="F111" i="11" s="1"/>
  <c r="O99" i="11"/>
  <c r="M99" i="11"/>
  <c r="O98" i="11"/>
  <c r="M98" i="11"/>
  <c r="O97" i="11"/>
  <c r="M97" i="11"/>
  <c r="O96" i="11"/>
  <c r="M96" i="11"/>
  <c r="O95" i="11"/>
  <c r="M95" i="11"/>
  <c r="O94" i="11"/>
  <c r="M94" i="11"/>
  <c r="O93" i="11"/>
  <c r="M93" i="11"/>
  <c r="L92" i="11"/>
  <c r="M92" i="11" s="1"/>
  <c r="L91" i="11"/>
  <c r="O91" i="11" s="1"/>
  <c r="L90" i="11"/>
  <c r="O90" i="11" s="1"/>
  <c r="I90" i="11"/>
  <c r="I111" i="11" s="1"/>
  <c r="L89" i="11"/>
  <c r="M89" i="11" s="1"/>
  <c r="L88" i="11"/>
  <c r="O88" i="11" s="1"/>
  <c r="J86" i="11"/>
  <c r="J164" i="11" s="1"/>
  <c r="G86" i="11"/>
  <c r="F86" i="11"/>
  <c r="E86" i="11"/>
  <c r="D86" i="11"/>
  <c r="M84" i="11"/>
  <c r="M83" i="11"/>
  <c r="M82" i="11"/>
  <c r="M81" i="11"/>
  <c r="M80" i="11"/>
  <c r="M79" i="11"/>
  <c r="M78" i="11"/>
  <c r="M77" i="11"/>
  <c r="M76" i="11"/>
  <c r="M75" i="11"/>
  <c r="M74" i="11"/>
  <c r="C74" i="11"/>
  <c r="C86" i="11" s="1"/>
  <c r="M73" i="11"/>
  <c r="M72" i="11"/>
  <c r="M71" i="11"/>
  <c r="M70" i="11"/>
  <c r="L86" i="11"/>
  <c r="M86" i="11" s="1"/>
  <c r="I69" i="11"/>
  <c r="I86" i="11" s="1"/>
  <c r="M68" i="11"/>
  <c r="F63" i="11" a="1"/>
  <c r="F63" i="11" s="1"/>
  <c r="E63" i="11" a="1"/>
  <c r="E63" i="11" s="1"/>
  <c r="M61" i="11"/>
  <c r="L61" i="11"/>
  <c r="J61" i="11"/>
  <c r="J63" i="11" s="1"/>
  <c r="I61" i="11"/>
  <c r="I63" i="11" s="1"/>
  <c r="G61" i="11"/>
  <c r="F61" i="11"/>
  <c r="E61" i="11"/>
  <c r="D61" i="11"/>
  <c r="C61" i="11"/>
  <c r="M59" i="11"/>
  <c r="M57" i="11"/>
  <c r="M55" i="11"/>
  <c r="L51" i="11"/>
  <c r="M51" i="11" s="1"/>
  <c r="J51" i="11"/>
  <c r="I51" i="11"/>
  <c r="G51" i="11"/>
  <c r="G63" i="11" s="1" a="1"/>
  <c r="G63" i="11" s="1"/>
  <c r="G276" i="11" s="1"/>
  <c r="F51" i="11"/>
  <c r="E51" i="11"/>
  <c r="D51" i="11"/>
  <c r="D63" i="11" s="1" a="1"/>
  <c r="D63" i="11" s="1"/>
  <c r="C51" i="11"/>
  <c r="C63" i="11" s="1" a="1"/>
  <c r="C63" i="11" s="1"/>
  <c r="M49" i="11"/>
  <c r="L46" i="11"/>
  <c r="M46" i="11" s="1"/>
  <c r="J46" i="11"/>
  <c r="I46" i="11"/>
  <c r="G46" i="11"/>
  <c r="F46" i="11"/>
  <c r="E46" i="11"/>
  <c r="D46" i="11"/>
  <c r="C46" i="11"/>
  <c r="M44" i="11"/>
  <c r="M43" i="11"/>
  <c r="M42" i="11"/>
  <c r="L37" i="11"/>
  <c r="M37" i="11" s="1"/>
  <c r="J37" i="11"/>
  <c r="I37" i="11"/>
  <c r="G37" i="11"/>
  <c r="F37" i="11"/>
  <c r="E37" i="11"/>
  <c r="D37" i="11"/>
  <c r="C37" i="11"/>
  <c r="M35" i="11"/>
  <c r="M34" i="11"/>
  <c r="M33" i="11"/>
  <c r="M32" i="11"/>
  <c r="M28" i="11"/>
  <c r="L28" i="11"/>
  <c r="J28" i="11"/>
  <c r="G28" i="11"/>
  <c r="F28" i="11"/>
  <c r="E28" i="11"/>
  <c r="D28" i="11"/>
  <c r="C28" i="11"/>
  <c r="M26" i="11"/>
  <c r="M25" i="11"/>
  <c r="M24" i="11"/>
  <c r="O23" i="11"/>
  <c r="M23" i="11"/>
  <c r="M22" i="11"/>
  <c r="I22" i="11"/>
  <c r="I28" i="11" s="1"/>
  <c r="O21" i="11"/>
  <c r="M21" i="11"/>
  <c r="O20" i="11"/>
  <c r="M20" i="11"/>
  <c r="M19" i="11"/>
  <c r="M17" i="11"/>
  <c r="M12" i="11"/>
  <c r="L12" i="11"/>
  <c r="J12" i="11"/>
  <c r="I12" i="11"/>
  <c r="G12" i="11"/>
  <c r="F12" i="11"/>
  <c r="E12" i="11"/>
  <c r="D12" i="11"/>
  <c r="C12" i="11"/>
  <c r="M10" i="11"/>
  <c r="M9" i="11"/>
  <c r="O8" i="11"/>
  <c r="L279" i="11" s="1"/>
  <c r="M279" i="11" s="1"/>
  <c r="M8" i="11"/>
  <c r="M7" i="11"/>
  <c r="O6" i="11"/>
  <c r="M6" i="11"/>
  <c r="R253" i="1" l="1"/>
  <c r="J254" i="1"/>
  <c r="J264" i="1" s="1"/>
  <c r="J266" i="1" s="1"/>
  <c r="P189" i="1"/>
  <c r="P229" i="1" s="1"/>
  <c r="P124" i="1"/>
  <c r="P144" i="1" s="1"/>
  <c r="P91" i="1"/>
  <c r="P114" i="1" s="1"/>
  <c r="R64" i="1"/>
  <c r="Z64" i="1"/>
  <c r="Y64" i="1"/>
  <c r="Y147" i="1"/>
  <c r="Z147" i="1"/>
  <c r="Z119" i="1"/>
  <c r="Y119" i="1"/>
  <c r="Z148" i="1"/>
  <c r="Y148" i="1"/>
  <c r="Z149" i="1"/>
  <c r="Y149" i="1"/>
  <c r="Z123" i="1"/>
  <c r="Y123" i="1"/>
  <c r="Z86" i="1"/>
  <c r="Y86" i="1"/>
  <c r="Y150" i="1"/>
  <c r="Z150" i="1"/>
  <c r="Z117" i="1"/>
  <c r="Y117" i="1"/>
  <c r="Y87" i="1"/>
  <c r="Z87" i="1"/>
  <c r="Z152" i="1"/>
  <c r="Y152" i="1"/>
  <c r="Z90" i="1"/>
  <c r="Y90" i="1"/>
  <c r="Z88" i="1"/>
  <c r="Y88" i="1"/>
  <c r="J58" i="1"/>
  <c r="H58" i="1"/>
  <c r="H176" i="1"/>
  <c r="M90" i="11"/>
  <c r="L240" i="11"/>
  <c r="L242" i="11" s="1"/>
  <c r="L111" i="11"/>
  <c r="M111" i="11" s="1"/>
  <c r="L209" i="11"/>
  <c r="M209" i="11" s="1"/>
  <c r="O89" i="11"/>
  <c r="L162" i="11"/>
  <c r="M162" i="11" s="1"/>
  <c r="E276" i="11"/>
  <c r="F276" i="11"/>
  <c r="C276" i="11"/>
  <c r="D276" i="11"/>
  <c r="C164" i="11"/>
  <c r="C273" i="11"/>
  <c r="D273" i="11"/>
  <c r="E164" i="11"/>
  <c r="E273" i="11"/>
  <c r="F273" i="11"/>
  <c r="J276" i="11"/>
  <c r="J281" i="11" s="1"/>
  <c r="I273" i="11"/>
  <c r="I276" i="11" s="1"/>
  <c r="I281" i="11" s="1"/>
  <c r="L152" i="11"/>
  <c r="M152" i="11" s="1"/>
  <c r="M69" i="11"/>
  <c r="M91" i="11"/>
  <c r="O92" i="11"/>
  <c r="M223" i="11"/>
  <c r="L63" i="11"/>
  <c r="L136" i="11"/>
  <c r="M136" i="11" s="1"/>
  <c r="M154" i="11"/>
  <c r="M88" i="11"/>
  <c r="M168" i="11"/>
  <c r="P176" i="1" l="1"/>
  <c r="J176" i="1"/>
  <c r="J299" i="1" s="1"/>
  <c r="H299" i="1"/>
  <c r="H302" i="1" s="1"/>
  <c r="H311" i="1" s="1"/>
  <c r="M240" i="11"/>
  <c r="L164" i="11"/>
  <c r="M164" i="11" s="1"/>
  <c r="M242" i="11"/>
  <c r="M63" i="11"/>
  <c r="J302" i="1" l="1"/>
  <c r="J311" i="1" s="1"/>
  <c r="L273" i="11"/>
  <c r="M273" i="11" s="1"/>
  <c r="L276" i="11" l="1"/>
  <c r="L281" i="11" s="1"/>
  <c r="M281" i="11" s="1"/>
  <c r="P273" i="11"/>
  <c r="M276" i="11" l="1"/>
  <c r="S152" i="1" l="1"/>
  <c r="S150" i="1"/>
  <c r="S149" i="1"/>
  <c r="S148" i="1"/>
  <c r="S129" i="1"/>
  <c r="S123" i="1"/>
  <c r="S119" i="1"/>
  <c r="S293" i="1"/>
  <c r="S290" i="1"/>
  <c r="S289" i="1"/>
  <c r="S288" i="1"/>
  <c r="S287" i="1"/>
  <c r="S283" i="1"/>
  <c r="S281" i="1"/>
  <c r="S280" i="1"/>
  <c r="S278" i="1"/>
  <c r="S277" i="1"/>
  <c r="S276" i="1"/>
  <c r="S274" i="1"/>
  <c r="S272" i="1"/>
  <c r="S271" i="1"/>
  <c r="S270" i="1"/>
  <c r="S269" i="1"/>
  <c r="S261" i="1"/>
  <c r="S260" i="1"/>
  <c r="S259" i="1"/>
  <c r="S256" i="1"/>
  <c r="S255" i="1"/>
  <c r="S252" i="1"/>
  <c r="S251" i="1"/>
  <c r="S248" i="1"/>
  <c r="S238" i="1"/>
  <c r="S236" i="1"/>
  <c r="S235" i="1"/>
  <c r="S234" i="1"/>
  <c r="S233" i="1"/>
  <c r="S227" i="1"/>
  <c r="S226" i="1"/>
  <c r="S225" i="1"/>
  <c r="S224" i="1"/>
  <c r="S222" i="1"/>
  <c r="S220" i="1"/>
  <c r="S219" i="1"/>
  <c r="S218" i="1"/>
  <c r="S217" i="1"/>
  <c r="S216" i="1"/>
  <c r="S215" i="1"/>
  <c r="S213" i="1"/>
  <c r="S202" i="1"/>
  <c r="S201" i="1"/>
  <c r="S200" i="1"/>
  <c r="S198" i="1"/>
  <c r="S195" i="1"/>
  <c r="S187" i="1"/>
  <c r="S204" i="1"/>
  <c r="S151" i="1"/>
  <c r="S141" i="1"/>
  <c r="S139" i="1"/>
  <c r="S136" i="1"/>
  <c r="S128" i="1"/>
  <c r="S127" i="1"/>
  <c r="S125" i="1"/>
  <c r="S111" i="1"/>
  <c r="S109" i="1"/>
  <c r="S108" i="1"/>
  <c r="S107" i="1"/>
  <c r="S106" i="1"/>
  <c r="S105" i="1"/>
  <c r="S104" i="1"/>
  <c r="S102" i="1"/>
  <c r="S99" i="1"/>
  <c r="S98" i="1"/>
  <c r="S97" i="1"/>
  <c r="S94" i="1"/>
  <c r="S93" i="1"/>
  <c r="S92" i="1"/>
  <c r="S79" i="1"/>
  <c r="S78" i="1"/>
  <c r="S77" i="1"/>
  <c r="S76" i="1"/>
  <c r="S75" i="1"/>
  <c r="S74" i="1"/>
  <c r="S73" i="1"/>
  <c r="S72" i="1"/>
  <c r="S70" i="1"/>
  <c r="S69" i="1"/>
  <c r="S68" i="1"/>
  <c r="S67" i="1"/>
  <c r="S66" i="1"/>
  <c r="S65" i="1"/>
  <c r="S63" i="1"/>
  <c r="S54" i="1"/>
  <c r="S52" i="1"/>
  <c r="S50" i="1"/>
  <c r="S45" i="1"/>
  <c r="S40" i="1"/>
  <c r="S39" i="1"/>
  <c r="S38" i="1"/>
  <c r="S32" i="1"/>
  <c r="S31" i="1"/>
  <c r="S30" i="1"/>
  <c r="S29" i="1"/>
  <c r="S24" i="1"/>
  <c r="S23" i="1"/>
  <c r="S22" i="1"/>
  <c r="S21" i="1"/>
  <c r="S20" i="1"/>
  <c r="S19" i="1"/>
  <c r="S18" i="1"/>
  <c r="S17" i="1"/>
  <c r="S15" i="1"/>
  <c r="S9" i="1"/>
  <c r="S8" i="1"/>
  <c r="S7" i="1"/>
  <c r="S6" i="1"/>
  <c r="S5" i="1"/>
  <c r="L271" i="10" l="1"/>
  <c r="J271" i="10"/>
  <c r="I271" i="10"/>
  <c r="G271" i="10"/>
  <c r="F271" i="10"/>
  <c r="D271" i="10"/>
  <c r="C271" i="10"/>
  <c r="M268" i="10"/>
  <c r="M265" i="10"/>
  <c r="M264" i="10"/>
  <c r="M263" i="10"/>
  <c r="M262" i="10"/>
  <c r="M261" i="10"/>
  <c r="M260" i="10"/>
  <c r="M258" i="10"/>
  <c r="M256" i="10"/>
  <c r="M255" i="10"/>
  <c r="M254" i="10"/>
  <c r="M253" i="10"/>
  <c r="M251" i="10"/>
  <c r="E251" i="10"/>
  <c r="E271" i="10" s="1"/>
  <c r="M250" i="10"/>
  <c r="M249" i="10"/>
  <c r="M248" i="10"/>
  <c r="M247" i="10"/>
  <c r="M246" i="10"/>
  <c r="E242" i="10"/>
  <c r="J240" i="10"/>
  <c r="J242" i="10" s="1"/>
  <c r="I240" i="10"/>
  <c r="G240" i="10"/>
  <c r="F240" i="10"/>
  <c r="E240" i="10"/>
  <c r="D240" i="10"/>
  <c r="C240" i="10"/>
  <c r="C242" i="10" s="1"/>
  <c r="M237" i="10"/>
  <c r="M236" i="10"/>
  <c r="M235" i="10"/>
  <c r="M234" i="10"/>
  <c r="M233" i="10"/>
  <c r="M232" i="10"/>
  <c r="M231" i="10"/>
  <c r="L230" i="10"/>
  <c r="M229" i="10"/>
  <c r="M228" i="10"/>
  <c r="L227" i="10"/>
  <c r="M227" i="10" s="1"/>
  <c r="M226" i="10"/>
  <c r="L225" i="10"/>
  <c r="M225" i="10" s="1"/>
  <c r="L224" i="10"/>
  <c r="M224" i="10" s="1"/>
  <c r="L223" i="10"/>
  <c r="M223" i="10" s="1"/>
  <c r="L222" i="10"/>
  <c r="M222" i="10" s="1"/>
  <c r="L220" i="10"/>
  <c r="M220" i="10" s="1"/>
  <c r="J220" i="10"/>
  <c r="I220" i="10"/>
  <c r="G220" i="10"/>
  <c r="G242" i="10" s="1"/>
  <c r="F220" i="10"/>
  <c r="F242" i="10" s="1"/>
  <c r="E220" i="10"/>
  <c r="D220" i="10"/>
  <c r="C220" i="10"/>
  <c r="M218" i="10"/>
  <c r="M216" i="10"/>
  <c r="M215" i="10"/>
  <c r="M214" i="10"/>
  <c r="M213" i="10"/>
  <c r="J209" i="10"/>
  <c r="G209" i="10"/>
  <c r="F209" i="10"/>
  <c r="E209" i="10"/>
  <c r="D209" i="10"/>
  <c r="C209" i="10"/>
  <c r="M207" i="10"/>
  <c r="M206" i="10"/>
  <c r="M205" i="10"/>
  <c r="M204" i="10"/>
  <c r="M202" i="10"/>
  <c r="M201" i="10"/>
  <c r="M200" i="10"/>
  <c r="M199" i="10"/>
  <c r="M198" i="10"/>
  <c r="M197" i="10"/>
  <c r="M196" i="10"/>
  <c r="M195" i="10"/>
  <c r="M193" i="10"/>
  <c r="M192" i="10"/>
  <c r="M191" i="10"/>
  <c r="M190" i="10"/>
  <c r="M189" i="10"/>
  <c r="M185" i="10"/>
  <c r="M184" i="10"/>
  <c r="M183" i="10"/>
  <c r="M182" i="10"/>
  <c r="M181" i="10"/>
  <c r="L180" i="10"/>
  <c r="M180" i="10" s="1"/>
  <c r="I180" i="10"/>
  <c r="M179" i="10"/>
  <c r="L178" i="10"/>
  <c r="M178" i="10" s="1"/>
  <c r="I178" i="10"/>
  <c r="L177" i="10"/>
  <c r="M177" i="10" s="1"/>
  <c r="I177" i="10"/>
  <c r="L176" i="10"/>
  <c r="M176" i="10" s="1"/>
  <c r="I176" i="10"/>
  <c r="L175" i="10"/>
  <c r="M175" i="10" s="1"/>
  <c r="I175" i="10"/>
  <c r="L174" i="10"/>
  <c r="M174" i="10" s="1"/>
  <c r="I174" i="10"/>
  <c r="M173" i="10"/>
  <c r="L172" i="10"/>
  <c r="M172" i="10" s="1"/>
  <c r="I172" i="10"/>
  <c r="I209" i="10" s="1"/>
  <c r="L171" i="10"/>
  <c r="M171" i="10" s="1"/>
  <c r="I171" i="10"/>
  <c r="L170" i="10"/>
  <c r="M170" i="10" s="1"/>
  <c r="I170" i="10"/>
  <c r="M169" i="10"/>
  <c r="L168" i="10"/>
  <c r="J162" i="10"/>
  <c r="J164" i="10" s="1"/>
  <c r="I162" i="10"/>
  <c r="G162" i="10"/>
  <c r="G164" i="10" s="1"/>
  <c r="F162" i="10"/>
  <c r="E162" i="10"/>
  <c r="D162" i="10"/>
  <c r="C162" i="10"/>
  <c r="M160" i="10"/>
  <c r="M159" i="10"/>
  <c r="M158" i="10"/>
  <c r="L157" i="10"/>
  <c r="M157" i="10" s="1"/>
  <c r="L155" i="10"/>
  <c r="M155" i="10" s="1"/>
  <c r="L154" i="10"/>
  <c r="M154" i="10" s="1"/>
  <c r="J152" i="10"/>
  <c r="I152" i="10"/>
  <c r="G152" i="10"/>
  <c r="F152" i="10"/>
  <c r="E152" i="10"/>
  <c r="D152" i="10"/>
  <c r="C152" i="10"/>
  <c r="M150" i="10"/>
  <c r="M149" i="10"/>
  <c r="M148" i="10"/>
  <c r="M147" i="10"/>
  <c r="M145" i="10"/>
  <c r="M144" i="10"/>
  <c r="L143" i="10"/>
  <c r="M143" i="10" s="1"/>
  <c r="M142" i="10"/>
  <c r="L141" i="10"/>
  <c r="M141" i="10" s="1"/>
  <c r="L140" i="10"/>
  <c r="M140" i="10" s="1"/>
  <c r="L139" i="10"/>
  <c r="M139" i="10" s="1"/>
  <c r="L138" i="10"/>
  <c r="M138" i="10" s="1"/>
  <c r="J136" i="10"/>
  <c r="G136" i="10"/>
  <c r="F136" i="10"/>
  <c r="D136" i="10"/>
  <c r="C136" i="10"/>
  <c r="M133" i="10"/>
  <c r="M132" i="10"/>
  <c r="M131" i="10"/>
  <c r="M130" i="10"/>
  <c r="M128" i="10"/>
  <c r="M127" i="10"/>
  <c r="M126" i="10"/>
  <c r="M124" i="10"/>
  <c r="M123" i="10"/>
  <c r="L122" i="10"/>
  <c r="M122" i="10" s="1"/>
  <c r="M121" i="10"/>
  <c r="M120" i="10"/>
  <c r="E120" i="10"/>
  <c r="E136" i="10" s="1"/>
  <c r="M119" i="10"/>
  <c r="L118" i="10"/>
  <c r="M118" i="10" s="1"/>
  <c r="M117" i="10"/>
  <c r="L115" i="10"/>
  <c r="M115" i="10" s="1"/>
  <c r="L114" i="10"/>
  <c r="M114" i="10" s="1"/>
  <c r="I114" i="10"/>
  <c r="I136" i="10" s="1"/>
  <c r="L113" i="10"/>
  <c r="M113" i="10" s="1"/>
  <c r="J111" i="10"/>
  <c r="G111" i="10"/>
  <c r="E111" i="10"/>
  <c r="D111" i="10"/>
  <c r="C111" i="10"/>
  <c r="M108" i="10"/>
  <c r="M107" i="10"/>
  <c r="M106" i="10"/>
  <c r="M105" i="10"/>
  <c r="M104" i="10"/>
  <c r="M103" i="10"/>
  <c r="M102" i="10"/>
  <c r="M101" i="10"/>
  <c r="M100" i="10"/>
  <c r="F100" i="10"/>
  <c r="F111" i="10" s="1"/>
  <c r="M99" i="10"/>
  <c r="M98" i="10"/>
  <c r="M97" i="10"/>
  <c r="M96" i="10"/>
  <c r="M95" i="10"/>
  <c r="M94" i="10"/>
  <c r="M93" i="10"/>
  <c r="L92" i="10"/>
  <c r="M92" i="10" s="1"/>
  <c r="L91" i="10"/>
  <c r="M91" i="10" s="1"/>
  <c r="L90" i="10"/>
  <c r="M90" i="10" s="1"/>
  <c r="I90" i="10"/>
  <c r="I111" i="10" s="1"/>
  <c r="L89" i="10"/>
  <c r="M89" i="10" s="1"/>
  <c r="L88" i="10"/>
  <c r="M88" i="10" s="1"/>
  <c r="J86" i="10"/>
  <c r="G86" i="10"/>
  <c r="F86" i="10"/>
  <c r="E86" i="10"/>
  <c r="D86" i="10"/>
  <c r="M84" i="10"/>
  <c r="M83" i="10"/>
  <c r="M82" i="10"/>
  <c r="M81" i="10"/>
  <c r="M80" i="10"/>
  <c r="M79" i="10"/>
  <c r="M78" i="10"/>
  <c r="M77" i="10"/>
  <c r="M76" i="10"/>
  <c r="M75" i="10"/>
  <c r="M74" i="10"/>
  <c r="C74" i="10"/>
  <c r="C86" i="10" s="1"/>
  <c r="M73" i="10"/>
  <c r="M72" i="10"/>
  <c r="M71" i="10"/>
  <c r="M70" i="10"/>
  <c r="L69" i="10"/>
  <c r="L86" i="10" s="1"/>
  <c r="I69" i="10"/>
  <c r="I86" i="10" s="1"/>
  <c r="M68" i="10"/>
  <c r="L61" i="10"/>
  <c r="J61" i="10"/>
  <c r="I61" i="10"/>
  <c r="I63" i="10" s="1"/>
  <c r="G61" i="10"/>
  <c r="F61" i="10"/>
  <c r="E61" i="10"/>
  <c r="D61" i="10"/>
  <c r="C61" i="10"/>
  <c r="M59" i="10"/>
  <c r="M57" i="10"/>
  <c r="M55" i="10"/>
  <c r="L51" i="10"/>
  <c r="J51" i="10"/>
  <c r="I51" i="10"/>
  <c r="G51" i="10"/>
  <c r="F51" i="10"/>
  <c r="F63" i="10" s="1" a="1"/>
  <c r="F63" i="10" s="1"/>
  <c r="E51" i="10"/>
  <c r="D51" i="10"/>
  <c r="C51" i="10"/>
  <c r="M49" i="10"/>
  <c r="L46" i="10"/>
  <c r="M46" i="10" s="1"/>
  <c r="J46" i="10"/>
  <c r="I46" i="10"/>
  <c r="G46" i="10"/>
  <c r="F46" i="10"/>
  <c r="E46" i="10"/>
  <c r="E63" i="10" s="1" a="1"/>
  <c r="E63" i="10" s="1"/>
  <c r="D46" i="10"/>
  <c r="C46" i="10"/>
  <c r="M44" i="10"/>
  <c r="M43" i="10"/>
  <c r="M42" i="10"/>
  <c r="L37" i="10"/>
  <c r="J37" i="10"/>
  <c r="M37" i="10" s="1"/>
  <c r="I37" i="10"/>
  <c r="G37" i="10"/>
  <c r="F37" i="10"/>
  <c r="E37" i="10"/>
  <c r="D37" i="10"/>
  <c r="C37" i="10"/>
  <c r="M35" i="10"/>
  <c r="M34" i="10"/>
  <c r="M33" i="10"/>
  <c r="M32" i="10"/>
  <c r="L28" i="10"/>
  <c r="J28" i="10"/>
  <c r="M28" i="10" s="1"/>
  <c r="G28" i="10"/>
  <c r="F28" i="10"/>
  <c r="E28" i="10"/>
  <c r="D28" i="10"/>
  <c r="C28" i="10"/>
  <c r="C63" i="10" s="1" a="1"/>
  <c r="C63" i="10" s="1"/>
  <c r="M26" i="10"/>
  <c r="M25" i="10"/>
  <c r="M24" i="10"/>
  <c r="O23" i="10"/>
  <c r="M23" i="10"/>
  <c r="M22" i="10"/>
  <c r="I22" i="10"/>
  <c r="I28" i="10" s="1"/>
  <c r="O21" i="10"/>
  <c r="M21" i="10"/>
  <c r="O20" i="10"/>
  <c r="M20" i="10"/>
  <c r="M19" i="10"/>
  <c r="M17" i="10"/>
  <c r="L12" i="10"/>
  <c r="M12" i="10" s="1"/>
  <c r="J12" i="10"/>
  <c r="I12" i="10"/>
  <c r="G12" i="10"/>
  <c r="F12" i="10"/>
  <c r="E12" i="10"/>
  <c r="D12" i="10"/>
  <c r="C12" i="10"/>
  <c r="M10" i="10"/>
  <c r="M9" i="10"/>
  <c r="O8" i="10"/>
  <c r="M8" i="10"/>
  <c r="M7" i="10"/>
  <c r="O6" i="10"/>
  <c r="M6" i="10"/>
  <c r="L271" i="9"/>
  <c r="J271" i="9"/>
  <c r="I271" i="9"/>
  <c r="G271" i="9"/>
  <c r="F271" i="9"/>
  <c r="D271" i="9"/>
  <c r="C271" i="9"/>
  <c r="E251" i="9"/>
  <c r="E271" i="9" s="1"/>
  <c r="J162" i="8"/>
  <c r="I162" i="8"/>
  <c r="G162" i="8"/>
  <c r="F162" i="8"/>
  <c r="E162" i="8"/>
  <c r="D162" i="8"/>
  <c r="C162" i="8"/>
  <c r="L157" i="8"/>
  <c r="L155" i="8"/>
  <c r="L154" i="8"/>
  <c r="J152" i="7"/>
  <c r="I152" i="7"/>
  <c r="G152" i="7"/>
  <c r="F152" i="7"/>
  <c r="E152" i="7"/>
  <c r="D152" i="7"/>
  <c r="C152" i="7"/>
  <c r="L143" i="7"/>
  <c r="L141" i="7"/>
  <c r="L140" i="7"/>
  <c r="L139" i="7"/>
  <c r="L138" i="7"/>
  <c r="J136" i="6"/>
  <c r="G136" i="6"/>
  <c r="F136" i="6"/>
  <c r="D136" i="6"/>
  <c r="C136" i="6"/>
  <c r="L122" i="6"/>
  <c r="E120" i="6"/>
  <c r="E136" i="6" s="1"/>
  <c r="L118" i="6"/>
  <c r="L115" i="6"/>
  <c r="L114" i="6"/>
  <c r="I114" i="6"/>
  <c r="I136" i="6" s="1"/>
  <c r="L113" i="6"/>
  <c r="J240" i="5"/>
  <c r="I240" i="5"/>
  <c r="G240" i="5"/>
  <c r="F240" i="5"/>
  <c r="E240" i="5"/>
  <c r="D240" i="5"/>
  <c r="C240" i="5"/>
  <c r="L230" i="5"/>
  <c r="L227" i="5"/>
  <c r="L225" i="5"/>
  <c r="L224" i="5"/>
  <c r="L223" i="5"/>
  <c r="L222" i="5"/>
  <c r="L220" i="5"/>
  <c r="J220" i="5"/>
  <c r="I220" i="5"/>
  <c r="G220" i="5"/>
  <c r="F220" i="5"/>
  <c r="E220" i="5"/>
  <c r="D220" i="5"/>
  <c r="C220" i="5"/>
  <c r="J209" i="4"/>
  <c r="G209" i="4"/>
  <c r="F209" i="4"/>
  <c r="E209" i="4"/>
  <c r="D209" i="4"/>
  <c r="C209" i="4"/>
  <c r="L180" i="4"/>
  <c r="I180" i="4"/>
  <c r="L178" i="4"/>
  <c r="I178" i="4"/>
  <c r="L177" i="4"/>
  <c r="I177" i="4"/>
  <c r="L176" i="4"/>
  <c r="I176" i="4"/>
  <c r="L175" i="4"/>
  <c r="I175" i="4"/>
  <c r="L174" i="4"/>
  <c r="I174" i="4"/>
  <c r="L172" i="4"/>
  <c r="I172" i="4"/>
  <c r="L171" i="4"/>
  <c r="I171" i="4"/>
  <c r="I209" i="4" s="1"/>
  <c r="L170" i="4"/>
  <c r="I170" i="4"/>
  <c r="L168" i="4"/>
  <c r="J111" i="3"/>
  <c r="I111" i="3"/>
  <c r="G111" i="3"/>
  <c r="G114" i="3" s="1"/>
  <c r="E111" i="3"/>
  <c r="D111" i="3"/>
  <c r="C111" i="3"/>
  <c r="F100" i="3"/>
  <c r="F111" i="3" s="1"/>
  <c r="F114" i="3" s="1"/>
  <c r="L92" i="3"/>
  <c r="L91" i="3"/>
  <c r="L90" i="3"/>
  <c r="I90" i="3"/>
  <c r="L89" i="3"/>
  <c r="L88" i="3"/>
  <c r="L86" i="3"/>
  <c r="J86" i="3"/>
  <c r="G86" i="3"/>
  <c r="F86" i="3"/>
  <c r="E86" i="3"/>
  <c r="E114" i="3" s="1"/>
  <c r="D86" i="3"/>
  <c r="C86" i="3"/>
  <c r="C114" i="3" s="1"/>
  <c r="C74" i="3"/>
  <c r="L69" i="3"/>
  <c r="I69" i="3"/>
  <c r="I86" i="3" s="1"/>
  <c r="D114" i="3"/>
  <c r="H114" i="3"/>
  <c r="J114" i="3"/>
  <c r="L61" i="2"/>
  <c r="L63" i="2" s="1"/>
  <c r="J61" i="2"/>
  <c r="J63" i="2" s="1"/>
  <c r="I61" i="2"/>
  <c r="G61" i="2"/>
  <c r="F61" i="2"/>
  <c r="E61" i="2"/>
  <c r="D61" i="2"/>
  <c r="C61" i="2"/>
  <c r="L51" i="2"/>
  <c r="J51" i="2"/>
  <c r="I51" i="2"/>
  <c r="G51" i="2"/>
  <c r="G63" i="2" s="1" a="1"/>
  <c r="G63" i="2" s="1"/>
  <c r="F51" i="2"/>
  <c r="F63" i="2" s="1" a="1"/>
  <c r="F63" i="2" s="1"/>
  <c r="E51" i="2"/>
  <c r="E63" i="2" s="1" a="1"/>
  <c r="E63" i="2" s="1"/>
  <c r="D51" i="2"/>
  <c r="D63" i="2" s="1" a="1"/>
  <c r="D63" i="2" s="1"/>
  <c r="C51" i="2"/>
  <c r="C63" i="2" s="1" a="1"/>
  <c r="C63" i="2" s="1"/>
  <c r="L46" i="2"/>
  <c r="J46" i="2"/>
  <c r="I46" i="2"/>
  <c r="G46" i="2"/>
  <c r="F46" i="2"/>
  <c r="E46" i="2"/>
  <c r="D46" i="2"/>
  <c r="C46" i="2"/>
  <c r="L37" i="2"/>
  <c r="J37" i="2"/>
  <c r="I37" i="2"/>
  <c r="G37" i="2"/>
  <c r="F37" i="2"/>
  <c r="E37" i="2"/>
  <c r="D37" i="2"/>
  <c r="C37" i="2"/>
  <c r="L28" i="2"/>
  <c r="J28" i="2"/>
  <c r="G28" i="2"/>
  <c r="F28" i="2"/>
  <c r="E28" i="2"/>
  <c r="D28" i="2"/>
  <c r="C28" i="2"/>
  <c r="I22" i="2"/>
  <c r="I28" i="2" s="1"/>
  <c r="L12" i="2"/>
  <c r="J12" i="2"/>
  <c r="I12" i="2"/>
  <c r="G12" i="2"/>
  <c r="F12" i="2"/>
  <c r="E12" i="2"/>
  <c r="D12" i="2"/>
  <c r="C12" i="2"/>
  <c r="AA7" i="1"/>
  <c r="L240" i="5" l="1"/>
  <c r="L136" i="6"/>
  <c r="L152" i="10"/>
  <c r="M152" i="10" s="1"/>
  <c r="L209" i="10"/>
  <c r="M209" i="10" s="1"/>
  <c r="L152" i="7"/>
  <c r="L162" i="8"/>
  <c r="L111" i="3"/>
  <c r="L114" i="3" s="1"/>
  <c r="L209" i="4"/>
  <c r="L240" i="10"/>
  <c r="L242" i="10" s="1"/>
  <c r="D164" i="10"/>
  <c r="D242" i="10"/>
  <c r="D273" i="10" s="1"/>
  <c r="M86" i="10"/>
  <c r="E164" i="10"/>
  <c r="I242" i="10"/>
  <c r="G273" i="10"/>
  <c r="L63" i="10"/>
  <c r="M51" i="10"/>
  <c r="J63" i="10"/>
  <c r="G63" i="10" a="1"/>
  <c r="G63" i="10" s="1"/>
  <c r="L279" i="10"/>
  <c r="D63" i="10" a="1"/>
  <c r="D63" i="10" s="1"/>
  <c r="D276" i="10" s="1"/>
  <c r="J273" i="10"/>
  <c r="I164" i="10"/>
  <c r="M63" i="10"/>
  <c r="C164" i="10"/>
  <c r="G276" i="10"/>
  <c r="C273" i="10"/>
  <c r="C276" i="10" s="1"/>
  <c r="E273" i="10"/>
  <c r="E276" i="10" s="1"/>
  <c r="J276" i="10"/>
  <c r="J281" i="10" s="1"/>
  <c r="F164" i="10"/>
  <c r="F273" i="10" s="1"/>
  <c r="F276" i="10" s="1"/>
  <c r="M271" i="10"/>
  <c r="M61" i="10"/>
  <c r="L162" i="10"/>
  <c r="M168" i="10"/>
  <c r="L136" i="10"/>
  <c r="M136" i="10" s="1"/>
  <c r="M69" i="10"/>
  <c r="L111" i="10"/>
  <c r="M111" i="10" s="1"/>
  <c r="I114" i="3"/>
  <c r="I63" i="2"/>
  <c r="M240" i="10" l="1"/>
  <c r="I273" i="10"/>
  <c r="I276" i="10" s="1"/>
  <c r="I281" i="10" s="1"/>
  <c r="M242" i="10"/>
  <c r="L164" i="10"/>
  <c r="M164" i="10" s="1"/>
  <c r="M162" i="10"/>
  <c r="L273" i="10" l="1"/>
  <c r="P273" i="10" l="1"/>
  <c r="M273" i="10"/>
  <c r="L276" i="10"/>
  <c r="L281" i="10" l="1"/>
  <c r="M276" i="10"/>
  <c r="L758" i="4" l="1"/>
  <c r="M758" i="4" s="1"/>
  <c r="J758" i="4"/>
  <c r="J757" i="4"/>
  <c r="J756" i="4"/>
  <c r="J760" i="4" s="1"/>
  <c r="I758" i="4"/>
  <c r="I757" i="4"/>
  <c r="I756" i="4"/>
  <c r="L762" i="4"/>
  <c r="M762" i="4" s="1"/>
  <c r="J762" i="4"/>
  <c r="I762" i="4"/>
  <c r="O173" i="4"/>
  <c r="O169" i="4"/>
  <c r="O189" i="4"/>
  <c r="O193" i="4"/>
  <c r="O195" i="4"/>
  <c r="O205" i="4"/>
  <c r="O207" i="4"/>
  <c r="M206" i="4"/>
  <c r="M205" i="4"/>
  <c r="M204" i="4"/>
  <c r="M202" i="4"/>
  <c r="M201" i="4"/>
  <c r="M200" i="4"/>
  <c r="M197" i="4"/>
  <c r="M196" i="4"/>
  <c r="M195" i="4"/>
  <c r="M193" i="4"/>
  <c r="M192" i="4"/>
  <c r="M189" i="4"/>
  <c r="M169" i="4"/>
  <c r="M170" i="4"/>
  <c r="M173" i="4"/>
  <c r="M178" i="4"/>
  <c r="M180" i="4"/>
  <c r="M181" i="4"/>
  <c r="M182" i="4"/>
  <c r="M183" i="4"/>
  <c r="M184" i="4"/>
  <c r="M185" i="4"/>
  <c r="O179" i="4"/>
  <c r="O181" i="4"/>
  <c r="O182" i="4"/>
  <c r="O183" i="4"/>
  <c r="O184" i="4"/>
  <c r="O185" i="4"/>
  <c r="O186" i="4"/>
  <c r="O187" i="4"/>
  <c r="O188" i="4"/>
  <c r="O190" i="4"/>
  <c r="O191" i="4"/>
  <c r="O192" i="4"/>
  <c r="O194" i="4"/>
  <c r="O196" i="4"/>
  <c r="O197" i="4"/>
  <c r="O198" i="4"/>
  <c r="O199" i="4"/>
  <c r="O200" i="4"/>
  <c r="O201" i="4"/>
  <c r="O202" i="4"/>
  <c r="O203" i="4"/>
  <c r="O204" i="4"/>
  <c r="O206" i="4"/>
  <c r="O208" i="4"/>
  <c r="M172" i="4"/>
  <c r="O180" i="4"/>
  <c r="O178" i="4"/>
  <c r="O177" i="4"/>
  <c r="M176" i="4"/>
  <c r="O175" i="4"/>
  <c r="M174" i="4"/>
  <c r="M171" i="4"/>
  <c r="O170" i="4"/>
  <c r="L756" i="4"/>
  <c r="M271" i="9"/>
  <c r="M268" i="9"/>
  <c r="M265" i="9"/>
  <c r="M264" i="9"/>
  <c r="M263" i="9"/>
  <c r="M262" i="9"/>
  <c r="M261" i="9"/>
  <c r="M260" i="9"/>
  <c r="M258" i="9"/>
  <c r="M256" i="9"/>
  <c r="M255" i="9"/>
  <c r="M254" i="9"/>
  <c r="M253" i="9"/>
  <c r="M251" i="9"/>
  <c r="M250" i="9"/>
  <c r="M249" i="9"/>
  <c r="M248" i="9"/>
  <c r="M247" i="9"/>
  <c r="M246" i="9"/>
  <c r="G242" i="9"/>
  <c r="J240" i="9"/>
  <c r="I240" i="9"/>
  <c r="I242" i="9" s="1"/>
  <c r="G240" i="9"/>
  <c r="F240" i="9"/>
  <c r="E240" i="9"/>
  <c r="E242" i="9" s="1"/>
  <c r="D240" i="9"/>
  <c r="C240" i="9"/>
  <c r="M237" i="9"/>
  <c r="M236" i="9"/>
  <c r="M235" i="9"/>
  <c r="M234" i="9"/>
  <c r="M233" i="9"/>
  <c r="M232" i="9"/>
  <c r="M231" i="9"/>
  <c r="L230" i="9"/>
  <c r="M229" i="9"/>
  <c r="M228" i="9"/>
  <c r="L227" i="9"/>
  <c r="M227" i="9" s="1"/>
  <c r="M226" i="9"/>
  <c r="L225" i="9"/>
  <c r="M225" i="9" s="1"/>
  <c r="L224" i="9"/>
  <c r="M224" i="9" s="1"/>
  <c r="L223" i="9"/>
  <c r="M223" i="9" s="1"/>
  <c r="L222" i="9"/>
  <c r="M222" i="9" s="1"/>
  <c r="L220" i="9"/>
  <c r="M220" i="9" s="1"/>
  <c r="J220" i="9"/>
  <c r="I220" i="9"/>
  <c r="G220" i="9"/>
  <c r="F220" i="9"/>
  <c r="E220" i="9"/>
  <c r="D220" i="9"/>
  <c r="C220" i="9"/>
  <c r="C242" i="9" s="1"/>
  <c r="M218" i="9"/>
  <c r="M216" i="9"/>
  <c r="M215" i="9"/>
  <c r="M214" i="9"/>
  <c r="M213" i="9"/>
  <c r="J209" i="9"/>
  <c r="G209" i="9"/>
  <c r="F209" i="9"/>
  <c r="E209" i="9"/>
  <c r="D209" i="9"/>
  <c r="C209" i="9"/>
  <c r="M207" i="9"/>
  <c r="M206" i="9"/>
  <c r="M205" i="9"/>
  <c r="M204" i="9"/>
  <c r="M202" i="9"/>
  <c r="M201" i="9"/>
  <c r="M200" i="9"/>
  <c r="M199" i="9"/>
  <c r="M198" i="9"/>
  <c r="M197" i="9"/>
  <c r="M196" i="9"/>
  <c r="M195" i="9"/>
  <c r="M193" i="9"/>
  <c r="M192" i="9"/>
  <c r="M191" i="9"/>
  <c r="M190" i="9"/>
  <c r="M189" i="9"/>
  <c r="M185" i="9"/>
  <c r="M184" i="9"/>
  <c r="M183" i="9"/>
  <c r="M182" i="9"/>
  <c r="M181" i="9"/>
  <c r="L180" i="9"/>
  <c r="M180" i="9" s="1"/>
  <c r="I180" i="9"/>
  <c r="M179" i="9"/>
  <c r="L178" i="9"/>
  <c r="M178" i="9" s="1"/>
  <c r="I178" i="9"/>
  <c r="L177" i="9"/>
  <c r="M177" i="9" s="1"/>
  <c r="I177" i="9"/>
  <c r="L176" i="9"/>
  <c r="M176" i="9" s="1"/>
  <c r="I176" i="9"/>
  <c r="L175" i="9"/>
  <c r="M175" i="9" s="1"/>
  <c r="I175" i="9"/>
  <c r="L174" i="9"/>
  <c r="M174" i="9" s="1"/>
  <c r="I174" i="9"/>
  <c r="M173" i="9"/>
  <c r="L172" i="9"/>
  <c r="M172" i="9" s="1"/>
  <c r="I172" i="9"/>
  <c r="L171" i="9"/>
  <c r="M171" i="9" s="1"/>
  <c r="I171" i="9"/>
  <c r="L170" i="9"/>
  <c r="M170" i="9" s="1"/>
  <c r="I170" i="9"/>
  <c r="I209" i="9" s="1"/>
  <c r="M169" i="9"/>
  <c r="L168" i="9"/>
  <c r="J164" i="9"/>
  <c r="G164" i="9"/>
  <c r="J162" i="9"/>
  <c r="I162" i="9"/>
  <c r="G162" i="9"/>
  <c r="F162" i="9"/>
  <c r="E162" i="9"/>
  <c r="D162" i="9"/>
  <c r="C162" i="9"/>
  <c r="M160" i="9"/>
  <c r="M159" i="9"/>
  <c r="M158" i="9"/>
  <c r="L157" i="9"/>
  <c r="M157" i="9" s="1"/>
  <c r="L155" i="9"/>
  <c r="M155" i="9" s="1"/>
  <c r="L154" i="9"/>
  <c r="J152" i="9"/>
  <c r="I152" i="9"/>
  <c r="G152" i="9"/>
  <c r="F152" i="9"/>
  <c r="E152" i="9"/>
  <c r="D152" i="9"/>
  <c r="C152" i="9"/>
  <c r="M150" i="9"/>
  <c r="M149" i="9"/>
  <c r="M148" i="9"/>
  <c r="M147" i="9"/>
  <c r="M145" i="9"/>
  <c r="M144" i="9"/>
  <c r="L143" i="9"/>
  <c r="M143" i="9" s="1"/>
  <c r="M142" i="9"/>
  <c r="L141" i="9"/>
  <c r="M141" i="9" s="1"/>
  <c r="L140" i="9"/>
  <c r="M140" i="9" s="1"/>
  <c r="L139" i="9"/>
  <c r="M139" i="9" s="1"/>
  <c r="L138" i="9"/>
  <c r="M138" i="9" s="1"/>
  <c r="J136" i="9"/>
  <c r="I136" i="9"/>
  <c r="G136" i="9"/>
  <c r="F136" i="9"/>
  <c r="D136" i="9"/>
  <c r="C136" i="9"/>
  <c r="M133" i="9"/>
  <c r="M132" i="9"/>
  <c r="M131" i="9"/>
  <c r="M130" i="9"/>
  <c r="M128" i="9"/>
  <c r="M127" i="9"/>
  <c r="M126" i="9"/>
  <c r="M124" i="9"/>
  <c r="M123" i="9"/>
  <c r="L122" i="9"/>
  <c r="M122" i="9" s="1"/>
  <c r="M121" i="9"/>
  <c r="M120" i="9"/>
  <c r="E120" i="9"/>
  <c r="E136" i="9" s="1"/>
  <c r="M119" i="9"/>
  <c r="L118" i="9"/>
  <c r="M118" i="9" s="1"/>
  <c r="M117" i="9"/>
  <c r="L115" i="9"/>
  <c r="M115" i="9" s="1"/>
  <c r="L114" i="9"/>
  <c r="M114" i="9" s="1"/>
  <c r="I114" i="9"/>
  <c r="L113" i="9"/>
  <c r="J111" i="9"/>
  <c r="I111" i="9"/>
  <c r="G111" i="9"/>
  <c r="F111" i="9"/>
  <c r="E111" i="9"/>
  <c r="D111" i="9"/>
  <c r="C111" i="9"/>
  <c r="M108" i="9"/>
  <c r="M107" i="9"/>
  <c r="M106" i="9"/>
  <c r="M105" i="9"/>
  <c r="M104" i="9"/>
  <c r="M103" i="9"/>
  <c r="M102" i="9"/>
  <c r="M101" i="9"/>
  <c r="M100" i="9"/>
  <c r="F100" i="9"/>
  <c r="M99" i="9"/>
  <c r="M98" i="9"/>
  <c r="M97" i="9"/>
  <c r="M96" i="9"/>
  <c r="M95" i="9"/>
  <c r="M94" i="9"/>
  <c r="M93" i="9"/>
  <c r="L92" i="9"/>
  <c r="M92" i="9" s="1"/>
  <c r="L91" i="9"/>
  <c r="M91" i="9" s="1"/>
  <c r="L90" i="9"/>
  <c r="M90" i="9" s="1"/>
  <c r="I90" i="9"/>
  <c r="L89" i="9"/>
  <c r="M89" i="9" s="1"/>
  <c r="L88" i="9"/>
  <c r="M88" i="9" s="1"/>
  <c r="J86" i="9"/>
  <c r="G86" i="9"/>
  <c r="F86" i="9"/>
  <c r="E86" i="9"/>
  <c r="D86" i="9"/>
  <c r="M84" i="9"/>
  <c r="M83" i="9"/>
  <c r="M82" i="9"/>
  <c r="M81" i="9"/>
  <c r="M80" i="9"/>
  <c r="M79" i="9"/>
  <c r="M78" i="9"/>
  <c r="M77" i="9"/>
  <c r="M76" i="9"/>
  <c r="M75" i="9"/>
  <c r="M74" i="9"/>
  <c r="C74" i="9"/>
  <c r="C86" i="9" s="1"/>
  <c r="M73" i="9"/>
  <c r="M72" i="9"/>
  <c r="M71" i="9"/>
  <c r="M70" i="9"/>
  <c r="L69" i="9"/>
  <c r="L86" i="9" s="1"/>
  <c r="M86" i="9" s="1"/>
  <c r="I69" i="9"/>
  <c r="I86" i="9" s="1"/>
  <c r="I164" i="9" s="1"/>
  <c r="M68" i="9"/>
  <c r="L61" i="9"/>
  <c r="J61" i="9"/>
  <c r="I61" i="9"/>
  <c r="G61" i="9"/>
  <c r="F61" i="9"/>
  <c r="E61" i="9"/>
  <c r="D61" i="9"/>
  <c r="C61" i="9"/>
  <c r="M59" i="9"/>
  <c r="M58" i="9"/>
  <c r="M57" i="9"/>
  <c r="M55" i="9"/>
  <c r="L51" i="9"/>
  <c r="J51" i="9"/>
  <c r="I51" i="9"/>
  <c r="G51" i="9"/>
  <c r="F51" i="9"/>
  <c r="F63" i="9" s="1" a="1"/>
  <c r="F63" i="9" s="1"/>
  <c r="E51" i="9"/>
  <c r="D51" i="9"/>
  <c r="C51" i="9"/>
  <c r="M49" i="9"/>
  <c r="L46" i="9"/>
  <c r="M46" i="9" s="1"/>
  <c r="J46" i="9"/>
  <c r="J63" i="9" s="1" a="1"/>
  <c r="J63" i="9" s="1"/>
  <c r="I46" i="9"/>
  <c r="G46" i="9"/>
  <c r="F46" i="9"/>
  <c r="E46" i="9"/>
  <c r="D46" i="9"/>
  <c r="C46" i="9"/>
  <c r="C63" i="9" s="1" a="1"/>
  <c r="C63" i="9" s="1"/>
  <c r="M44" i="9"/>
  <c r="M43" i="9"/>
  <c r="M42" i="9"/>
  <c r="L37" i="9"/>
  <c r="J37" i="9"/>
  <c r="I37" i="9"/>
  <c r="G37" i="9"/>
  <c r="F37" i="9"/>
  <c r="E37" i="9"/>
  <c r="D37" i="9"/>
  <c r="C37" i="9"/>
  <c r="M35" i="9"/>
  <c r="M34" i="9"/>
  <c r="M33" i="9"/>
  <c r="M32" i="9"/>
  <c r="L28" i="9"/>
  <c r="J28" i="9"/>
  <c r="G28" i="9"/>
  <c r="F28" i="9"/>
  <c r="E28" i="9"/>
  <c r="D28" i="9"/>
  <c r="C28" i="9"/>
  <c r="M26" i="9"/>
  <c r="M25" i="9"/>
  <c r="M24" i="9"/>
  <c r="M23" i="9"/>
  <c r="M22" i="9"/>
  <c r="I22" i="9"/>
  <c r="I28" i="9" s="1"/>
  <c r="M21" i="9"/>
  <c r="M20" i="9"/>
  <c r="M19" i="9"/>
  <c r="M17" i="9"/>
  <c r="L12" i="9"/>
  <c r="M12" i="9" s="1"/>
  <c r="J12" i="9"/>
  <c r="I12" i="9"/>
  <c r="G12" i="9"/>
  <c r="F12" i="9"/>
  <c r="E12" i="9"/>
  <c r="D12" i="9"/>
  <c r="C12" i="9"/>
  <c r="M10" i="9"/>
  <c r="M9" i="9"/>
  <c r="M8" i="9"/>
  <c r="M7" i="9"/>
  <c r="M6" i="9"/>
  <c r="L271" i="8"/>
  <c r="J271" i="8"/>
  <c r="I271" i="8"/>
  <c r="G271" i="8"/>
  <c r="F271" i="8"/>
  <c r="E271" i="8"/>
  <c r="D271" i="8"/>
  <c r="C271" i="8"/>
  <c r="M268" i="8"/>
  <c r="M265" i="8"/>
  <c r="M264" i="8"/>
  <c r="M263" i="8"/>
  <c r="M262" i="8"/>
  <c r="M261" i="8"/>
  <c r="M260" i="8"/>
  <c r="M258" i="8"/>
  <c r="M256" i="8"/>
  <c r="M255" i="8"/>
  <c r="M254" i="8"/>
  <c r="M253" i="8"/>
  <c r="M251" i="8"/>
  <c r="E251" i="8"/>
  <c r="M250" i="8"/>
  <c r="M249" i="8"/>
  <c r="M248" i="8"/>
  <c r="M247" i="8"/>
  <c r="M246" i="8"/>
  <c r="G242" i="8"/>
  <c r="J240" i="8"/>
  <c r="I240" i="8"/>
  <c r="I242" i="8" s="1"/>
  <c r="G240" i="8"/>
  <c r="F240" i="8"/>
  <c r="F242" i="8" s="1"/>
  <c r="E240" i="8"/>
  <c r="D240" i="8"/>
  <c r="C240" i="8"/>
  <c r="M237" i="8"/>
  <c r="M236" i="8"/>
  <c r="M235" i="8"/>
  <c r="M234" i="8"/>
  <c r="M233" i="8"/>
  <c r="M232" i="8"/>
  <c r="M231" i="8"/>
  <c r="L230" i="8"/>
  <c r="M229" i="8"/>
  <c r="M228" i="8"/>
  <c r="L227" i="8"/>
  <c r="M227" i="8" s="1"/>
  <c r="M226" i="8"/>
  <c r="L225" i="8"/>
  <c r="M225" i="8" s="1"/>
  <c r="L224" i="8"/>
  <c r="M224" i="8" s="1"/>
  <c r="L223" i="8"/>
  <c r="L222" i="8"/>
  <c r="M222" i="8" s="1"/>
  <c r="L220" i="8"/>
  <c r="J220" i="8"/>
  <c r="I220" i="8"/>
  <c r="G220" i="8"/>
  <c r="F220" i="8"/>
  <c r="E220" i="8"/>
  <c r="D220" i="8"/>
  <c r="C220" i="8"/>
  <c r="M218" i="8"/>
  <c r="M216" i="8"/>
  <c r="M215" i="8"/>
  <c r="M214" i="8"/>
  <c r="M213" i="8"/>
  <c r="J209" i="8"/>
  <c r="G209" i="8"/>
  <c r="F209" i="8"/>
  <c r="E209" i="8"/>
  <c r="D209" i="8"/>
  <c r="C209" i="8"/>
  <c r="M207" i="8"/>
  <c r="M206" i="8"/>
  <c r="M205" i="8"/>
  <c r="M204" i="8"/>
  <c r="M202" i="8"/>
  <c r="M201" i="8"/>
  <c r="M200" i="8"/>
  <c r="M199" i="8"/>
  <c r="M198" i="8"/>
  <c r="M197" i="8"/>
  <c r="M196" i="8"/>
  <c r="M195" i="8"/>
  <c r="M193" i="8"/>
  <c r="M192" i="8"/>
  <c r="M191" i="8"/>
  <c r="M190" i="8"/>
  <c r="M189" i="8"/>
  <c r="M185" i="8"/>
  <c r="M184" i="8"/>
  <c r="M183" i="8"/>
  <c r="M182" i="8"/>
  <c r="M181" i="8"/>
  <c r="L180" i="8"/>
  <c r="M180" i="8" s="1"/>
  <c r="I180" i="8"/>
  <c r="M179" i="8"/>
  <c r="L178" i="8"/>
  <c r="M178" i="8" s="1"/>
  <c r="I178" i="8"/>
  <c r="L177" i="8"/>
  <c r="M177" i="8" s="1"/>
  <c r="I177" i="8"/>
  <c r="L176" i="8"/>
  <c r="M176" i="8" s="1"/>
  <c r="I176" i="8"/>
  <c r="L175" i="8"/>
  <c r="M175" i="8" s="1"/>
  <c r="I175" i="8"/>
  <c r="L174" i="8"/>
  <c r="M174" i="8" s="1"/>
  <c r="I174" i="8"/>
  <c r="M173" i="8"/>
  <c r="L172" i="8"/>
  <c r="M172" i="8" s="1"/>
  <c r="I172" i="8"/>
  <c r="L171" i="8"/>
  <c r="M171" i="8" s="1"/>
  <c r="I171" i="8"/>
  <c r="L170" i="8"/>
  <c r="M170" i="8" s="1"/>
  <c r="I170" i="8"/>
  <c r="I209" i="8" s="1"/>
  <c r="M169" i="8"/>
  <c r="L168" i="8"/>
  <c r="M160" i="8"/>
  <c r="M159" i="8"/>
  <c r="M158" i="8"/>
  <c r="M157" i="8"/>
  <c r="M155" i="8"/>
  <c r="J152" i="8"/>
  <c r="J164" i="8" s="1"/>
  <c r="I152" i="8"/>
  <c r="G152" i="8"/>
  <c r="G164" i="8" s="1"/>
  <c r="F152" i="8"/>
  <c r="E152" i="8"/>
  <c r="D152" i="8"/>
  <c r="C152" i="8"/>
  <c r="M150" i="8"/>
  <c r="M149" i="8"/>
  <c r="M148" i="8"/>
  <c r="M147" i="8"/>
  <c r="M145" i="8"/>
  <c r="M144" i="8"/>
  <c r="L143" i="8"/>
  <c r="M143" i="8" s="1"/>
  <c r="M142" i="8"/>
  <c r="L141" i="8"/>
  <c r="M141" i="8" s="1"/>
  <c r="L140" i="8"/>
  <c r="M140" i="8" s="1"/>
  <c r="L139" i="8"/>
  <c r="M139" i="8" s="1"/>
  <c r="L138" i="8"/>
  <c r="J136" i="8"/>
  <c r="I136" i="8"/>
  <c r="G136" i="8"/>
  <c r="F136" i="8"/>
  <c r="D136" i="8"/>
  <c r="C136" i="8"/>
  <c r="M133" i="8"/>
  <c r="M132" i="8"/>
  <c r="M131" i="8"/>
  <c r="M130" i="8"/>
  <c r="M128" i="8"/>
  <c r="M127" i="8"/>
  <c r="M126" i="8"/>
  <c r="M124" i="8"/>
  <c r="M123" i="8"/>
  <c r="L122" i="8"/>
  <c r="M122" i="8" s="1"/>
  <c r="M121" i="8"/>
  <c r="M120" i="8"/>
  <c r="E120" i="8"/>
  <c r="E136" i="8" s="1"/>
  <c r="M119" i="8"/>
  <c r="L118" i="8"/>
  <c r="M118" i="8" s="1"/>
  <c r="M117" i="8"/>
  <c r="L115" i="8"/>
  <c r="M115" i="8" s="1"/>
  <c r="L114" i="8"/>
  <c r="M114" i="8" s="1"/>
  <c r="I114" i="8"/>
  <c r="L113" i="8"/>
  <c r="J111" i="8"/>
  <c r="I111" i="8"/>
  <c r="G111" i="8"/>
  <c r="E111" i="8"/>
  <c r="D111" i="8"/>
  <c r="C111" i="8"/>
  <c r="M108" i="8"/>
  <c r="M107" i="8"/>
  <c r="M106" i="8"/>
  <c r="M105" i="8"/>
  <c r="M104" i="8"/>
  <c r="M103" i="8"/>
  <c r="M102" i="8"/>
  <c r="M101" i="8"/>
  <c r="M100" i="8"/>
  <c r="F100" i="8"/>
  <c r="F111" i="8" s="1"/>
  <c r="M99" i="8"/>
  <c r="M98" i="8"/>
  <c r="M97" i="8"/>
  <c r="M96" i="8"/>
  <c r="M95" i="8"/>
  <c r="M94" i="8"/>
  <c r="M93" i="8"/>
  <c r="L92" i="8"/>
  <c r="M92" i="8" s="1"/>
  <c r="L91" i="8"/>
  <c r="M91" i="8" s="1"/>
  <c r="L90" i="8"/>
  <c r="M90" i="8" s="1"/>
  <c r="I90" i="8"/>
  <c r="L89" i="8"/>
  <c r="M89" i="8" s="1"/>
  <c r="L88" i="8"/>
  <c r="J86" i="8"/>
  <c r="G86" i="8"/>
  <c r="F86" i="8"/>
  <c r="E86" i="8"/>
  <c r="D86" i="8"/>
  <c r="M84" i="8"/>
  <c r="M83" i="8"/>
  <c r="M82" i="8"/>
  <c r="M81" i="8"/>
  <c r="M80" i="8"/>
  <c r="M79" i="8"/>
  <c r="M78" i="8"/>
  <c r="M77" i="8"/>
  <c r="M76" i="8"/>
  <c r="M75" i="8"/>
  <c r="M74" i="8"/>
  <c r="C74" i="8"/>
  <c r="C86" i="8" s="1"/>
  <c r="M73" i="8"/>
  <c r="M72" i="8"/>
  <c r="M71" i="8"/>
  <c r="M70" i="8"/>
  <c r="L69" i="8"/>
  <c r="L86" i="8" s="1"/>
  <c r="I69" i="8"/>
  <c r="I86" i="8" s="1"/>
  <c r="M68" i="8"/>
  <c r="L61" i="8"/>
  <c r="M61" i="8" s="1"/>
  <c r="J61" i="8"/>
  <c r="I61" i="8"/>
  <c r="G61" i="8"/>
  <c r="F61" i="8"/>
  <c r="E61" i="8"/>
  <c r="D61" i="8"/>
  <c r="C61" i="8"/>
  <c r="M59" i="8"/>
  <c r="M58" i="8"/>
  <c r="M57" i="8"/>
  <c r="M55" i="8"/>
  <c r="L51" i="8"/>
  <c r="J51" i="8"/>
  <c r="I51" i="8"/>
  <c r="G51" i="8"/>
  <c r="F51" i="8"/>
  <c r="E51" i="8"/>
  <c r="D51" i="8"/>
  <c r="C51" i="8"/>
  <c r="M49" i="8"/>
  <c r="L46" i="8"/>
  <c r="J46" i="8"/>
  <c r="I46" i="8"/>
  <c r="G46" i="8"/>
  <c r="F46" i="8"/>
  <c r="E46" i="8"/>
  <c r="D46" i="8"/>
  <c r="C46" i="8"/>
  <c r="M44" i="8"/>
  <c r="M43" i="8"/>
  <c r="M42" i="8"/>
  <c r="L37" i="8"/>
  <c r="M37" i="8" s="1"/>
  <c r="J37" i="8"/>
  <c r="I37" i="8"/>
  <c r="G37" i="8"/>
  <c r="F37" i="8"/>
  <c r="E37" i="8"/>
  <c r="D37" i="8"/>
  <c r="C37" i="8"/>
  <c r="M35" i="8"/>
  <c r="M34" i="8"/>
  <c r="M33" i="8"/>
  <c r="M32" i="8"/>
  <c r="L28" i="8"/>
  <c r="M28" i="8" s="1"/>
  <c r="J28" i="8"/>
  <c r="G28" i="8"/>
  <c r="F28" i="8"/>
  <c r="E28" i="8"/>
  <c r="D28" i="8"/>
  <c r="C28" i="8"/>
  <c r="M26" i="8"/>
  <c r="M25" i="8"/>
  <c r="M24" i="8"/>
  <c r="M23" i="8"/>
  <c r="M22" i="8"/>
  <c r="I22" i="8"/>
  <c r="I28" i="8" s="1"/>
  <c r="M21" i="8"/>
  <c r="M20" i="8"/>
  <c r="M19" i="8"/>
  <c r="M17" i="8"/>
  <c r="M12" i="8"/>
  <c r="L12" i="8"/>
  <c r="J12" i="8"/>
  <c r="I12" i="8"/>
  <c r="G12" i="8"/>
  <c r="F12" i="8"/>
  <c r="E12" i="8"/>
  <c r="D12" i="8"/>
  <c r="C12" i="8"/>
  <c r="M10" i="8"/>
  <c r="M9" i="8"/>
  <c r="M8" i="8"/>
  <c r="M7" i="8"/>
  <c r="M6" i="8"/>
  <c r="L271" i="7"/>
  <c r="J271" i="7"/>
  <c r="M271" i="7" s="1"/>
  <c r="I271" i="7"/>
  <c r="G271" i="7"/>
  <c r="F271" i="7"/>
  <c r="E271" i="7"/>
  <c r="D271" i="7"/>
  <c r="C271" i="7"/>
  <c r="M268" i="7"/>
  <c r="M265" i="7"/>
  <c r="M264" i="7"/>
  <c r="M263" i="7"/>
  <c r="M262" i="7"/>
  <c r="M261" i="7"/>
  <c r="M260" i="7"/>
  <c r="M258" i="7"/>
  <c r="M256" i="7"/>
  <c r="M255" i="7"/>
  <c r="M254" i="7"/>
  <c r="M253" i="7"/>
  <c r="M251" i="7"/>
  <c r="E251" i="7"/>
  <c r="M250" i="7"/>
  <c r="M249" i="7"/>
  <c r="M248" i="7"/>
  <c r="M247" i="7"/>
  <c r="M246" i="7"/>
  <c r="J240" i="7"/>
  <c r="J242" i="7" s="1"/>
  <c r="I240" i="7"/>
  <c r="G240" i="7"/>
  <c r="F240" i="7"/>
  <c r="E240" i="7"/>
  <c r="D240" i="7"/>
  <c r="C240" i="7"/>
  <c r="C242" i="7" s="1"/>
  <c r="M237" i="7"/>
  <c r="M236" i="7"/>
  <c r="M235" i="7"/>
  <c r="M234" i="7"/>
  <c r="M233" i="7"/>
  <c r="M232" i="7"/>
  <c r="M231" i="7"/>
  <c r="L230" i="7"/>
  <c r="M229" i="7"/>
  <c r="M228" i="7"/>
  <c r="L227" i="7"/>
  <c r="M227" i="7" s="1"/>
  <c r="M226" i="7"/>
  <c r="L225" i="7"/>
  <c r="M225" i="7" s="1"/>
  <c r="L224" i="7"/>
  <c r="M224" i="7" s="1"/>
  <c r="L223" i="7"/>
  <c r="L222" i="7"/>
  <c r="M222" i="7" s="1"/>
  <c r="L220" i="7"/>
  <c r="J220" i="7"/>
  <c r="I220" i="7"/>
  <c r="G220" i="7"/>
  <c r="F220" i="7"/>
  <c r="E220" i="7"/>
  <c r="D220" i="7"/>
  <c r="C220" i="7"/>
  <c r="M218" i="7"/>
  <c r="M216" i="7"/>
  <c r="M215" i="7"/>
  <c r="M214" i="7"/>
  <c r="M213" i="7"/>
  <c r="J209" i="7"/>
  <c r="G209" i="7"/>
  <c r="F209" i="7"/>
  <c r="E209" i="7"/>
  <c r="D209" i="7"/>
  <c r="C209" i="7"/>
  <c r="M207" i="7"/>
  <c r="M206" i="7"/>
  <c r="M205" i="7"/>
  <c r="M204" i="7"/>
  <c r="M202" i="7"/>
  <c r="M201" i="7"/>
  <c r="M200" i="7"/>
  <c r="M199" i="7"/>
  <c r="M198" i="7"/>
  <c r="M197" i="7"/>
  <c r="M196" i="7"/>
  <c r="M195" i="7"/>
  <c r="M193" i="7"/>
  <c r="M192" i="7"/>
  <c r="M191" i="7"/>
  <c r="M190" i="7"/>
  <c r="M189" i="7"/>
  <c r="M185" i="7"/>
  <c r="M184" i="7"/>
  <c r="M183" i="7"/>
  <c r="M182" i="7"/>
  <c r="M181" i="7"/>
  <c r="L180" i="7"/>
  <c r="M180" i="7" s="1"/>
  <c r="I180" i="7"/>
  <c r="M179" i="7"/>
  <c r="L178" i="7"/>
  <c r="M178" i="7" s="1"/>
  <c r="I178" i="7"/>
  <c r="L177" i="7"/>
  <c r="M177" i="7" s="1"/>
  <c r="I177" i="7"/>
  <c r="L176" i="7"/>
  <c r="M176" i="7" s="1"/>
  <c r="I176" i="7"/>
  <c r="L175" i="7"/>
  <c r="M175" i="7" s="1"/>
  <c r="I175" i="7"/>
  <c r="L174" i="7"/>
  <c r="M174" i="7" s="1"/>
  <c r="I174" i="7"/>
  <c r="M173" i="7"/>
  <c r="L172" i="7"/>
  <c r="M172" i="7" s="1"/>
  <c r="I172" i="7"/>
  <c r="I209" i="7" s="1"/>
  <c r="L171" i="7"/>
  <c r="M171" i="7" s="1"/>
  <c r="I171" i="7"/>
  <c r="L170" i="7"/>
  <c r="M170" i="7" s="1"/>
  <c r="I170" i="7"/>
  <c r="M169" i="7"/>
  <c r="L168" i="7"/>
  <c r="G164" i="7"/>
  <c r="J162" i="7"/>
  <c r="I162" i="7"/>
  <c r="G162" i="7"/>
  <c r="F162" i="7"/>
  <c r="E162" i="7"/>
  <c r="D162" i="7"/>
  <c r="C162" i="7"/>
  <c r="M160" i="7"/>
  <c r="M159" i="7"/>
  <c r="M158" i="7"/>
  <c r="L157" i="7"/>
  <c r="M157" i="7" s="1"/>
  <c r="L155" i="7"/>
  <c r="M155" i="7" s="1"/>
  <c r="L154" i="7"/>
  <c r="M150" i="7"/>
  <c r="M149" i="7"/>
  <c r="M148" i="7"/>
  <c r="M147" i="7"/>
  <c r="M145" i="7"/>
  <c r="M144" i="7"/>
  <c r="M143" i="7"/>
  <c r="M142" i="7"/>
  <c r="M141" i="7"/>
  <c r="M140" i="7"/>
  <c r="M139" i="7"/>
  <c r="M138" i="7"/>
  <c r="J136" i="7"/>
  <c r="G136" i="7"/>
  <c r="F136" i="7"/>
  <c r="D136" i="7"/>
  <c r="C136" i="7"/>
  <c r="M133" i="7"/>
  <c r="M132" i="7"/>
  <c r="M131" i="7"/>
  <c r="M130" i="7"/>
  <c r="M128" i="7"/>
  <c r="M127" i="7"/>
  <c r="M126" i="7"/>
  <c r="M124" i="7"/>
  <c r="M123" i="7"/>
  <c r="L122" i="7"/>
  <c r="M122" i="7" s="1"/>
  <c r="M121" i="7"/>
  <c r="M120" i="7"/>
  <c r="E120" i="7"/>
  <c r="E136" i="7" s="1"/>
  <c r="M119" i="7"/>
  <c r="L118" i="7"/>
  <c r="M118" i="7" s="1"/>
  <c r="M117" i="7"/>
  <c r="L115" i="7"/>
  <c r="M115" i="7" s="1"/>
  <c r="L114" i="7"/>
  <c r="M114" i="7" s="1"/>
  <c r="I114" i="7"/>
  <c r="I136" i="7" s="1"/>
  <c r="L113" i="7"/>
  <c r="J111" i="7"/>
  <c r="I111" i="7"/>
  <c r="G111" i="7"/>
  <c r="E111" i="7"/>
  <c r="D111" i="7"/>
  <c r="C111" i="7"/>
  <c r="M108" i="7"/>
  <c r="M107" i="7"/>
  <c r="M106" i="7"/>
  <c r="M105" i="7"/>
  <c r="M104" i="7"/>
  <c r="M103" i="7"/>
  <c r="M102" i="7"/>
  <c r="M101" i="7"/>
  <c r="M100" i="7"/>
  <c r="F100" i="7"/>
  <c r="F111" i="7" s="1"/>
  <c r="M99" i="7"/>
  <c r="M98" i="7"/>
  <c r="M97" i="7"/>
  <c r="M96" i="7"/>
  <c r="M95" i="7"/>
  <c r="M94" i="7"/>
  <c r="M93" i="7"/>
  <c r="L92" i="7"/>
  <c r="M92" i="7" s="1"/>
  <c r="L91" i="7"/>
  <c r="M91" i="7" s="1"/>
  <c r="L90" i="7"/>
  <c r="M90" i="7" s="1"/>
  <c r="I90" i="7"/>
  <c r="L89" i="7"/>
  <c r="M89" i="7" s="1"/>
  <c r="L88" i="7"/>
  <c r="M88" i="7" s="1"/>
  <c r="J86" i="7"/>
  <c r="G86" i="7"/>
  <c r="F86" i="7"/>
  <c r="E86" i="7"/>
  <c r="D86" i="7"/>
  <c r="M84" i="7"/>
  <c r="M83" i="7"/>
  <c r="M82" i="7"/>
  <c r="M81" i="7"/>
  <c r="M80" i="7"/>
  <c r="M79" i="7"/>
  <c r="M78" i="7"/>
  <c r="M77" i="7"/>
  <c r="M76" i="7"/>
  <c r="M75" i="7"/>
  <c r="M74" i="7"/>
  <c r="C74" i="7"/>
  <c r="C86" i="7" s="1"/>
  <c r="M73" i="7"/>
  <c r="M72" i="7"/>
  <c r="M71" i="7"/>
  <c r="M70" i="7"/>
  <c r="L69" i="7"/>
  <c r="L86" i="7" s="1"/>
  <c r="M86" i="7" s="1"/>
  <c r="I69" i="7"/>
  <c r="I86" i="7" s="1"/>
  <c r="M68" i="7"/>
  <c r="L61" i="7"/>
  <c r="J61" i="7"/>
  <c r="I61" i="7"/>
  <c r="G61" i="7"/>
  <c r="F61" i="7"/>
  <c r="E61" i="7"/>
  <c r="D61" i="7"/>
  <c r="C61" i="7"/>
  <c r="M59" i="7"/>
  <c r="M58" i="7"/>
  <c r="M57" i="7"/>
  <c r="M55" i="7"/>
  <c r="L51" i="7"/>
  <c r="J51" i="7"/>
  <c r="I51" i="7"/>
  <c r="G51" i="7"/>
  <c r="F51" i="7"/>
  <c r="E51" i="7"/>
  <c r="D51" i="7"/>
  <c r="C51" i="7"/>
  <c r="M49" i="7"/>
  <c r="L46" i="7"/>
  <c r="J46" i="7"/>
  <c r="I46" i="7"/>
  <c r="G46" i="7"/>
  <c r="F46" i="7"/>
  <c r="E46" i="7"/>
  <c r="D46" i="7"/>
  <c r="C46" i="7"/>
  <c r="M44" i="7"/>
  <c r="M43" i="7"/>
  <c r="M42" i="7"/>
  <c r="L37" i="7"/>
  <c r="J37" i="7"/>
  <c r="I37" i="7"/>
  <c r="G37" i="7"/>
  <c r="F37" i="7"/>
  <c r="E37" i="7"/>
  <c r="D37" i="7"/>
  <c r="C37" i="7"/>
  <c r="M35" i="7"/>
  <c r="M34" i="7"/>
  <c r="M33" i="7"/>
  <c r="M32" i="7"/>
  <c r="L28" i="7"/>
  <c r="J28" i="7"/>
  <c r="M28" i="7" s="1"/>
  <c r="G28" i="7"/>
  <c r="F28" i="7"/>
  <c r="E28" i="7"/>
  <c r="D28" i="7"/>
  <c r="C28" i="7"/>
  <c r="M26" i="7"/>
  <c r="M25" i="7"/>
  <c r="M24" i="7"/>
  <c r="M23" i="7"/>
  <c r="M22" i="7"/>
  <c r="I22" i="7"/>
  <c r="I28" i="7" s="1"/>
  <c r="M21" i="7"/>
  <c r="M20" i="7"/>
  <c r="M19" i="7"/>
  <c r="M17" i="7"/>
  <c r="L12" i="7"/>
  <c r="J12" i="7"/>
  <c r="I12" i="7"/>
  <c r="G12" i="7"/>
  <c r="F12" i="7"/>
  <c r="E12" i="7"/>
  <c r="D12" i="7"/>
  <c r="C12" i="7"/>
  <c r="M10" i="7"/>
  <c r="M9" i="7"/>
  <c r="M8" i="7"/>
  <c r="M7" i="7"/>
  <c r="M6" i="7"/>
  <c r="L271" i="6"/>
  <c r="M271" i="6" s="1"/>
  <c r="J271" i="6"/>
  <c r="I271" i="6"/>
  <c r="G271" i="6"/>
  <c r="F271" i="6"/>
  <c r="E271" i="6"/>
  <c r="D271" i="6"/>
  <c r="C271" i="6"/>
  <c r="M268" i="6"/>
  <c r="M265" i="6"/>
  <c r="M264" i="6"/>
  <c r="M263" i="6"/>
  <c r="M262" i="6"/>
  <c r="M261" i="6"/>
  <c r="M260" i="6"/>
  <c r="M258" i="6"/>
  <c r="M256" i="6"/>
  <c r="M255" i="6"/>
  <c r="M254" i="6"/>
  <c r="M253" i="6"/>
  <c r="M251" i="6"/>
  <c r="E251" i="6"/>
  <c r="M250" i="6"/>
  <c r="M249" i="6"/>
  <c r="M248" i="6"/>
  <c r="M247" i="6"/>
  <c r="M246" i="6"/>
  <c r="G242" i="6"/>
  <c r="J240" i="6"/>
  <c r="I240" i="6"/>
  <c r="I242" i="6" s="1"/>
  <c r="G240" i="6"/>
  <c r="F240" i="6"/>
  <c r="E240" i="6"/>
  <c r="D240" i="6"/>
  <c r="C240" i="6"/>
  <c r="C242" i="6" s="1"/>
  <c r="M237" i="6"/>
  <c r="M236" i="6"/>
  <c r="M235" i="6"/>
  <c r="M234" i="6"/>
  <c r="M233" i="6"/>
  <c r="M232" i="6"/>
  <c r="M231" i="6"/>
  <c r="L230" i="6"/>
  <c r="M229" i="6"/>
  <c r="M228" i="6"/>
  <c r="L227" i="6"/>
  <c r="M227" i="6" s="1"/>
  <c r="M226" i="6"/>
  <c r="L225" i="6"/>
  <c r="M225" i="6" s="1"/>
  <c r="L224" i="6"/>
  <c r="M224" i="6" s="1"/>
  <c r="L223" i="6"/>
  <c r="M223" i="6" s="1"/>
  <c r="L222" i="6"/>
  <c r="M222" i="6" s="1"/>
  <c r="L220" i="6"/>
  <c r="J220" i="6"/>
  <c r="I220" i="6"/>
  <c r="G220" i="6"/>
  <c r="F220" i="6"/>
  <c r="E220" i="6"/>
  <c r="D220" i="6"/>
  <c r="C220" i="6"/>
  <c r="M218" i="6"/>
  <c r="M216" i="6"/>
  <c r="M215" i="6"/>
  <c r="M214" i="6"/>
  <c r="M213" i="6"/>
  <c r="J209" i="6"/>
  <c r="G209" i="6"/>
  <c r="F209" i="6"/>
  <c r="E209" i="6"/>
  <c r="D209" i="6"/>
  <c r="C209" i="6"/>
  <c r="M207" i="6"/>
  <c r="M206" i="6"/>
  <c r="M205" i="6"/>
  <c r="M204" i="6"/>
  <c r="M202" i="6"/>
  <c r="M201" i="6"/>
  <c r="M200" i="6"/>
  <c r="M199" i="6"/>
  <c r="M198" i="6"/>
  <c r="M197" i="6"/>
  <c r="M196" i="6"/>
  <c r="M195" i="6"/>
  <c r="M193" i="6"/>
  <c r="M192" i="6"/>
  <c r="M191" i="6"/>
  <c r="M190" i="6"/>
  <c r="M189" i="6"/>
  <c r="M185" i="6"/>
  <c r="M184" i="6"/>
  <c r="M183" i="6"/>
  <c r="M182" i="6"/>
  <c r="M181" i="6"/>
  <c r="L180" i="6"/>
  <c r="M180" i="6" s="1"/>
  <c r="I180" i="6"/>
  <c r="M179" i="6"/>
  <c r="L178" i="6"/>
  <c r="M178" i="6" s="1"/>
  <c r="I178" i="6"/>
  <c r="L177" i="6"/>
  <c r="M177" i="6" s="1"/>
  <c r="I177" i="6"/>
  <c r="L176" i="6"/>
  <c r="M176" i="6" s="1"/>
  <c r="I176" i="6"/>
  <c r="L175" i="6"/>
  <c r="M175" i="6" s="1"/>
  <c r="I175" i="6"/>
  <c r="L174" i="6"/>
  <c r="M174" i="6" s="1"/>
  <c r="I174" i="6"/>
  <c r="M173" i="6"/>
  <c r="L172" i="6"/>
  <c r="M172" i="6" s="1"/>
  <c r="I172" i="6"/>
  <c r="L171" i="6"/>
  <c r="M171" i="6" s="1"/>
  <c r="I171" i="6"/>
  <c r="L170" i="6"/>
  <c r="M170" i="6" s="1"/>
  <c r="I170" i="6"/>
  <c r="I209" i="6" s="1"/>
  <c r="M169" i="6"/>
  <c r="L168" i="6"/>
  <c r="J162" i="6"/>
  <c r="J164" i="6" s="1"/>
  <c r="I162" i="6"/>
  <c r="G162" i="6"/>
  <c r="F162" i="6"/>
  <c r="E162" i="6"/>
  <c r="D162" i="6"/>
  <c r="C162" i="6"/>
  <c r="M160" i="6"/>
  <c r="M159" i="6"/>
  <c r="M158" i="6"/>
  <c r="L157" i="6"/>
  <c r="M157" i="6" s="1"/>
  <c r="L155" i="6"/>
  <c r="M155" i="6" s="1"/>
  <c r="L154" i="6"/>
  <c r="J152" i="6"/>
  <c r="I152" i="6"/>
  <c r="G152" i="6"/>
  <c r="G164" i="6" s="1"/>
  <c r="F152" i="6"/>
  <c r="E152" i="6"/>
  <c r="D152" i="6"/>
  <c r="C152" i="6"/>
  <c r="M150" i="6"/>
  <c r="M149" i="6"/>
  <c r="M148" i="6"/>
  <c r="M147" i="6"/>
  <c r="M145" i="6"/>
  <c r="M144" i="6"/>
  <c r="L143" i="6"/>
  <c r="M143" i="6" s="1"/>
  <c r="M142" i="6"/>
  <c r="L141" i="6"/>
  <c r="M141" i="6" s="1"/>
  <c r="L140" i="6"/>
  <c r="M140" i="6" s="1"/>
  <c r="L139" i="6"/>
  <c r="M139" i="6" s="1"/>
  <c r="L138" i="6"/>
  <c r="M138" i="6" s="1"/>
  <c r="M133" i="6"/>
  <c r="M132" i="6"/>
  <c r="M131" i="6"/>
  <c r="M130" i="6"/>
  <c r="M128" i="6"/>
  <c r="M127" i="6"/>
  <c r="M126" i="6"/>
  <c r="M124" i="6"/>
  <c r="M123" i="6"/>
  <c r="M122" i="6"/>
  <c r="M121" i="6"/>
  <c r="M120" i="6"/>
  <c r="M119" i="6"/>
  <c r="M118" i="6"/>
  <c r="M117" i="6"/>
  <c r="M115" i="6"/>
  <c r="M114" i="6"/>
  <c r="J111" i="6"/>
  <c r="I111" i="6"/>
  <c r="G111" i="6"/>
  <c r="F111" i="6"/>
  <c r="E111" i="6"/>
  <c r="D111" i="6"/>
  <c r="C111" i="6"/>
  <c r="M108" i="6"/>
  <c r="M107" i="6"/>
  <c r="M106" i="6"/>
  <c r="M105" i="6"/>
  <c r="M104" i="6"/>
  <c r="M103" i="6"/>
  <c r="M102" i="6"/>
  <c r="M101" i="6"/>
  <c r="M100" i="6"/>
  <c r="F100" i="6"/>
  <c r="M99" i="6"/>
  <c r="M98" i="6"/>
  <c r="M97" i="6"/>
  <c r="M96" i="6"/>
  <c r="M95" i="6"/>
  <c r="M94" i="6"/>
  <c r="M93" i="6"/>
  <c r="L92" i="6"/>
  <c r="M92" i="6" s="1"/>
  <c r="L91" i="6"/>
  <c r="M91" i="6" s="1"/>
  <c r="L90" i="6"/>
  <c r="M90" i="6" s="1"/>
  <c r="I90" i="6"/>
  <c r="L89" i="6"/>
  <c r="M89" i="6" s="1"/>
  <c r="L88" i="6"/>
  <c r="M88" i="6" s="1"/>
  <c r="J86" i="6"/>
  <c r="G86" i="6"/>
  <c r="F86" i="6"/>
  <c r="E86" i="6"/>
  <c r="D86" i="6"/>
  <c r="M84" i="6"/>
  <c r="M83" i="6"/>
  <c r="M82" i="6"/>
  <c r="M81" i="6"/>
  <c r="M80" i="6"/>
  <c r="M79" i="6"/>
  <c r="M78" i="6"/>
  <c r="M77" i="6"/>
  <c r="M76" i="6"/>
  <c r="M75" i="6"/>
  <c r="M74" i="6"/>
  <c r="C74" i="6"/>
  <c r="C86" i="6" s="1"/>
  <c r="M73" i="6"/>
  <c r="M72" i="6"/>
  <c r="M71" i="6"/>
  <c r="M70" i="6"/>
  <c r="L69" i="6"/>
  <c r="L86" i="6" s="1"/>
  <c r="I69" i="6"/>
  <c r="I86" i="6" s="1"/>
  <c r="M68" i="6"/>
  <c r="L61" i="6"/>
  <c r="J61" i="6"/>
  <c r="I61" i="6"/>
  <c r="G61" i="6"/>
  <c r="F61" i="6"/>
  <c r="E61" i="6"/>
  <c r="D61" i="6"/>
  <c r="C61" i="6"/>
  <c r="M59" i="6"/>
  <c r="M58" i="6"/>
  <c r="M57" i="6"/>
  <c r="M55" i="6"/>
  <c r="L51" i="6"/>
  <c r="J51" i="6"/>
  <c r="I51" i="6"/>
  <c r="G51" i="6"/>
  <c r="F51" i="6"/>
  <c r="E51" i="6"/>
  <c r="D51" i="6"/>
  <c r="C51" i="6"/>
  <c r="M49" i="6"/>
  <c r="L46" i="6"/>
  <c r="M46" i="6" s="1"/>
  <c r="J46" i="6"/>
  <c r="I46" i="6"/>
  <c r="I63" i="6" s="1" a="1"/>
  <c r="I63" i="6" s="1"/>
  <c r="G46" i="6"/>
  <c r="F46" i="6"/>
  <c r="E46" i="6"/>
  <c r="D46" i="6"/>
  <c r="C46" i="6"/>
  <c r="C63" i="6" s="1" a="1"/>
  <c r="C63" i="6" s="1"/>
  <c r="M44" i="6"/>
  <c r="M43" i="6"/>
  <c r="M42" i="6"/>
  <c r="L37" i="6"/>
  <c r="J37" i="6"/>
  <c r="I37" i="6"/>
  <c r="G37" i="6"/>
  <c r="F37" i="6"/>
  <c r="E37" i="6"/>
  <c r="D37" i="6"/>
  <c r="C37" i="6"/>
  <c r="M35" i="6"/>
  <c r="M34" i="6"/>
  <c r="M33" i="6"/>
  <c r="M32" i="6"/>
  <c r="L28" i="6"/>
  <c r="J28" i="6"/>
  <c r="G28" i="6"/>
  <c r="F28" i="6"/>
  <c r="E28" i="6"/>
  <c r="D28" i="6"/>
  <c r="C28" i="6"/>
  <c r="M26" i="6"/>
  <c r="M25" i="6"/>
  <c r="M24" i="6"/>
  <c r="M23" i="6"/>
  <c r="M22" i="6"/>
  <c r="I22" i="6"/>
  <c r="I28" i="6" s="1"/>
  <c r="M21" i="6"/>
  <c r="M20" i="6"/>
  <c r="M19" i="6"/>
  <c r="M17" i="6"/>
  <c r="L12" i="6"/>
  <c r="J12" i="6"/>
  <c r="I12" i="6"/>
  <c r="G12" i="6"/>
  <c r="F12" i="6"/>
  <c r="E12" i="6"/>
  <c r="D12" i="6"/>
  <c r="C12" i="6"/>
  <c r="M10" i="6"/>
  <c r="M9" i="6"/>
  <c r="M8" i="6"/>
  <c r="M7" i="6"/>
  <c r="M6" i="6"/>
  <c r="M271" i="5"/>
  <c r="L271" i="5"/>
  <c r="J271" i="5"/>
  <c r="I271" i="5"/>
  <c r="G271" i="5"/>
  <c r="F271" i="5"/>
  <c r="D271" i="5"/>
  <c r="C271" i="5"/>
  <c r="M268" i="5"/>
  <c r="M265" i="5"/>
  <c r="M264" i="5"/>
  <c r="M263" i="5"/>
  <c r="M262" i="5"/>
  <c r="M261" i="5"/>
  <c r="M260" i="5"/>
  <c r="M258" i="5"/>
  <c r="M256" i="5"/>
  <c r="M255" i="5"/>
  <c r="M254" i="5"/>
  <c r="M253" i="5"/>
  <c r="M251" i="5"/>
  <c r="E251" i="5"/>
  <c r="E271" i="5" s="1"/>
  <c r="M250" i="5"/>
  <c r="M249" i="5"/>
  <c r="M248" i="5"/>
  <c r="M247" i="5"/>
  <c r="M246" i="5"/>
  <c r="G242" i="5"/>
  <c r="E242" i="5"/>
  <c r="J242" i="5"/>
  <c r="I242" i="5"/>
  <c r="F242" i="5"/>
  <c r="D242" i="5"/>
  <c r="M237" i="5"/>
  <c r="M236" i="5"/>
  <c r="M235" i="5"/>
  <c r="M234" i="5"/>
  <c r="M233" i="5"/>
  <c r="M232" i="5"/>
  <c r="M231" i="5"/>
  <c r="M229" i="5"/>
  <c r="M228" i="5"/>
  <c r="M227" i="5"/>
  <c r="M226" i="5"/>
  <c r="M225" i="5"/>
  <c r="M224" i="5"/>
  <c r="M223" i="5"/>
  <c r="M220" i="5"/>
  <c r="C242" i="5"/>
  <c r="M218" i="5"/>
  <c r="M216" i="5"/>
  <c r="M215" i="5"/>
  <c r="M214" i="5"/>
  <c r="M213" i="5"/>
  <c r="J209" i="5"/>
  <c r="G209" i="5"/>
  <c r="F209" i="5"/>
  <c r="E209" i="5"/>
  <c r="D209" i="5"/>
  <c r="C209" i="5"/>
  <c r="M207" i="5"/>
  <c r="M206" i="5"/>
  <c r="M205" i="5"/>
  <c r="M204" i="5"/>
  <c r="M202" i="5"/>
  <c r="M201" i="5"/>
  <c r="M200" i="5"/>
  <c r="M199" i="5"/>
  <c r="M198" i="5"/>
  <c r="M197" i="5"/>
  <c r="M196" i="5"/>
  <c r="M195" i="5"/>
  <c r="M193" i="5"/>
  <c r="M192" i="5"/>
  <c r="M191" i="5"/>
  <c r="M190" i="5"/>
  <c r="M189" i="5"/>
  <c r="M185" i="5"/>
  <c r="M184" i="5"/>
  <c r="M183" i="5"/>
  <c r="M182" i="5"/>
  <c r="M181" i="5"/>
  <c r="L180" i="5"/>
  <c r="M180" i="5" s="1"/>
  <c r="I180" i="5"/>
  <c r="M179" i="5"/>
  <c r="L178" i="5"/>
  <c r="M178" i="5" s="1"/>
  <c r="I178" i="5"/>
  <c r="L177" i="5"/>
  <c r="M177" i="5" s="1"/>
  <c r="I177" i="5"/>
  <c r="L176" i="5"/>
  <c r="M176" i="5" s="1"/>
  <c r="I176" i="5"/>
  <c r="L175" i="5"/>
  <c r="M175" i="5" s="1"/>
  <c r="I175" i="5"/>
  <c r="L174" i="5"/>
  <c r="M174" i="5" s="1"/>
  <c r="I174" i="5"/>
  <c r="M173" i="5"/>
  <c r="L172" i="5"/>
  <c r="M172" i="5" s="1"/>
  <c r="I172" i="5"/>
  <c r="L171" i="5"/>
  <c r="M171" i="5" s="1"/>
  <c r="I171" i="5"/>
  <c r="L170" i="5"/>
  <c r="M170" i="5" s="1"/>
  <c r="I170" i="5"/>
  <c r="I209" i="5" s="1"/>
  <c r="M169" i="5"/>
  <c r="L168" i="5"/>
  <c r="M168" i="5" s="1"/>
  <c r="G164" i="5"/>
  <c r="J162" i="5"/>
  <c r="J164" i="5" s="1"/>
  <c r="I162" i="5"/>
  <c r="G162" i="5"/>
  <c r="F162" i="5"/>
  <c r="E162" i="5"/>
  <c r="D162" i="5"/>
  <c r="C162" i="5"/>
  <c r="M160" i="5"/>
  <c r="M159" i="5"/>
  <c r="M158" i="5"/>
  <c r="L157" i="5"/>
  <c r="M157" i="5" s="1"/>
  <c r="L155" i="5"/>
  <c r="L154" i="5"/>
  <c r="M154" i="5" s="1"/>
  <c r="J152" i="5"/>
  <c r="I152" i="5"/>
  <c r="G152" i="5"/>
  <c r="F152" i="5"/>
  <c r="E152" i="5"/>
  <c r="D152" i="5"/>
  <c r="C152" i="5"/>
  <c r="M150" i="5"/>
  <c r="M149" i="5"/>
  <c r="M148" i="5"/>
  <c r="M147" i="5"/>
  <c r="M145" i="5"/>
  <c r="M144" i="5"/>
  <c r="L143" i="5"/>
  <c r="M143" i="5" s="1"/>
  <c r="M142" i="5"/>
  <c r="L141" i="5"/>
  <c r="M141" i="5" s="1"/>
  <c r="L140" i="5"/>
  <c r="M140" i="5" s="1"/>
  <c r="L139" i="5"/>
  <c r="M139" i="5" s="1"/>
  <c r="L138" i="5"/>
  <c r="J136" i="5"/>
  <c r="G136" i="5"/>
  <c r="F136" i="5"/>
  <c r="D136" i="5"/>
  <c r="C136" i="5"/>
  <c r="M133" i="5"/>
  <c r="M132" i="5"/>
  <c r="M131" i="5"/>
  <c r="M130" i="5"/>
  <c r="M128" i="5"/>
  <c r="M127" i="5"/>
  <c r="M126" i="5"/>
  <c r="M124" i="5"/>
  <c r="M123" i="5"/>
  <c r="L122" i="5"/>
  <c r="M122" i="5" s="1"/>
  <c r="M121" i="5"/>
  <c r="M120" i="5"/>
  <c r="E120" i="5"/>
  <c r="E136" i="5" s="1"/>
  <c r="M119" i="5"/>
  <c r="L118" i="5"/>
  <c r="M118" i="5" s="1"/>
  <c r="M117" i="5"/>
  <c r="L115" i="5"/>
  <c r="M115" i="5" s="1"/>
  <c r="L114" i="5"/>
  <c r="M114" i="5" s="1"/>
  <c r="I114" i="5"/>
  <c r="I136" i="5" s="1"/>
  <c r="L113" i="5"/>
  <c r="M113" i="5" s="1"/>
  <c r="J111" i="5"/>
  <c r="G111" i="5"/>
  <c r="F111" i="5"/>
  <c r="E111" i="5"/>
  <c r="D111" i="5"/>
  <c r="C111" i="5"/>
  <c r="M108" i="5"/>
  <c r="M107" i="5"/>
  <c r="M106" i="5"/>
  <c r="M105" i="5"/>
  <c r="M104" i="5"/>
  <c r="M103" i="5"/>
  <c r="M102" i="5"/>
  <c r="M101" i="5"/>
  <c r="M100" i="5"/>
  <c r="F100" i="5"/>
  <c r="M99" i="5"/>
  <c r="M98" i="5"/>
  <c r="M97" i="5"/>
  <c r="M96" i="5"/>
  <c r="M95" i="5"/>
  <c r="M94" i="5"/>
  <c r="M93" i="5"/>
  <c r="L92" i="5"/>
  <c r="M92" i="5" s="1"/>
  <c r="L91" i="5"/>
  <c r="M91" i="5" s="1"/>
  <c r="L90" i="5"/>
  <c r="M90" i="5" s="1"/>
  <c r="I90" i="5"/>
  <c r="I111" i="5" s="1"/>
  <c r="L89" i="5"/>
  <c r="M89" i="5" s="1"/>
  <c r="L88" i="5"/>
  <c r="M88" i="5" s="1"/>
  <c r="J86" i="5"/>
  <c r="G86" i="5"/>
  <c r="F86" i="5"/>
  <c r="E86" i="5"/>
  <c r="D86" i="5"/>
  <c r="M84" i="5"/>
  <c r="M83" i="5"/>
  <c r="M82" i="5"/>
  <c r="M81" i="5"/>
  <c r="M80" i="5"/>
  <c r="M79" i="5"/>
  <c r="M78" i="5"/>
  <c r="M77" i="5"/>
  <c r="M76" i="5"/>
  <c r="M75" i="5"/>
  <c r="M74" i="5"/>
  <c r="C74" i="5"/>
  <c r="C86" i="5" s="1"/>
  <c r="M73" i="5"/>
  <c r="M72" i="5"/>
  <c r="M71" i="5"/>
  <c r="M70" i="5"/>
  <c r="L69" i="5"/>
  <c r="L86" i="5" s="1"/>
  <c r="M86" i="5" s="1"/>
  <c r="I69" i="5"/>
  <c r="I86" i="5" s="1"/>
  <c r="M68" i="5"/>
  <c r="L61" i="5"/>
  <c r="J61" i="5"/>
  <c r="I61" i="5"/>
  <c r="G61" i="5"/>
  <c r="F61" i="5"/>
  <c r="E61" i="5"/>
  <c r="D61" i="5"/>
  <c r="C61" i="5"/>
  <c r="M59" i="5"/>
  <c r="M58" i="5"/>
  <c r="M57" i="5"/>
  <c r="M55" i="5"/>
  <c r="L51" i="5"/>
  <c r="J51" i="5"/>
  <c r="I51" i="5"/>
  <c r="G51" i="5"/>
  <c r="F51" i="5"/>
  <c r="E51" i="5"/>
  <c r="E63" i="5" s="1" a="1"/>
  <c r="E63" i="5" s="1"/>
  <c r="D51" i="5"/>
  <c r="C51" i="5"/>
  <c r="M49" i="5"/>
  <c r="L46" i="5"/>
  <c r="J46" i="5"/>
  <c r="I46" i="5"/>
  <c r="I63" i="5" s="1" a="1"/>
  <c r="I63" i="5" s="1"/>
  <c r="G46" i="5"/>
  <c r="F46" i="5"/>
  <c r="E46" i="5"/>
  <c r="D46" i="5"/>
  <c r="C46" i="5"/>
  <c r="M44" i="5"/>
  <c r="M43" i="5"/>
  <c r="M42" i="5"/>
  <c r="L37" i="5"/>
  <c r="J37" i="5"/>
  <c r="M37" i="5" s="1"/>
  <c r="I37" i="5"/>
  <c r="G37" i="5"/>
  <c r="F37" i="5"/>
  <c r="E37" i="5"/>
  <c r="D37" i="5"/>
  <c r="C37" i="5"/>
  <c r="M35" i="5"/>
  <c r="M34" i="5"/>
  <c r="M33" i="5"/>
  <c r="M32" i="5"/>
  <c r="L28" i="5"/>
  <c r="J28" i="5"/>
  <c r="G28" i="5"/>
  <c r="F28" i="5"/>
  <c r="E28" i="5"/>
  <c r="D28" i="5"/>
  <c r="C28" i="5"/>
  <c r="M26" i="5"/>
  <c r="M25" i="5"/>
  <c r="M24" i="5"/>
  <c r="M23" i="5"/>
  <c r="M22" i="5"/>
  <c r="I22" i="5"/>
  <c r="I28" i="5" s="1"/>
  <c r="M21" i="5"/>
  <c r="M20" i="5"/>
  <c r="M19" i="5"/>
  <c r="M17" i="5"/>
  <c r="L12" i="5"/>
  <c r="M12" i="5" s="1"/>
  <c r="J12" i="5"/>
  <c r="I12" i="5"/>
  <c r="G12" i="5"/>
  <c r="F12" i="5"/>
  <c r="E12" i="5"/>
  <c r="D12" i="5"/>
  <c r="C12" i="5"/>
  <c r="M10" i="5"/>
  <c r="M9" i="5"/>
  <c r="M8" i="5"/>
  <c r="M7" i="5"/>
  <c r="M6" i="5"/>
  <c r="L271" i="4"/>
  <c r="J271" i="4"/>
  <c r="I271" i="4"/>
  <c r="G271" i="4"/>
  <c r="F271" i="4"/>
  <c r="E271" i="4"/>
  <c r="D271" i="4"/>
  <c r="C271" i="4"/>
  <c r="M268" i="4"/>
  <c r="M265" i="4"/>
  <c r="M264" i="4"/>
  <c r="M263" i="4"/>
  <c r="M262" i="4"/>
  <c r="M261" i="4"/>
  <c r="M260" i="4"/>
  <c r="M258" i="4"/>
  <c r="M256" i="4"/>
  <c r="M255" i="4"/>
  <c r="M254" i="4"/>
  <c r="M253" i="4"/>
  <c r="M251" i="4"/>
  <c r="E251" i="4"/>
  <c r="M250" i="4"/>
  <c r="M249" i="4"/>
  <c r="M248" i="4"/>
  <c r="M247" i="4"/>
  <c r="M246" i="4"/>
  <c r="J240" i="4"/>
  <c r="J242" i="4" s="1"/>
  <c r="I240" i="4"/>
  <c r="G240" i="4"/>
  <c r="F240" i="4"/>
  <c r="E240" i="4"/>
  <c r="E242" i="4" s="1"/>
  <c r="D240" i="4"/>
  <c r="C240" i="4"/>
  <c r="C242" i="4" s="1"/>
  <c r="M237" i="4"/>
  <c r="M236" i="4"/>
  <c r="M235" i="4"/>
  <c r="M234" i="4"/>
  <c r="M233" i="4"/>
  <c r="M232" i="4"/>
  <c r="M231" i="4"/>
  <c r="L230" i="4"/>
  <c r="M229" i="4"/>
  <c r="M228" i="4"/>
  <c r="L227" i="4"/>
  <c r="M227" i="4" s="1"/>
  <c r="M226" i="4"/>
  <c r="L225" i="4"/>
  <c r="M225" i="4" s="1"/>
  <c r="L224" i="4"/>
  <c r="M224" i="4" s="1"/>
  <c r="L223" i="4"/>
  <c r="M223" i="4" s="1"/>
  <c r="L222" i="4"/>
  <c r="M222" i="4" s="1"/>
  <c r="L220" i="4"/>
  <c r="M220" i="4" s="1"/>
  <c r="J220" i="4"/>
  <c r="I220" i="4"/>
  <c r="G220" i="4"/>
  <c r="F220" i="4"/>
  <c r="E220" i="4"/>
  <c r="D220" i="4"/>
  <c r="C220" i="4"/>
  <c r="M218" i="4"/>
  <c r="M216" i="4"/>
  <c r="M215" i="4"/>
  <c r="M214" i="4"/>
  <c r="M213" i="4"/>
  <c r="J162" i="4"/>
  <c r="I162" i="4"/>
  <c r="G162" i="4"/>
  <c r="G164" i="4" s="1"/>
  <c r="F162" i="4"/>
  <c r="E162" i="4"/>
  <c r="D162" i="4"/>
  <c r="D164" i="4" s="1"/>
  <c r="C162" i="4"/>
  <c r="C164" i="4" s="1"/>
  <c r="M160" i="4"/>
  <c r="M159" i="4"/>
  <c r="M158" i="4"/>
  <c r="L157" i="4"/>
  <c r="M157" i="4" s="1"/>
  <c r="L155" i="4"/>
  <c r="M155" i="4" s="1"/>
  <c r="L154" i="4"/>
  <c r="J152" i="4"/>
  <c r="I152" i="4"/>
  <c r="G152" i="4"/>
  <c r="F152" i="4"/>
  <c r="E152" i="4"/>
  <c r="D152" i="4"/>
  <c r="C152" i="4"/>
  <c r="M150" i="4"/>
  <c r="M149" i="4"/>
  <c r="M148" i="4"/>
  <c r="M147" i="4"/>
  <c r="M145" i="4"/>
  <c r="M144" i="4"/>
  <c r="L143" i="4"/>
  <c r="M143" i="4" s="1"/>
  <c r="M142" i="4"/>
  <c r="L141" i="4"/>
  <c r="M141" i="4" s="1"/>
  <c r="L140" i="4"/>
  <c r="M140" i="4" s="1"/>
  <c r="L139" i="4"/>
  <c r="M139" i="4" s="1"/>
  <c r="L138" i="4"/>
  <c r="M138" i="4" s="1"/>
  <c r="J136" i="4"/>
  <c r="J164" i="4" s="1"/>
  <c r="G136" i="4"/>
  <c r="F136" i="4"/>
  <c r="D136" i="4"/>
  <c r="C136" i="4"/>
  <c r="M133" i="4"/>
  <c r="M132" i="4"/>
  <c r="M131" i="4"/>
  <c r="M130" i="4"/>
  <c r="M128" i="4"/>
  <c r="M127" i="4"/>
  <c r="M126" i="4"/>
  <c r="M124" i="4"/>
  <c r="M123" i="4"/>
  <c r="L122" i="4"/>
  <c r="M122" i="4" s="1"/>
  <c r="M121" i="4"/>
  <c r="M120" i="4"/>
  <c r="E120" i="4"/>
  <c r="E136" i="4" s="1"/>
  <c r="M119" i="4"/>
  <c r="L118" i="4"/>
  <c r="M118" i="4" s="1"/>
  <c r="M117" i="4"/>
  <c r="L115" i="4"/>
  <c r="M115" i="4" s="1"/>
  <c r="L114" i="4"/>
  <c r="M114" i="4" s="1"/>
  <c r="I114" i="4"/>
  <c r="I136" i="4" s="1"/>
  <c r="L113" i="4"/>
  <c r="J111" i="4"/>
  <c r="G111" i="4"/>
  <c r="E111" i="4"/>
  <c r="D111" i="4"/>
  <c r="C111" i="4"/>
  <c r="M108" i="4"/>
  <c r="M107" i="4"/>
  <c r="M106" i="4"/>
  <c r="M105" i="4"/>
  <c r="M104" i="4"/>
  <c r="M103" i="4"/>
  <c r="M102" i="4"/>
  <c r="M101" i="4"/>
  <c r="M100" i="4"/>
  <c r="F100" i="4"/>
  <c r="F111" i="4" s="1"/>
  <c r="M99" i="4"/>
  <c r="M98" i="4"/>
  <c r="M97" i="4"/>
  <c r="M96" i="4"/>
  <c r="M95" i="4"/>
  <c r="M94" i="4"/>
  <c r="M93" i="4"/>
  <c r="L92" i="4"/>
  <c r="M92" i="4" s="1"/>
  <c r="L91" i="4"/>
  <c r="M91" i="4" s="1"/>
  <c r="L90" i="4"/>
  <c r="M90" i="4" s="1"/>
  <c r="I90" i="4"/>
  <c r="I111" i="4" s="1"/>
  <c r="L89" i="4"/>
  <c r="M89" i="4" s="1"/>
  <c r="L88" i="4"/>
  <c r="M88" i="4" s="1"/>
  <c r="J86" i="4"/>
  <c r="G86" i="4"/>
  <c r="F86" i="4"/>
  <c r="E86" i="4"/>
  <c r="D86" i="4"/>
  <c r="M84" i="4"/>
  <c r="M83" i="4"/>
  <c r="M82" i="4"/>
  <c r="M81" i="4"/>
  <c r="M80" i="4"/>
  <c r="M79" i="4"/>
  <c r="M78" i="4"/>
  <c r="M77" i="4"/>
  <c r="M76" i="4"/>
  <c r="M75" i="4"/>
  <c r="M74" i="4"/>
  <c r="C74" i="4"/>
  <c r="C86" i="4" s="1"/>
  <c r="M73" i="4"/>
  <c r="M72" i="4"/>
  <c r="M71" i="4"/>
  <c r="M70" i="4"/>
  <c r="L69" i="4"/>
  <c r="L86" i="4" s="1"/>
  <c r="M86" i="4" s="1"/>
  <c r="I69" i="4"/>
  <c r="I86" i="4" s="1"/>
  <c r="M68" i="4"/>
  <c r="L61" i="4"/>
  <c r="M61" i="4" s="1"/>
  <c r="J61" i="4"/>
  <c r="I61" i="4"/>
  <c r="G61" i="4"/>
  <c r="F61" i="4"/>
  <c r="E61" i="4"/>
  <c r="D61" i="4"/>
  <c r="C61" i="4"/>
  <c r="M59" i="4"/>
  <c r="M58" i="4"/>
  <c r="M57" i="4"/>
  <c r="M55" i="4"/>
  <c r="L51" i="4"/>
  <c r="J51" i="4"/>
  <c r="I51" i="4"/>
  <c r="G51" i="4"/>
  <c r="F51" i="4"/>
  <c r="E51" i="4"/>
  <c r="E63" i="4" s="1" a="1"/>
  <c r="E63" i="4" s="1"/>
  <c r="D51" i="4"/>
  <c r="C51" i="4"/>
  <c r="M49" i="4"/>
  <c r="L46" i="4"/>
  <c r="J46" i="4"/>
  <c r="I46" i="4"/>
  <c r="I63" i="4" s="1" a="1"/>
  <c r="I63" i="4" s="1"/>
  <c r="G46" i="4"/>
  <c r="F46" i="4"/>
  <c r="E46" i="4"/>
  <c r="D46" i="4"/>
  <c r="C46" i="4"/>
  <c r="M44" i="4"/>
  <c r="M43" i="4"/>
  <c r="M42" i="4"/>
  <c r="L37" i="4"/>
  <c r="J37" i="4"/>
  <c r="I37" i="4"/>
  <c r="G37" i="4"/>
  <c r="F37" i="4"/>
  <c r="E37" i="4"/>
  <c r="D37" i="4"/>
  <c r="C37" i="4"/>
  <c r="M35" i="4"/>
  <c r="M34" i="4"/>
  <c r="M33" i="4"/>
  <c r="M32" i="4"/>
  <c r="L28" i="4"/>
  <c r="J28" i="4"/>
  <c r="G28" i="4"/>
  <c r="F28" i="4"/>
  <c r="F63" i="4" s="1" a="1"/>
  <c r="F63" i="4" s="1"/>
  <c r="E28" i="4"/>
  <c r="D28" i="4"/>
  <c r="C28" i="4"/>
  <c r="M26" i="4"/>
  <c r="M25" i="4"/>
  <c r="M24" i="4"/>
  <c r="M23" i="4"/>
  <c r="M22" i="4"/>
  <c r="I22" i="4"/>
  <c r="I28" i="4" s="1"/>
  <c r="M21" i="4"/>
  <c r="M20" i="4"/>
  <c r="M19" i="4"/>
  <c r="M17" i="4"/>
  <c r="L12" i="4"/>
  <c r="J12" i="4"/>
  <c r="M12" i="4" s="1"/>
  <c r="I12" i="4"/>
  <c r="G12" i="4"/>
  <c r="F12" i="4"/>
  <c r="E12" i="4"/>
  <c r="D12" i="4"/>
  <c r="C12" i="4"/>
  <c r="M10" i="4"/>
  <c r="M9" i="4"/>
  <c r="M8" i="4"/>
  <c r="M7" i="4"/>
  <c r="M6" i="4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8" i="3"/>
  <c r="L61" i="3"/>
  <c r="J61" i="3"/>
  <c r="I61" i="3"/>
  <c r="G61" i="3"/>
  <c r="F61" i="3"/>
  <c r="E61" i="3"/>
  <c r="D61" i="3"/>
  <c r="C61" i="3"/>
  <c r="M59" i="3"/>
  <c r="M58" i="3"/>
  <c r="M57" i="3"/>
  <c r="M55" i="3"/>
  <c r="L51" i="3"/>
  <c r="J51" i="3"/>
  <c r="I51" i="3"/>
  <c r="G51" i="3"/>
  <c r="F51" i="3"/>
  <c r="E51" i="3"/>
  <c r="D51" i="3"/>
  <c r="C51" i="3"/>
  <c r="M49" i="3"/>
  <c r="L46" i="3"/>
  <c r="J46" i="3"/>
  <c r="I46" i="3"/>
  <c r="G46" i="3"/>
  <c r="F46" i="3"/>
  <c r="E46" i="3"/>
  <c r="D46" i="3"/>
  <c r="C46" i="3"/>
  <c r="M44" i="3"/>
  <c r="M43" i="3"/>
  <c r="M42" i="3"/>
  <c r="L37" i="3"/>
  <c r="J37" i="3"/>
  <c r="I37" i="3"/>
  <c r="G37" i="3"/>
  <c r="F37" i="3"/>
  <c r="E37" i="3"/>
  <c r="D37" i="3"/>
  <c r="C37" i="3"/>
  <c r="M35" i="3"/>
  <c r="M34" i="3"/>
  <c r="M33" i="3"/>
  <c r="M32" i="3"/>
  <c r="L28" i="3"/>
  <c r="J28" i="3"/>
  <c r="G28" i="3"/>
  <c r="F28" i="3"/>
  <c r="E28" i="3"/>
  <c r="D28" i="3"/>
  <c r="C28" i="3"/>
  <c r="M26" i="3"/>
  <c r="M25" i="3"/>
  <c r="M24" i="3"/>
  <c r="M23" i="3"/>
  <c r="M22" i="3"/>
  <c r="I22" i="3"/>
  <c r="I28" i="3" s="1"/>
  <c r="M21" i="3"/>
  <c r="M20" i="3"/>
  <c r="M19" i="3"/>
  <c r="M17" i="3"/>
  <c r="L12" i="3"/>
  <c r="J12" i="3"/>
  <c r="I12" i="3"/>
  <c r="G12" i="3"/>
  <c r="F12" i="3"/>
  <c r="E12" i="3"/>
  <c r="D12" i="3"/>
  <c r="C12" i="3"/>
  <c r="M10" i="3"/>
  <c r="M9" i="3"/>
  <c r="M8" i="3"/>
  <c r="M7" i="3"/>
  <c r="M6" i="3"/>
  <c r="M59" i="2"/>
  <c r="M57" i="2"/>
  <c r="M55" i="2"/>
  <c r="M51" i="2"/>
  <c r="M49" i="2"/>
  <c r="M44" i="2"/>
  <c r="M43" i="2"/>
  <c r="M42" i="2"/>
  <c r="M35" i="2"/>
  <c r="M34" i="2"/>
  <c r="M33" i="2"/>
  <c r="M32" i="2"/>
  <c r="M26" i="2"/>
  <c r="M25" i="2"/>
  <c r="M24" i="2"/>
  <c r="M23" i="2"/>
  <c r="M22" i="2"/>
  <c r="M21" i="2"/>
  <c r="M20" i="2"/>
  <c r="M19" i="2"/>
  <c r="M17" i="2"/>
  <c r="M10" i="2"/>
  <c r="M9" i="2"/>
  <c r="M8" i="2"/>
  <c r="M7" i="2"/>
  <c r="M6" i="2"/>
  <c r="S185" i="1"/>
  <c r="L162" i="7" l="1"/>
  <c r="M162" i="7" s="1"/>
  <c r="L152" i="8"/>
  <c r="M152" i="8" s="1"/>
  <c r="O758" i="4"/>
  <c r="O762" i="4"/>
  <c r="L162" i="4"/>
  <c r="M162" i="4" s="1"/>
  <c r="L240" i="8"/>
  <c r="M240" i="8" s="1"/>
  <c r="O176" i="4"/>
  <c r="M240" i="5"/>
  <c r="L162" i="6"/>
  <c r="M162" i="6" s="1"/>
  <c r="L209" i="9"/>
  <c r="M209" i="9" s="1"/>
  <c r="L136" i="4"/>
  <c r="M136" i="4" s="1"/>
  <c r="M136" i="6"/>
  <c r="L111" i="8"/>
  <c r="M111" i="8" s="1"/>
  <c r="L136" i="7"/>
  <c r="M136" i="7" s="1"/>
  <c r="L162" i="9"/>
  <c r="M162" i="9" s="1"/>
  <c r="L757" i="4"/>
  <c r="O757" i="4" s="1"/>
  <c r="M756" i="4"/>
  <c r="O756" i="4"/>
  <c r="L111" i="6"/>
  <c r="M111" i="6" s="1"/>
  <c r="L162" i="5"/>
  <c r="M162" i="5" s="1"/>
  <c r="M88" i="8"/>
  <c r="L209" i="6"/>
  <c r="M209" i="6" s="1"/>
  <c r="O168" i="4"/>
  <c r="L111" i="4"/>
  <c r="M111" i="4" s="1"/>
  <c r="L111" i="5"/>
  <c r="M111" i="5" s="1"/>
  <c r="L152" i="5"/>
  <c r="M152" i="5" s="1"/>
  <c r="L111" i="7"/>
  <c r="M111" i="7" s="1"/>
  <c r="L136" i="5"/>
  <c r="M136" i="5" s="1"/>
  <c r="M162" i="8"/>
  <c r="O174" i="4"/>
  <c r="M177" i="4"/>
  <c r="L209" i="7"/>
  <c r="M209" i="7" s="1"/>
  <c r="L136" i="8"/>
  <c r="M136" i="8" s="1"/>
  <c r="L209" i="8"/>
  <c r="M209" i="8" s="1"/>
  <c r="O172" i="4"/>
  <c r="O171" i="4"/>
  <c r="M175" i="4"/>
  <c r="M168" i="4"/>
  <c r="L111" i="9"/>
  <c r="M111" i="9" s="1"/>
  <c r="L136" i="9"/>
  <c r="M136" i="9" s="1"/>
  <c r="I760" i="4"/>
  <c r="M209" i="4"/>
  <c r="M61" i="2"/>
  <c r="M12" i="2"/>
  <c r="M63" i="2"/>
  <c r="M28" i="2"/>
  <c r="M37" i="2"/>
  <c r="M86" i="3"/>
  <c r="M28" i="3"/>
  <c r="G63" i="3" a="1"/>
  <c r="G63" i="3" s="1"/>
  <c r="J63" i="3" a="1"/>
  <c r="J63" i="3" s="1"/>
  <c r="M51" i="3"/>
  <c r="M61" i="3"/>
  <c r="I63" i="3" a="1"/>
  <c r="I63" i="3" s="1"/>
  <c r="M46" i="3"/>
  <c r="M37" i="3"/>
  <c r="C63" i="3" a="1"/>
  <c r="C63" i="3" s="1"/>
  <c r="M12" i="3"/>
  <c r="D63" i="3" a="1"/>
  <c r="D63" i="3" s="1"/>
  <c r="E63" i="3" a="1"/>
  <c r="E63" i="3" s="1"/>
  <c r="F63" i="3" a="1"/>
  <c r="F63" i="3" s="1"/>
  <c r="I242" i="4"/>
  <c r="I273" i="4" s="1"/>
  <c r="I276" i="4" s="1"/>
  <c r="M271" i="4"/>
  <c r="D242" i="4"/>
  <c r="F242" i="4"/>
  <c r="G242" i="4"/>
  <c r="L63" i="4" a="1"/>
  <c r="L63" i="4" s="1"/>
  <c r="E164" i="4"/>
  <c r="M46" i="4"/>
  <c r="M28" i="4"/>
  <c r="M37" i="4"/>
  <c r="F164" i="4"/>
  <c r="F273" i="4" s="1"/>
  <c r="F276" i="4" s="1"/>
  <c r="D63" i="4" a="1"/>
  <c r="D63" i="4" s="1"/>
  <c r="C63" i="4" a="1"/>
  <c r="C63" i="4" s="1"/>
  <c r="G63" i="4" a="1"/>
  <c r="G63" i="4" s="1"/>
  <c r="G273" i="4"/>
  <c r="J63" i="4" a="1"/>
  <c r="J63" i="4" s="1"/>
  <c r="M63" i="4" s="1"/>
  <c r="D63" i="5" a="1"/>
  <c r="D63" i="5" s="1"/>
  <c r="G63" i="5" a="1"/>
  <c r="G63" i="5" s="1"/>
  <c r="C164" i="5"/>
  <c r="I164" i="5"/>
  <c r="J63" i="5" a="1"/>
  <c r="J63" i="5" s="1"/>
  <c r="M51" i="5"/>
  <c r="M61" i="5"/>
  <c r="M46" i="5"/>
  <c r="D164" i="5"/>
  <c r="D273" i="5" s="1"/>
  <c r="D276" i="5" s="1"/>
  <c r="F63" i="5" a="1"/>
  <c r="F63" i="5" s="1"/>
  <c r="M28" i="5"/>
  <c r="F164" i="5"/>
  <c r="F273" i="5" s="1"/>
  <c r="C63" i="5" a="1"/>
  <c r="C63" i="5" s="1"/>
  <c r="G273" i="5"/>
  <c r="D242" i="6"/>
  <c r="E242" i="6"/>
  <c r="F242" i="6"/>
  <c r="M220" i="6"/>
  <c r="J242" i="6"/>
  <c r="J273" i="6" s="1"/>
  <c r="M12" i="6"/>
  <c r="M51" i="6"/>
  <c r="M61" i="6"/>
  <c r="J63" i="6" a="1"/>
  <c r="J63" i="6" s="1"/>
  <c r="M28" i="6"/>
  <c r="M37" i="6"/>
  <c r="M86" i="6"/>
  <c r="I164" i="6"/>
  <c r="I273" i="6" s="1"/>
  <c r="I276" i="6" s="1"/>
  <c r="D164" i="6"/>
  <c r="D273" i="6" s="1"/>
  <c r="D276" i="6" s="1"/>
  <c r="E63" i="6" a="1"/>
  <c r="E63" i="6" s="1"/>
  <c r="F164" i="6"/>
  <c r="F273" i="6" s="1"/>
  <c r="F63" i="6" a="1"/>
  <c r="F63" i="6" s="1"/>
  <c r="G273" i="6"/>
  <c r="D63" i="6" a="1"/>
  <c r="D63" i="6" s="1"/>
  <c r="G63" i="6" a="1"/>
  <c r="G63" i="6" s="1"/>
  <c r="G276" i="6" s="1"/>
  <c r="C164" i="6"/>
  <c r="C273" i="6" s="1"/>
  <c r="C276" i="6" s="1"/>
  <c r="E242" i="7"/>
  <c r="F242" i="7"/>
  <c r="G242" i="7"/>
  <c r="G273" i="7" s="1"/>
  <c r="G276" i="7" s="1"/>
  <c r="I242" i="7"/>
  <c r="M220" i="7"/>
  <c r="L240" i="7"/>
  <c r="L242" i="7" s="1"/>
  <c r="J164" i="7"/>
  <c r="D242" i="7"/>
  <c r="L63" i="7" a="1"/>
  <c r="L63" i="7" s="1"/>
  <c r="M37" i="7"/>
  <c r="M46" i="7"/>
  <c r="D164" i="7"/>
  <c r="D273" i="7" s="1"/>
  <c r="D276" i="7" s="1"/>
  <c r="C63" i="7" a="1"/>
  <c r="C63" i="7" s="1"/>
  <c r="E164" i="7"/>
  <c r="E63" i="7" a="1"/>
  <c r="E63" i="7" s="1"/>
  <c r="G63" i="7" a="1"/>
  <c r="G63" i="7" s="1"/>
  <c r="M12" i="7"/>
  <c r="I63" i="7" a="1"/>
  <c r="I63" i="7" s="1"/>
  <c r="D63" i="7" a="1"/>
  <c r="D63" i="7" s="1"/>
  <c r="F63" i="7" a="1"/>
  <c r="F63" i="7" s="1"/>
  <c r="J63" i="7" a="1"/>
  <c r="J63" i="7" s="1"/>
  <c r="M63" i="7" s="1"/>
  <c r="M61" i="7"/>
  <c r="M220" i="8"/>
  <c r="M271" i="8"/>
  <c r="D242" i="8"/>
  <c r="C242" i="8"/>
  <c r="E242" i="8"/>
  <c r="E273" i="8" s="1"/>
  <c r="J242" i="8"/>
  <c r="M46" i="8"/>
  <c r="M86" i="8"/>
  <c r="D164" i="8"/>
  <c r="D273" i="8" s="1"/>
  <c r="D276" i="8" s="1"/>
  <c r="I273" i="8"/>
  <c r="J273" i="8"/>
  <c r="G273" i="8"/>
  <c r="E63" i="8" a="1"/>
  <c r="E63" i="8" s="1"/>
  <c r="C63" i="8" a="1"/>
  <c r="C63" i="8" s="1"/>
  <c r="F63" i="8" a="1"/>
  <c r="F63" i="8" s="1"/>
  <c r="C164" i="8"/>
  <c r="C273" i="8" s="1"/>
  <c r="D63" i="8" a="1"/>
  <c r="D63" i="8" s="1"/>
  <c r="G63" i="8" a="1"/>
  <c r="G63" i="8" s="1"/>
  <c r="I164" i="8"/>
  <c r="L63" i="8" a="1"/>
  <c r="L63" i="8" s="1"/>
  <c r="J63" i="8" a="1"/>
  <c r="J63" i="8" s="1"/>
  <c r="E63" i="9" a="1"/>
  <c r="E63" i="9" s="1"/>
  <c r="G63" i="9" a="1"/>
  <c r="G63" i="9" s="1"/>
  <c r="D242" i="9"/>
  <c r="L63" i="9" a="1"/>
  <c r="L63" i="9" s="1"/>
  <c r="M63" i="9" s="1"/>
  <c r="M61" i="9"/>
  <c r="F242" i="9"/>
  <c r="F273" i="9" s="1"/>
  <c r="F276" i="9" s="1"/>
  <c r="D273" i="9"/>
  <c r="D164" i="9"/>
  <c r="J242" i="9"/>
  <c r="J273" i="9" s="1"/>
  <c r="J276" i="9" s="1"/>
  <c r="M37" i="9"/>
  <c r="G273" i="9"/>
  <c r="M28" i="9"/>
  <c r="F164" i="9"/>
  <c r="I273" i="9"/>
  <c r="D63" i="9" a="1"/>
  <c r="D63" i="9" s="1"/>
  <c r="C164" i="9"/>
  <c r="C273" i="9" s="1"/>
  <c r="C276" i="9" s="1"/>
  <c r="I63" i="9" a="1"/>
  <c r="I63" i="9" s="1"/>
  <c r="E164" i="9"/>
  <c r="E273" i="9" s="1"/>
  <c r="M69" i="9"/>
  <c r="L152" i="9"/>
  <c r="M152" i="9" s="1"/>
  <c r="M51" i="9"/>
  <c r="L240" i="9"/>
  <c r="M113" i="9"/>
  <c r="M154" i="9"/>
  <c r="M168" i="9"/>
  <c r="F164" i="8"/>
  <c r="F273" i="8" s="1"/>
  <c r="F276" i="8" s="1"/>
  <c r="M63" i="8"/>
  <c r="I63" i="8" a="1"/>
  <c r="I63" i="8" s="1"/>
  <c r="E164" i="8"/>
  <c r="M69" i="8"/>
  <c r="M51" i="8"/>
  <c r="M138" i="8"/>
  <c r="M223" i="8"/>
  <c r="M113" i="8"/>
  <c r="M154" i="8"/>
  <c r="M168" i="8"/>
  <c r="C164" i="7"/>
  <c r="C273" i="7" s="1"/>
  <c r="C276" i="7" s="1"/>
  <c r="F164" i="7"/>
  <c r="I164" i="7"/>
  <c r="I273" i="7" s="1"/>
  <c r="M69" i="7"/>
  <c r="J273" i="7"/>
  <c r="J276" i="7" s="1"/>
  <c r="M152" i="7"/>
  <c r="M51" i="7"/>
  <c r="M223" i="7"/>
  <c r="M113" i="7"/>
  <c r="M154" i="7"/>
  <c r="M168" i="7"/>
  <c r="E164" i="6"/>
  <c r="E273" i="6" s="1"/>
  <c r="M69" i="6"/>
  <c r="L240" i="6"/>
  <c r="M113" i="6"/>
  <c r="M154" i="6"/>
  <c r="L152" i="6"/>
  <c r="M152" i="6" s="1"/>
  <c r="L63" i="6" a="1"/>
  <c r="L63" i="6" s="1"/>
  <c r="M168" i="6"/>
  <c r="C273" i="5"/>
  <c r="C276" i="5" s="1"/>
  <c r="E164" i="5"/>
  <c r="E273" i="5" s="1"/>
  <c r="E276" i="5" s="1"/>
  <c r="I273" i="5"/>
  <c r="I276" i="5" s="1"/>
  <c r="J273" i="5"/>
  <c r="M69" i="5"/>
  <c r="M222" i="5"/>
  <c r="M138" i="5"/>
  <c r="L63" i="5" a="1"/>
  <c r="L63" i="5" s="1"/>
  <c r="M155" i="5"/>
  <c r="L209" i="5"/>
  <c r="M209" i="5" s="1"/>
  <c r="J273" i="4"/>
  <c r="C273" i="4"/>
  <c r="I164" i="4"/>
  <c r="D273" i="4"/>
  <c r="E273" i="4"/>
  <c r="E276" i="4" s="1"/>
  <c r="M69" i="4"/>
  <c r="L240" i="4"/>
  <c r="M51" i="4"/>
  <c r="M113" i="4"/>
  <c r="M154" i="4"/>
  <c r="L152" i="4"/>
  <c r="M152" i="4" s="1"/>
  <c r="M69" i="3"/>
  <c r="L63" i="3" a="1"/>
  <c r="L63" i="3" s="1"/>
  <c r="M46" i="2"/>
  <c r="L242" i="8" l="1"/>
  <c r="M242" i="8" s="1"/>
  <c r="L760" i="4"/>
  <c r="M760" i="4" s="1"/>
  <c r="M240" i="7"/>
  <c r="M757" i="4"/>
  <c r="L164" i="5"/>
  <c r="M164" i="5" s="1"/>
  <c r="D276" i="9"/>
  <c r="G276" i="9"/>
  <c r="I276" i="9"/>
  <c r="F273" i="7"/>
  <c r="F276" i="7" s="1"/>
  <c r="E273" i="7"/>
  <c r="E276" i="7" s="1"/>
  <c r="I276" i="7"/>
  <c r="L164" i="8"/>
  <c r="M164" i="8" s="1"/>
  <c r="O209" i="4"/>
  <c r="L242" i="5"/>
  <c r="M242" i="5" s="1"/>
  <c r="O760" i="4"/>
  <c r="L754" i="4"/>
  <c r="D276" i="4"/>
  <c r="M111" i="3"/>
  <c r="M114" i="3"/>
  <c r="C276" i="4"/>
  <c r="G276" i="4"/>
  <c r="J276" i="4"/>
  <c r="J276" i="5"/>
  <c r="G276" i="5"/>
  <c r="F276" i="5"/>
  <c r="E276" i="6"/>
  <c r="J276" i="6"/>
  <c r="F276" i="6"/>
  <c r="J276" i="8"/>
  <c r="G276" i="8"/>
  <c r="I276" i="8"/>
  <c r="E276" i="8"/>
  <c r="C276" i="8"/>
  <c r="E276" i="9"/>
  <c r="M240" i="9"/>
  <c r="L242" i="9"/>
  <c r="L164" i="9"/>
  <c r="M164" i="9" s="1"/>
  <c r="M242" i="7"/>
  <c r="L164" i="7"/>
  <c r="M164" i="7" s="1"/>
  <c r="M240" i="6"/>
  <c r="L242" i="6"/>
  <c r="M63" i="6"/>
  <c r="L164" i="6"/>
  <c r="M164" i="6" s="1"/>
  <c r="M63" i="5"/>
  <c r="L164" i="4"/>
  <c r="M164" i="4" s="1"/>
  <c r="M240" i="4"/>
  <c r="L242" i="4"/>
  <c r="M63" i="3"/>
  <c r="L273" i="8" l="1"/>
  <c r="M273" i="8" s="1"/>
  <c r="L273" i="5"/>
  <c r="M273" i="5" s="1"/>
  <c r="M242" i="9"/>
  <c r="L273" i="9"/>
  <c r="L273" i="7"/>
  <c r="L273" i="6"/>
  <c r="M242" i="6"/>
  <c r="L273" i="4"/>
  <c r="M242" i="4"/>
  <c r="L276" i="8" l="1"/>
  <c r="M276" i="8" s="1"/>
  <c r="L276" i="5"/>
  <c r="M276" i="5" s="1"/>
  <c r="M273" i="9"/>
  <c r="L276" i="9"/>
  <c r="M276" i="9" s="1"/>
  <c r="M273" i="7"/>
  <c r="L276" i="7"/>
  <c r="M276" i="7" s="1"/>
  <c r="M273" i="6"/>
  <c r="L276" i="6"/>
  <c r="M276" i="6" s="1"/>
  <c r="M273" i="4"/>
  <c r="L276" i="4"/>
  <c r="M276" i="4" s="1"/>
  <c r="S249" i="1" l="1"/>
  <c r="S247" i="1"/>
  <c r="S246" i="1"/>
  <c r="S245" i="1"/>
  <c r="S243" i="1"/>
  <c r="S196" i="1"/>
  <c r="S194" i="1"/>
  <c r="S192" i="1"/>
  <c r="S190" i="1"/>
  <c r="S168" i="1"/>
  <c r="S166" i="1"/>
  <c r="S165" i="1"/>
  <c r="S147" i="1"/>
  <c r="S120" i="1"/>
  <c r="S117" i="1"/>
  <c r="S84" i="1" l="1"/>
  <c r="S88" i="1"/>
  <c r="S86" i="1"/>
  <c r="S87" i="1"/>
  <c r="S90" i="1"/>
  <c r="S193" i="1"/>
  <c r="S179" i="1" l="1"/>
  <c r="R297" i="1" l="1"/>
  <c r="E276" i="1"/>
  <c r="E279" i="1" s="1"/>
  <c r="E297" i="1" s="1"/>
  <c r="M240" i="1"/>
  <c r="M266" i="1" s="1"/>
  <c r="K240" i="1"/>
  <c r="K266" i="1" s="1"/>
  <c r="G240" i="1"/>
  <c r="G266" i="1" s="1"/>
  <c r="F240" i="1"/>
  <c r="F266" i="1" s="1"/>
  <c r="E240" i="1"/>
  <c r="E266" i="1" s="1"/>
  <c r="D240" i="1"/>
  <c r="D266" i="1" s="1"/>
  <c r="C240" i="1"/>
  <c r="C266" i="1" s="1"/>
  <c r="S188" i="1"/>
  <c r="S186" i="1"/>
  <c r="S184" i="1"/>
  <c r="R174" i="1"/>
  <c r="R162" i="1"/>
  <c r="R144" i="1"/>
  <c r="E127" i="1"/>
  <c r="E130" i="1" s="1"/>
  <c r="E144" i="1" s="1"/>
  <c r="R114" i="1"/>
  <c r="C114" i="1"/>
  <c r="K81" i="1"/>
  <c r="G81" i="1"/>
  <c r="F81" i="1"/>
  <c r="E81" i="1"/>
  <c r="D81" i="1"/>
  <c r="C69" i="1"/>
  <c r="C81" i="1" s="1"/>
  <c r="M56" i="1"/>
  <c r="R56" i="1" s="1"/>
  <c r="K56" i="1"/>
  <c r="G56" i="1"/>
  <c r="F56" i="1"/>
  <c r="E56" i="1"/>
  <c r="D56" i="1"/>
  <c r="C56" i="1"/>
  <c r="M47" i="1"/>
  <c r="R47" i="1" s="1"/>
  <c r="K47" i="1"/>
  <c r="G47" i="1"/>
  <c r="F47" i="1"/>
  <c r="E47" i="1"/>
  <c r="D47" i="1"/>
  <c r="C47" i="1"/>
  <c r="M42" i="1"/>
  <c r="R42" i="1" s="1"/>
  <c r="K42" i="1"/>
  <c r="G42" i="1"/>
  <c r="F42" i="1"/>
  <c r="E42" i="1"/>
  <c r="D42" i="1"/>
  <c r="C42" i="1"/>
  <c r="M34" i="1"/>
  <c r="R34" i="1" s="1"/>
  <c r="K34" i="1"/>
  <c r="G34" i="1"/>
  <c r="F34" i="1"/>
  <c r="E34" i="1"/>
  <c r="D34" i="1"/>
  <c r="C34" i="1"/>
  <c r="M26" i="1"/>
  <c r="R26" i="1" s="1"/>
  <c r="K26" i="1"/>
  <c r="G26" i="1"/>
  <c r="F26" i="1"/>
  <c r="E26" i="1"/>
  <c r="D26" i="1"/>
  <c r="C26" i="1"/>
  <c r="M11" i="1"/>
  <c r="R11" i="1" s="1"/>
  <c r="K11" i="1"/>
  <c r="G11" i="1"/>
  <c r="F11" i="1"/>
  <c r="E11" i="1"/>
  <c r="D11" i="1"/>
  <c r="C11" i="1"/>
  <c r="R240" i="1" l="1"/>
  <c r="P240" i="1"/>
  <c r="Y11" i="1"/>
  <c r="Z26" i="1"/>
  <c r="Y26" i="1"/>
  <c r="Z114" i="1"/>
  <c r="Y114" i="1"/>
  <c r="Z47" i="1"/>
  <c r="Y47" i="1"/>
  <c r="Z42" i="1"/>
  <c r="Y42" i="1"/>
  <c r="Z240" i="1"/>
  <c r="Y240" i="1"/>
  <c r="Z144" i="1"/>
  <c r="Y144" i="1"/>
  <c r="Z174" i="1"/>
  <c r="Y174" i="1"/>
  <c r="Z56" i="1"/>
  <c r="Y56" i="1"/>
  <c r="Z34" i="1"/>
  <c r="Y34" i="1"/>
  <c r="Z162" i="1"/>
  <c r="Y162" i="1"/>
  <c r="Y297" i="1"/>
  <c r="Z297" i="1"/>
  <c r="Z11" i="1"/>
  <c r="C58" i="1"/>
  <c r="D58" i="1"/>
  <c r="E58" i="1"/>
  <c r="K58" i="1"/>
  <c r="M58" i="1"/>
  <c r="R58" i="1" s="1"/>
  <c r="F58" i="1"/>
  <c r="G58" i="1"/>
  <c r="S174" i="1"/>
  <c r="S42" i="1"/>
  <c r="S240" i="1"/>
  <c r="E176" i="1"/>
  <c r="S144" i="1"/>
  <c r="S11" i="1"/>
  <c r="S34" i="1"/>
  <c r="S56" i="1"/>
  <c r="F176" i="1"/>
  <c r="S26" i="1"/>
  <c r="S47" i="1"/>
  <c r="M81" i="1"/>
  <c r="R81" i="1" s="1"/>
  <c r="S64" i="1"/>
  <c r="R264" i="1"/>
  <c r="S162" i="1"/>
  <c r="K176" i="1"/>
  <c r="S114" i="1"/>
  <c r="S297" i="1"/>
  <c r="G176" i="1"/>
  <c r="R229" i="1"/>
  <c r="P266" i="1" l="1"/>
  <c r="P299" i="1" s="1"/>
  <c r="P302" i="1" s="1"/>
  <c r="P311" i="1" s="1"/>
  <c r="E299" i="1"/>
  <c r="E302" i="1" s="1"/>
  <c r="S229" i="1"/>
  <c r="Z229" i="1"/>
  <c r="Y229" i="1"/>
  <c r="Y58" i="1"/>
  <c r="Z58" i="1"/>
  <c r="S264" i="1"/>
  <c r="Z264" i="1"/>
  <c r="Y264" i="1"/>
  <c r="S81" i="1"/>
  <c r="Z81" i="1"/>
  <c r="Y81" i="1"/>
  <c r="G299" i="1"/>
  <c r="G302" i="1" s="1"/>
  <c r="F299" i="1"/>
  <c r="F302" i="1" s="1"/>
  <c r="K299" i="1"/>
  <c r="K302" i="1" s="1"/>
  <c r="K311" i="1" s="1"/>
  <c r="R266" i="1"/>
  <c r="S58" i="1"/>
  <c r="M176" i="1"/>
  <c r="R176" i="1" s="1"/>
  <c r="S176" i="1" l="1"/>
  <c r="Y176" i="1"/>
  <c r="Z176" i="1"/>
  <c r="S266" i="1"/>
  <c r="Z266" i="1"/>
  <c r="Y266" i="1"/>
  <c r="M299" i="1"/>
  <c r="R299" i="1" s="1"/>
  <c r="S299" i="1" l="1"/>
  <c r="Y299" i="1"/>
  <c r="Z299" i="1"/>
  <c r="AB299" i="1"/>
  <c r="M302" i="1"/>
  <c r="M311" i="1" s="1"/>
  <c r="Z302" i="1" l="1"/>
  <c r="Y302" i="1"/>
  <c r="C176" i="1"/>
  <c r="C299" i="1" s="1"/>
  <c r="C302" i="1" s="1"/>
  <c r="D176" i="1"/>
  <c r="D299" i="1" s="1"/>
  <c r="D30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J5" authorId="0" shapeId="0" xr:uid="{61E53D29-EF02-43FF-819A-B4A0D85D6B60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450k
</t>
        </r>
      </text>
    </comment>
    <comment ref="J72" authorId="0" shapeId="0" xr:uid="{AD1878DC-2F94-431F-971D-B0BF89CF66B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M72" authorId="0" shapeId="0" xr:uid="{2343EF63-B182-4683-B783-3B54488618F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M96" authorId="0" shapeId="0" xr:uid="{A952323E-399D-4766-BE57-E724C0F1703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Assuming new building - centralized billing</t>
        </r>
      </text>
    </comment>
    <comment ref="M97" authorId="0" shapeId="0" xr:uid="{EC7CE4F9-84D3-4653-890F-BBE9A52E7FC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Assuming new building - centralized billing</t>
        </r>
      </text>
    </comment>
    <comment ref="M98" authorId="0" shapeId="0" xr:uid="{6962C89E-AD8A-40A9-A013-06DF53115510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Assuming new building - centralized billing</t>
        </r>
      </text>
    </comment>
    <comment ref="M100" authorId="0" shapeId="0" xr:uid="{7F40AD34-FD8C-48D2-A43A-913F5BC46FD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Assuming new building - centralized billing</t>
        </r>
      </text>
    </comment>
    <comment ref="M101" authorId="0" shapeId="0" xr:uid="{F451A7D2-028B-4F1E-9F08-EC08509A2C6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Assuming new building - centralized billing</t>
        </r>
      </text>
    </comment>
    <comment ref="M102" authorId="0" shapeId="0" xr:uid="{A140737D-C397-4CA9-89DE-42EA4CAE4081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Assuming new building - centralized billing</t>
        </r>
      </text>
    </comment>
    <comment ref="M103" authorId="0" shapeId="0" xr:uid="{607CC8C1-5E89-417C-B22E-8773BE1A0BE2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Assuming new building - centralized billing</t>
        </r>
      </text>
    </comment>
    <comment ref="M107" authorId="0" shapeId="0" xr:uid="{51CC1722-AD69-4623-B566-AD4342CDF86C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Assuming new building - centralized billing</t>
        </r>
      </text>
    </comment>
    <comment ref="M109" authorId="0" shapeId="0" xr:uid="{141A134A-DA4E-4465-AA57-345CE39FBCE2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Assuming new building - centralized billing</t>
        </r>
      </text>
    </comment>
    <comment ref="M131" authorId="0" shapeId="0" xr:uid="{D67BEF48-6E6A-4CB2-8872-4FDE7DB0945E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Assuming new building - centralized billing</t>
        </r>
      </text>
    </comment>
    <comment ref="M134" authorId="0" shapeId="0" xr:uid="{BA4D83E1-107F-410C-8F8B-CC710B1751C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Assuming new building - centralized billing</t>
        </r>
      </text>
    </comment>
    <comment ref="M135" authorId="0" shapeId="0" xr:uid="{5FA1F458-3C6A-49F7-BCD5-19DC0FBBDC0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Assuming new building - centralized billing</t>
        </r>
      </text>
    </comment>
    <comment ref="M155" authorId="0" shapeId="0" xr:uid="{1C47FAAF-E721-4B9C-A36D-248AE493043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Assuming new building - centralized billing</t>
        </r>
      </text>
    </comment>
    <comment ref="M156" authorId="0" shapeId="0" xr:uid="{FBBDB9D5-1DB8-4DB0-ACC9-E230F414CA3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Assuming new building - centralized billing</t>
        </r>
      </text>
    </comment>
    <comment ref="J205" authorId="0" shapeId="0" xr:uid="{D43A1901-2B69-4169-B0CC-5870A194505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M205" authorId="0" shapeId="0" xr:uid="{0227F16A-6910-4112-B0C3-F58F86A16FBE}">
      <text>
        <r>
          <rPr>
            <b/>
            <sz val="9"/>
            <color indexed="81"/>
            <rFont val="Tahoma"/>
            <family val="2"/>
          </rPr>
          <t xml:space="preserve">Sheena Hall:
</t>
        </r>
        <r>
          <rPr>
            <sz val="9"/>
            <color indexed="81"/>
            <rFont val="Tahoma"/>
            <family val="2"/>
          </rPr>
          <t>Assuming new building - centralized billing</t>
        </r>
      </text>
    </comment>
    <comment ref="J206" authorId="0" shapeId="0" xr:uid="{6CFC8BCE-B554-47D8-9F14-776D605F077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M206" authorId="0" shapeId="0" xr:uid="{88B5DF64-0C40-4240-9A3C-E02FFD777082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Assuming new building - centralized billing</t>
        </r>
      </text>
    </comment>
    <comment ref="J207" authorId="0" shapeId="0" xr:uid="{DC9E1310-B761-4E01-8C2F-C947CC15D3CE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M207" authorId="0" shapeId="0" xr:uid="{D0254F8C-78B5-43C6-960D-BCAEB212AB92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Assuming new building - centralized billing</t>
        </r>
      </text>
    </comment>
    <comment ref="J208" authorId="0" shapeId="0" xr:uid="{F1890046-0497-452B-8EA9-51567AED4CC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M208" authorId="0" shapeId="0" xr:uid="{AD3EFFD8-8B86-4AE9-BAFE-10FFDE44FFFE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Assuming new building - centralized billing
</t>
        </r>
      </text>
    </comment>
    <comment ref="M209" authorId="0" shapeId="0" xr:uid="{F41C87F0-6BB4-4281-B229-B56734C4920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Assuming new building - centralized billing</t>
        </r>
      </text>
    </comment>
    <comment ref="M210" authorId="0" shapeId="0" xr:uid="{28282FA0-EAA7-436B-AC2D-FAC20D37042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Assuming new building - centralized billing</t>
        </r>
      </text>
    </comment>
    <comment ref="M211" authorId="0" shapeId="0" xr:uid="{C94A4CBA-5073-4A38-BCF9-C6035820B3B0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Assuming new building - centralized billing</t>
        </r>
      </text>
    </comment>
    <comment ref="M212" authorId="0" shapeId="0" xr:uid="{9AE68A97-018D-4384-94B3-69723EFE238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Assuming new building - centralized billing</t>
        </r>
      </text>
    </comment>
    <comment ref="M257" authorId="0" shapeId="0" xr:uid="{5A31C45B-940F-45B8-B0A5-7061D3FC0E0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Assuming new building - centralized billing</t>
        </r>
      </text>
    </comment>
    <comment ref="M258" authorId="0" shapeId="0" xr:uid="{3476CB40-49DD-4547-9328-7DB1D2181DB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Assuming new building - centralized billing</t>
        </r>
      </text>
    </comment>
    <comment ref="M285" authorId="0" shapeId="0" xr:uid="{5F5E96BF-9DF6-4293-9B69-EDE1397176DB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Assuming new building - centralized billing</t>
        </r>
      </text>
    </comment>
    <comment ref="M286" authorId="0" shapeId="0" xr:uid="{57187837-09FD-411D-8223-003023A41CE0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Assuming new building - centralized billing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8" authorId="0" shapeId="0" xr:uid="{43B5D8ED-40CD-4D6E-9606-F9A3C55EC7D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D0F92BF4-0082-410A-98CA-265B9F2CB47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360D74F7-4F1B-4D95-86A0-493DA8D44093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I168" authorId="0" shapeId="0" xr:uid="{C4CC7D56-B691-470A-B4DC-4B6B915C3D9E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Originally reduced to removed excess OT.  Raised so not decrease year to year.</t>
        </r>
      </text>
    </comment>
    <comment ref="I185" authorId="0" shapeId="0" xr:uid="{45D1A081-B0EF-49FF-BC7B-54A6E12B1343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L185" authorId="0" shapeId="0" xr:uid="{67685758-C1C4-4192-939F-CB2BE22607B0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I186" authorId="0" shapeId="0" xr:uid="{9481CD49-E0F0-4EF6-A313-F88C108450BF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6" authorId="0" shapeId="0" xr:uid="{4A760488-C809-4ADF-A55F-5E4B08A7C3C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7" authorId="0" shapeId="0" xr:uid="{ABC027FD-EAFB-4A49-AB74-A82879A6977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7" authorId="0" shapeId="0" xr:uid="{0E553893-5135-405D-9346-AF34B01AE59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8" authorId="0" shapeId="0" xr:uid="{C28EA935-8362-4653-A03E-498E26DEBA9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8" authorId="0" shapeId="0" xr:uid="{F19A7FEE-1B6B-4B27-8D19-14A33AD92CFC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8" authorId="0" shapeId="0" xr:uid="{BE2AC1FC-710B-4FDD-BED7-1BF71A9677DE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D7F5501F-07B2-4F56-9544-3F609B790E06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44E2698C-A57C-4CA3-8A96-76DE5143671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I168" authorId="0" shapeId="0" xr:uid="{22333B7A-06B3-475B-AE96-3813C3E7F30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Originally reduced to removed excess OT.  Raised so not decrease year to year.</t>
        </r>
      </text>
    </comment>
    <comment ref="I185" authorId="0" shapeId="0" xr:uid="{38C04599-4F71-4A9B-B6C0-DF60B9841AD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L185" authorId="0" shapeId="0" xr:uid="{0B541F78-5598-4866-8538-3C7B4F5956BF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I186" authorId="0" shapeId="0" xr:uid="{5A44903D-423F-4113-BD60-87F2DE0421EC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6" authorId="0" shapeId="0" xr:uid="{81295A16-BF6C-4640-8768-C0018B89752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7" authorId="0" shapeId="0" xr:uid="{53A44B1F-ABAF-409B-AB81-9D86A1AAFE1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7" authorId="0" shapeId="0" xr:uid="{335AA22D-A79C-44D9-B1BC-5826B0DA2BDB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8" authorId="0" shapeId="0" xr:uid="{C1C0F8DD-8A61-475D-9BD5-6479E9CB33E9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8" authorId="0" shapeId="0" xr:uid="{D9372D48-2F93-4A14-A58F-B3E881DC931F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L6" authorId="0" shapeId="0" xr:uid="{745B2A8D-A884-4E06-92E9-645EE29350B0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450k
</t>
        </r>
      </text>
    </comment>
    <comment ref="I8" authorId="0" shapeId="0" xr:uid="{45500B26-F757-429B-94AC-7E367779D653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27E84438-0E9F-4B69-A5E5-3911BF986D71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0ED12299-3B90-488C-AAE8-236143FF319C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I168" authorId="0" shapeId="0" xr:uid="{5CEA5A81-0A0A-48EC-BA82-D3590DA1AB70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Originally reduced to removed excess OT.  Raised so not decrease year to year.</t>
        </r>
      </text>
    </comment>
    <comment ref="I185" authorId="0" shapeId="0" xr:uid="{98FF53BE-1E68-4098-9DF1-E7A12396D93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L185" authorId="0" shapeId="0" xr:uid="{F76CA18A-0203-4DE0-AF06-BB0A7407B601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I186" authorId="0" shapeId="0" xr:uid="{4A58EFEE-369F-451E-B40C-8C139681EF40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6" authorId="0" shapeId="0" xr:uid="{71614798-B561-4CA7-B747-3F4901040DF9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7" authorId="0" shapeId="0" xr:uid="{7CE7DEFA-7C08-4D8C-A7EF-F2D6D4664729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7" authorId="0" shapeId="0" xr:uid="{A00D2CEC-5F0B-4EC9-8D59-C03B4FB20CF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8" authorId="0" shapeId="0" xr:uid="{720B9C55-B3EB-44A1-80C3-D2124F5A8711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8" authorId="0" shapeId="0" xr:uid="{C8F40176-2009-48E5-8DD0-65ACFCC389C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8" authorId="0" shapeId="0" xr:uid="{8BC4C754-89D1-4960-BD35-BC10DACF1D2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66F31B25-E99F-477A-987E-0A798AADBDF2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8" authorId="0" shapeId="0" xr:uid="{DD840953-1302-4A1A-B613-0566B30F7D3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766E5893-CA2F-4FBC-8166-12DBE5A21C3B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9F5DE324-14EC-4F7B-B751-BB1914297002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8" authorId="0" shapeId="0" xr:uid="{568619B5-474E-4B70-BF19-3B6286B8071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8EFC5D8A-E2D3-476C-85ED-4613F60A3E6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1F24B489-8200-44CA-B4CC-F470CC835D50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I168" authorId="0" shapeId="0" xr:uid="{46E2D5FC-FA01-4FA1-BD9F-4C8D73E0041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Originally reduced to removed excess OT.  Raised so not decrease year to year.</t>
        </r>
      </text>
    </comment>
    <comment ref="I185" authorId="0" shapeId="0" xr:uid="{664766D0-2813-4F94-9A24-95FA510B4B6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L185" authorId="0" shapeId="0" xr:uid="{37181F0E-64BE-4B0A-A0BD-EAA9803718B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I186" authorId="0" shapeId="0" xr:uid="{06906AC7-0880-489A-832A-8BCEBB7567A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6" authorId="0" shapeId="0" xr:uid="{EF023C98-4BEF-4FD1-B4CC-725F8840EE1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7" authorId="0" shapeId="0" xr:uid="{212B1587-B240-4E2F-B6A4-13BC94B9A9E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7" authorId="0" shapeId="0" xr:uid="{5DCAF82D-822A-4727-A35F-C9DC3EFE4A21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8" authorId="0" shapeId="0" xr:uid="{93505395-274A-4C12-B1E0-93EBD96B148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8" authorId="0" shapeId="0" xr:uid="{23B45FBA-CCA2-4C2E-8F42-C5A1A286D20F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8" authorId="0" shapeId="0" xr:uid="{43230DDD-E291-4B08-8452-EF8A9F3E4C2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E7ADB877-BB6F-4FD5-A488-3794BB3C7E6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62868C88-7E77-466E-89E1-3AD9CF547889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I168" authorId="0" shapeId="0" xr:uid="{5A591B4F-133D-461C-B73E-A99172A2DB3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Originally reduced to removed excess OT.  Raised so not decrease year to year.</t>
        </r>
      </text>
    </comment>
    <comment ref="I185" authorId="0" shapeId="0" xr:uid="{442C3A70-5AAF-4697-80F2-4AF0558209E1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L185" authorId="0" shapeId="0" xr:uid="{B9E0ECAC-50AB-4F58-9FEF-2693C5271CE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I186" authorId="0" shapeId="0" xr:uid="{ECF0BEA5-2652-470B-8D89-E8C1D76E490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6" authorId="0" shapeId="0" xr:uid="{56E892DA-0826-476A-971C-A6055105BFA2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7" authorId="0" shapeId="0" xr:uid="{C129BEC8-9D9B-4036-85B7-9E61A048C6E1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7" authorId="0" shapeId="0" xr:uid="{0E53A7FA-7B91-4FAF-AB2E-316E80A25D3B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8" authorId="0" shapeId="0" xr:uid="{9D286062-DA94-4C42-97CD-869C150EC40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8" authorId="0" shapeId="0" xr:uid="{D5FBA6E5-54F8-4C57-ACF7-E6B08731EE66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8" authorId="0" shapeId="0" xr:uid="{04E4CCFF-33C5-4D5E-AA27-4AF5EE891FB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2CD4E034-2EF7-4150-B652-39107065E019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F13E8695-9733-432F-8D25-2288D6D0ADB9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I168" authorId="0" shapeId="0" xr:uid="{B60410B6-FC73-40AD-8768-D133F2BD435B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Originally reduced to removed excess OT.  Raised so not decrease year to year.</t>
        </r>
      </text>
    </comment>
    <comment ref="I185" authorId="0" shapeId="0" xr:uid="{641BEFF3-6806-4EFA-9C6C-C5DF81C31023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L185" authorId="0" shapeId="0" xr:uid="{59EA504A-AEA6-4D95-9928-5DCE4ABBE243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I186" authorId="0" shapeId="0" xr:uid="{47B215C4-D2EB-41EE-875C-A5D4E94A2D1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6" authorId="0" shapeId="0" xr:uid="{D385214D-DC20-46EC-AF58-11D83A69D47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7" authorId="0" shapeId="0" xr:uid="{F0F07B54-7F96-486D-8F04-ED460DC539F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7" authorId="0" shapeId="0" xr:uid="{3446B2D4-D287-42DF-B804-3441A761ED26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8" authorId="0" shapeId="0" xr:uid="{2B6719BF-D60B-4AAA-9D59-BABD44967BD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8" authorId="0" shapeId="0" xr:uid="{0B9871BA-99F7-4B95-8DF6-CFD77C53817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8" authorId="0" shapeId="0" xr:uid="{0C4249EE-971C-433F-BD0A-320763C0F24C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90617A31-B89A-4636-AE2B-4F080CE83FF9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73A9FBB0-185C-4E74-BF13-03CF9BF9113F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I168" authorId="0" shapeId="0" xr:uid="{084D7E4F-EA3F-40BB-91DE-17369CC0DDE9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Originally reduced to removed excess OT.  Raised so not decrease year to year.</t>
        </r>
      </text>
    </comment>
    <comment ref="I185" authorId="0" shapeId="0" xr:uid="{16D36E06-BBEF-458A-8DF1-32E6E2DC53A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L185" authorId="0" shapeId="0" xr:uid="{D28F17DF-55F3-48CA-9851-5D358AADEF9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I186" authorId="0" shapeId="0" xr:uid="{5110A23E-631E-47F3-81DA-D9359AA23908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6" authorId="0" shapeId="0" xr:uid="{71194213-CBB0-4DF3-BF3F-5E36CC24B84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7" authorId="0" shapeId="0" xr:uid="{02B84917-27B0-4391-991A-B4AA4AFA88E2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7" authorId="0" shapeId="0" xr:uid="{6DDFA3EB-3C27-4CDA-BDE9-05EC930BEEFF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8" authorId="0" shapeId="0" xr:uid="{8C24054C-4DA5-424D-8406-FF189CC11646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8" authorId="0" shapeId="0" xr:uid="{783BCCF8-6D64-4ABC-9FA7-A7A9DA63550E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I8" authorId="0" shapeId="0" xr:uid="{7D5A073E-FFDF-4592-865E-91477D3A2CEC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I49" authorId="0" shapeId="0" xr:uid="{4B25EA47-287E-43B7-A86A-0D84714E01CE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77" authorId="0" shapeId="0" xr:uid="{FF427A7C-6AC3-4DB5-A658-3AC6E9AB2DD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I168" authorId="0" shapeId="0" xr:uid="{6F121E3E-83F7-417B-9EFC-52870099B49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Originally reduced to removed excess OT.  Raised so not decrease year to year.</t>
        </r>
      </text>
    </comment>
    <comment ref="I185" authorId="0" shapeId="0" xr:uid="{286CBE1B-7548-4A14-8CD1-4DADF333878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L185" authorId="0" shapeId="0" xr:uid="{17752764-430C-443C-94F1-FB43BD896CE4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I186" authorId="0" shapeId="0" xr:uid="{823BE651-6B57-4F33-A31E-DC89AA9F8075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6" authorId="0" shapeId="0" xr:uid="{FC20069E-DE23-4880-8C8B-C6DC97C43D6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7" authorId="0" shapeId="0" xr:uid="{86CADEA1-0A0B-4291-A205-C2EA8F13FC0B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7" authorId="0" shapeId="0" xr:uid="{E96C6C56-9739-4BA3-A08B-3135205EFB7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8" authorId="0" shapeId="0" xr:uid="{1A471EBE-2586-44D7-9241-327C43BBB82C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8" authorId="0" shapeId="0" xr:uid="{5C02842B-490A-476A-A47D-4D18D16AA66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<sst xmlns="http://schemas.openxmlformats.org/spreadsheetml/2006/main" count="4521" uniqueCount="440">
  <si>
    <t>Account</t>
  </si>
  <si>
    <t>Description</t>
  </si>
  <si>
    <t>FY2025 Budget</t>
  </si>
  <si>
    <t>FY2026 Budget</t>
  </si>
  <si>
    <t>Group : [7100]</t>
  </si>
  <si>
    <t>Revenue</t>
  </si>
  <si>
    <t xml:space="preserve"> </t>
  </si>
  <si>
    <t>Subgroup : [7100.01]</t>
  </si>
  <si>
    <t>Taxes and Assessments</t>
  </si>
  <si>
    <t>Fund : GF</t>
  </si>
  <si>
    <t>General Fund</t>
  </si>
  <si>
    <t>4000100</t>
  </si>
  <si>
    <t>Transfer Tax</t>
  </si>
  <si>
    <t>4000200</t>
  </si>
  <si>
    <t>Accommodations Tax</t>
  </si>
  <si>
    <t>4000250</t>
  </si>
  <si>
    <t>Hotel Tax</t>
  </si>
  <si>
    <t>4000300</t>
  </si>
  <si>
    <t>Cable TV Franchise</t>
  </si>
  <si>
    <t>4000400</t>
  </si>
  <si>
    <t>Beach Concession Contract</t>
  </si>
  <si>
    <t>Subtotal Fund : GF</t>
  </si>
  <si>
    <t>Subgroup : [7100.01] Taxes and Assessments</t>
  </si>
  <si>
    <t>Subgroup : [7100.02]</t>
  </si>
  <si>
    <t>Licenses, Permits, and Fees</t>
  </si>
  <si>
    <t>4010050</t>
  </si>
  <si>
    <t>Business License Fines</t>
  </si>
  <si>
    <t>4010100</t>
  </si>
  <si>
    <t>Rental License</t>
  </si>
  <si>
    <t>4010200</t>
  </si>
  <si>
    <t>Commercial Rental License</t>
  </si>
  <si>
    <t>4010300</t>
  </si>
  <si>
    <t>Commerical Business</t>
  </si>
  <si>
    <t>4010500</t>
  </si>
  <si>
    <t>Seasonal</t>
  </si>
  <si>
    <t>4010600</t>
  </si>
  <si>
    <t>Daily</t>
  </si>
  <si>
    <t>4010700</t>
  </si>
  <si>
    <t>Parking Meters</t>
  </si>
  <si>
    <t>4010800</t>
  </si>
  <si>
    <t>Building</t>
  </si>
  <si>
    <t>4010850</t>
  </si>
  <si>
    <t>Builing Permit Application Fees</t>
  </si>
  <si>
    <t>4010900</t>
  </si>
  <si>
    <t>Beach Fire</t>
  </si>
  <si>
    <t>4011100</t>
  </si>
  <si>
    <t>Dog Licenses</t>
  </si>
  <si>
    <t>Subgroup : [7100.02] Licenses, Permits, and Fees</t>
  </si>
  <si>
    <t>Subgroup : [7100.03]</t>
  </si>
  <si>
    <t>Fines</t>
  </si>
  <si>
    <t>4020100</t>
  </si>
  <si>
    <t>Parking Tickets</t>
  </si>
  <si>
    <t>4020300</t>
  </si>
  <si>
    <t>Ordinance Fines &amp; Court Costs</t>
  </si>
  <si>
    <t>4020400</t>
  </si>
  <si>
    <t>Traffic Fines</t>
  </si>
  <si>
    <t>4020700</t>
  </si>
  <si>
    <t>Fines - Other Courts</t>
  </si>
  <si>
    <t>Subgroup : [7100.03] Fines</t>
  </si>
  <si>
    <t>Subgroup : [7100.05]</t>
  </si>
  <si>
    <t>Donations and Other Revenues: Public Safety</t>
  </si>
  <si>
    <t>4040500</t>
  </si>
  <si>
    <t>Donations</t>
  </si>
  <si>
    <t>4040600</t>
  </si>
  <si>
    <t>Police Reports</t>
  </si>
  <si>
    <t>4040700</t>
  </si>
  <si>
    <t>Police Extra Duty</t>
  </si>
  <si>
    <t>4040800</t>
  </si>
  <si>
    <t>Pension State Funding</t>
  </si>
  <si>
    <t>Subgroup : [7100.05] Donations and Other Revenues: Public Safety</t>
  </si>
  <si>
    <t>4040300</t>
  </si>
  <si>
    <t>Interest Income</t>
  </si>
  <si>
    <t>Subgroup : [7100.07] Investment Income</t>
  </si>
  <si>
    <t>Subgroup : [7100.09]</t>
  </si>
  <si>
    <t>Other Revenues</t>
  </si>
  <si>
    <t>4040100</t>
  </si>
  <si>
    <t>Public Hearing Fees</t>
  </si>
  <si>
    <t>4040200</t>
  </si>
  <si>
    <t>Gain / Loss Sale of Equipment</t>
  </si>
  <si>
    <t>4040900</t>
  </si>
  <si>
    <t>Misc</t>
  </si>
  <si>
    <t>4041000</t>
  </si>
  <si>
    <t>Town Hall Other</t>
  </si>
  <si>
    <t>4080200</t>
  </si>
  <si>
    <t>Annual in Perpetuity</t>
  </si>
  <si>
    <t>Subgroup : [7100.09] Other Revenues</t>
  </si>
  <si>
    <t>All Funds Presented</t>
  </si>
  <si>
    <t>Group Total [7100] Revenue</t>
  </si>
  <si>
    <t>Subgroup : [7200.01]</t>
  </si>
  <si>
    <t>General and Administrative</t>
  </si>
  <si>
    <t>6010100</t>
  </si>
  <si>
    <t>Bank &amp; Credit Card Fees</t>
  </si>
  <si>
    <t>6010125</t>
  </si>
  <si>
    <t>Bank Fees - Transfer Tax</t>
  </si>
  <si>
    <t>6010200</t>
  </si>
  <si>
    <t>Commissioner &amp; Committee Exp</t>
  </si>
  <si>
    <t>6010250</t>
  </si>
  <si>
    <t>Election Expenses</t>
  </si>
  <si>
    <t>6010300</t>
  </si>
  <si>
    <t>6010400</t>
  </si>
  <si>
    <t>Code Update</t>
  </si>
  <si>
    <t>6010500</t>
  </si>
  <si>
    <t>Legal Fees</t>
  </si>
  <si>
    <t>6010600</t>
  </si>
  <si>
    <t>Audit Fees</t>
  </si>
  <si>
    <t>6010700</t>
  </si>
  <si>
    <t>Comp Plan</t>
  </si>
  <si>
    <t>6010800</t>
  </si>
  <si>
    <t>Beach &amp; Marketing Events</t>
  </si>
  <si>
    <t>6010900</t>
  </si>
  <si>
    <t>IT - Software &amp; Support</t>
  </si>
  <si>
    <t>IT - Hardware &amp; Supplies</t>
  </si>
  <si>
    <t>6011100</t>
  </si>
  <si>
    <t>Employee Bonuses</t>
  </si>
  <si>
    <t>6011150</t>
  </si>
  <si>
    <t>Payroll Expenses</t>
  </si>
  <si>
    <t>6011200</t>
  </si>
  <si>
    <t>Dues / Publications</t>
  </si>
  <si>
    <t>6011300</t>
  </si>
  <si>
    <t>Legal Ads</t>
  </si>
  <si>
    <t>6012100</t>
  </si>
  <si>
    <t>Beautification</t>
  </si>
  <si>
    <t>Total Town Wide Expenses</t>
  </si>
  <si>
    <t>6020100</t>
  </si>
  <si>
    <t>Year Round Employee - Salary &amp; Wages</t>
  </si>
  <si>
    <t>6020110</t>
  </si>
  <si>
    <t>Year Round Employee - Payroll Taxes</t>
  </si>
  <si>
    <t>6020130</t>
  </si>
  <si>
    <t>Year Round Employee - Employee Benefits</t>
  </si>
  <si>
    <t>6020140</t>
  </si>
  <si>
    <t>Year Round Employee - Pension Plan</t>
  </si>
  <si>
    <t>6020160</t>
  </si>
  <si>
    <t>Year Round Employee - Workers Comp</t>
  </si>
  <si>
    <t>6020300</t>
  </si>
  <si>
    <t>Seasonal Employee - Salary &amp; Wages</t>
  </si>
  <si>
    <t>6020310</t>
  </si>
  <si>
    <t>Seasonal Employee - Payroll Taxes</t>
  </si>
  <si>
    <t>6020360</t>
  </si>
  <si>
    <t>Seasonal Employee - Workers Comp</t>
  </si>
  <si>
    <t>6020500</t>
  </si>
  <si>
    <t>Utilities</t>
  </si>
  <si>
    <t>6020510</t>
  </si>
  <si>
    <t>Cleaning</t>
  </si>
  <si>
    <t>6020520</t>
  </si>
  <si>
    <t>Pest Control</t>
  </si>
  <si>
    <t>6020530</t>
  </si>
  <si>
    <t>Building Maintenance</t>
  </si>
  <si>
    <t>6020605</t>
  </si>
  <si>
    <t>Mileage Reimbursement</t>
  </si>
  <si>
    <t>6021000</t>
  </si>
  <si>
    <t>Postage</t>
  </si>
  <si>
    <t>6021100</t>
  </si>
  <si>
    <t>Professional Fees</t>
  </si>
  <si>
    <t>6021200</t>
  </si>
  <si>
    <t>Insurance</t>
  </si>
  <si>
    <t>6021300</t>
  </si>
  <si>
    <t>Dues Publications &amp; Subscriptions</t>
  </si>
  <si>
    <t>6021400</t>
  </si>
  <si>
    <t>Training</t>
  </si>
  <si>
    <t>6021500</t>
  </si>
  <si>
    <t>Supplies</t>
  </si>
  <si>
    <t>6021600</t>
  </si>
  <si>
    <t>Printing</t>
  </si>
  <si>
    <t>6021700</t>
  </si>
  <si>
    <t>Equipment Maintenance</t>
  </si>
  <si>
    <t>Total Administration Expenses</t>
  </si>
  <si>
    <t>6050100</t>
  </si>
  <si>
    <t>6050110</t>
  </si>
  <si>
    <t>6050130</t>
  </si>
  <si>
    <t>6050140</t>
  </si>
  <si>
    <t>6050150</t>
  </si>
  <si>
    <t>Year Round Employee - Uniforms</t>
  </si>
  <si>
    <t>6050160</t>
  </si>
  <si>
    <t>6050300</t>
  </si>
  <si>
    <t>6050310</t>
  </si>
  <si>
    <t>6050350</t>
  </si>
  <si>
    <t>Seasonal Employee - Uniforms</t>
  </si>
  <si>
    <t>6050360</t>
  </si>
  <si>
    <t>6050500</t>
  </si>
  <si>
    <t>6050510</t>
  </si>
  <si>
    <t>6050530</t>
  </si>
  <si>
    <t>6050600</t>
  </si>
  <si>
    <t>Gas</t>
  </si>
  <si>
    <t>6050610</t>
  </si>
  <si>
    <t>Auto Maintenance &amp; Repair</t>
  </si>
  <si>
    <t>6051100</t>
  </si>
  <si>
    <t>6051300</t>
  </si>
  <si>
    <t>6051400</t>
  </si>
  <si>
    <t>6051500</t>
  </si>
  <si>
    <t>6051700</t>
  </si>
  <si>
    <t>6051900</t>
  </si>
  <si>
    <t>Equip / Asset Purchase</t>
  </si>
  <si>
    <t>Total Parking Enforcement Expenses</t>
  </si>
  <si>
    <t>6060100</t>
  </si>
  <si>
    <t>6060110</t>
  </si>
  <si>
    <t>6060130</t>
  </si>
  <si>
    <t>6060140</t>
  </si>
  <si>
    <t>6060150</t>
  </si>
  <si>
    <t>6060160</t>
  </si>
  <si>
    <t>6060500</t>
  </si>
  <si>
    <t>Phone</t>
  </si>
  <si>
    <t>6060600</t>
  </si>
  <si>
    <t>6061300</t>
  </si>
  <si>
    <t>6061400</t>
  </si>
  <si>
    <t>6061500</t>
  </si>
  <si>
    <t>6061700</t>
  </si>
  <si>
    <t>Total Building / Code Enforcement Expenses</t>
  </si>
  <si>
    <t>6070100</t>
  </si>
  <si>
    <t>6070110</t>
  </si>
  <si>
    <t>6070150</t>
  </si>
  <si>
    <t>6070160</t>
  </si>
  <si>
    <t>Dues &amp; Publications</t>
  </si>
  <si>
    <t>6071500</t>
  </si>
  <si>
    <t>6071700</t>
  </si>
  <si>
    <t>Total Alderman Court Expenses</t>
  </si>
  <si>
    <t>Subgroup : [7200.01] General and Administrative</t>
  </si>
  <si>
    <t>Subgroup : [7200.02]</t>
  </si>
  <si>
    <t>Public Safety</t>
  </si>
  <si>
    <t>6030100</t>
  </si>
  <si>
    <t>Year Round Officers - Salary &amp; Wages</t>
  </si>
  <si>
    <t>6030105</t>
  </si>
  <si>
    <t>Special Event Payroll</t>
  </si>
  <si>
    <t>6030110</t>
  </si>
  <si>
    <t>Year Round Officers - Payroll Taxes</t>
  </si>
  <si>
    <t>6030130</t>
  </si>
  <si>
    <t>Year Round Officers - Employee Benefits</t>
  </si>
  <si>
    <t>6030140</t>
  </si>
  <si>
    <t>Year Round Officers - Pension Plan</t>
  </si>
  <si>
    <t>6030150</t>
  </si>
  <si>
    <t>Year Round Officers - Uniforms</t>
  </si>
  <si>
    <t>6030160</t>
  </si>
  <si>
    <t>Year Round Officers - Workers Comp</t>
  </si>
  <si>
    <t>6030200</t>
  </si>
  <si>
    <t>Administrative Year Round - Salary &amp; Wages</t>
  </si>
  <si>
    <t>6030210</t>
  </si>
  <si>
    <t>Administrative Year Round - Payroll Taxes</t>
  </si>
  <si>
    <t>6030230</t>
  </si>
  <si>
    <t>Administrative Year Round - Employee Benefits</t>
  </si>
  <si>
    <t>6030240</t>
  </si>
  <si>
    <t>Administrative Year Round - Pension Plan</t>
  </si>
  <si>
    <t>Administrative Year Round - Uniforms</t>
  </si>
  <si>
    <t>6030260</t>
  </si>
  <si>
    <t>Administrative Year Round - Workers Comp</t>
  </si>
  <si>
    <t>6030300</t>
  </si>
  <si>
    <t>6030310</t>
  </si>
  <si>
    <t>6030350</t>
  </si>
  <si>
    <t>6030360</t>
  </si>
  <si>
    <t>6030500</t>
  </si>
  <si>
    <t>6030510</t>
  </si>
  <si>
    <t>6030520</t>
  </si>
  <si>
    <t>6030530</t>
  </si>
  <si>
    <t>6030600</t>
  </si>
  <si>
    <t>Electric Vehicle Charging</t>
  </si>
  <si>
    <t>6030610</t>
  </si>
  <si>
    <t>Auto Maintenance &amp; Repairs</t>
  </si>
  <si>
    <t>6031100</t>
  </si>
  <si>
    <t>New Hire Fees</t>
  </si>
  <si>
    <t>6031200</t>
  </si>
  <si>
    <t>6031300</t>
  </si>
  <si>
    <t>6031400</t>
  </si>
  <si>
    <t xml:space="preserve">Training  - Year Round Officers </t>
  </si>
  <si>
    <t>Training - Administrative Employees</t>
  </si>
  <si>
    <t>Training - Seasonal Officers</t>
  </si>
  <si>
    <t>Weapons / Ammunition</t>
  </si>
  <si>
    <t>6031500</t>
  </si>
  <si>
    <t>K9 Program</t>
  </si>
  <si>
    <t>6031700</t>
  </si>
  <si>
    <t>6031800</t>
  </si>
  <si>
    <t>6031900</t>
  </si>
  <si>
    <t>Drug Testing</t>
  </si>
  <si>
    <t>6032000</t>
  </si>
  <si>
    <t>Subgroup : [7200.02] Public Safety</t>
  </si>
  <si>
    <t>Subgroup : [7200.03]</t>
  </si>
  <si>
    <t>Streets</t>
  </si>
  <si>
    <t>6012000</t>
  </si>
  <si>
    <t>Bayard Avenue Operating</t>
  </si>
  <si>
    <t>6012200</t>
  </si>
  <si>
    <t>Trash</t>
  </si>
  <si>
    <t>6012300</t>
  </si>
  <si>
    <t>Street Signs / Lights</t>
  </si>
  <si>
    <t>6012400</t>
  </si>
  <si>
    <t>Parking Meter / Permit Expenses</t>
  </si>
  <si>
    <t>6012500</t>
  </si>
  <si>
    <t>Street Sweeping / Snow Removal</t>
  </si>
  <si>
    <t>6012700</t>
  </si>
  <si>
    <t>Town Hall Property Expenses</t>
  </si>
  <si>
    <t>Town Wide Expenses</t>
  </si>
  <si>
    <t>6040100</t>
  </si>
  <si>
    <t>6040110</t>
  </si>
  <si>
    <t>6040130</t>
  </si>
  <si>
    <t>6040140</t>
  </si>
  <si>
    <t>6040150</t>
  </si>
  <si>
    <t>6040160</t>
  </si>
  <si>
    <t>6040500</t>
  </si>
  <si>
    <t>6040530</t>
  </si>
  <si>
    <t>6040600</t>
  </si>
  <si>
    <t>6040610</t>
  </si>
  <si>
    <t>6041500</t>
  </si>
  <si>
    <t>6041700</t>
  </si>
  <si>
    <t>6041800</t>
  </si>
  <si>
    <t>Equipment / Asset Purchase</t>
  </si>
  <si>
    <t>Streets / Maintenance</t>
  </si>
  <si>
    <t>Subgroup : [7200.03] Streets</t>
  </si>
  <si>
    <t>Subgroup : [7200.04]</t>
  </si>
  <si>
    <t>Beach Safety</t>
  </si>
  <si>
    <t>6080100</t>
  </si>
  <si>
    <t>6080110</t>
  </si>
  <si>
    <t>6080130</t>
  </si>
  <si>
    <t>6080160</t>
  </si>
  <si>
    <t>Seasonal Employee - Local Taxes</t>
  </si>
  <si>
    <t>6080500</t>
  </si>
  <si>
    <t>6080510</t>
  </si>
  <si>
    <t>6080530</t>
  </si>
  <si>
    <t>6080550</t>
  </si>
  <si>
    <t>Landhold Lease - LSS</t>
  </si>
  <si>
    <t>6080600</t>
  </si>
  <si>
    <t>6080610</t>
  </si>
  <si>
    <t>6081200</t>
  </si>
  <si>
    <t>6081300</t>
  </si>
  <si>
    <t>6081400</t>
  </si>
  <si>
    <t>6081500</t>
  </si>
  <si>
    <t>6081600</t>
  </si>
  <si>
    <t>6081700</t>
  </si>
  <si>
    <t>6081900</t>
  </si>
  <si>
    <t>Subgroup : [7200.04] Beach Safety</t>
  </si>
  <si>
    <t>Group Total [7200] Expenditures</t>
  </si>
  <si>
    <t>NET INCOME (LOSS)</t>
  </si>
  <si>
    <t>FY2021 Actual</t>
  </si>
  <si>
    <t>FY2022 Actual</t>
  </si>
  <si>
    <t>FY2023 Actual</t>
  </si>
  <si>
    <t>FY2024 Actual</t>
  </si>
  <si>
    <t>FY2025 YTD Actual</t>
  </si>
  <si>
    <t>12.20.24 Budget Amendment</t>
  </si>
  <si>
    <t>Change from Amended FY2025</t>
  </si>
  <si>
    <t>FY25 to FY26 Overall Difference</t>
  </si>
  <si>
    <t>Change from FY2025</t>
  </si>
  <si>
    <t>Items Requested</t>
  </si>
  <si>
    <t>Total Salaries</t>
  </si>
  <si>
    <t>Salaries + Benefits + Taxes + Pensions - Officers</t>
  </si>
  <si>
    <t>Salaries + Benefits + Taxes + Pensions - Admin</t>
  </si>
  <si>
    <t>\</t>
  </si>
  <si>
    <t>Salaries + Taxes +  - Seasonal</t>
  </si>
  <si>
    <t>Some items in Professional Feees, Dues Publications &amp; Subscriptions, &amp; Equipment Maintenance have been reclassified</t>
  </si>
  <si>
    <t>Set Asides</t>
  </si>
  <si>
    <t>FY2025 Actual</t>
  </si>
  <si>
    <t>FY2027 Budget</t>
  </si>
  <si>
    <t>Police Extra Duty - Pay Jobs</t>
  </si>
  <si>
    <t>Year Round Employee - Overtime</t>
  </si>
  <si>
    <t>Seasonal Employee - Overtime</t>
  </si>
  <si>
    <t>Special Duty 1 - Pay Jobs</t>
  </si>
  <si>
    <t>Special Duty 2 - Extra Duty</t>
  </si>
  <si>
    <t>Administrative Year Round - Overtime</t>
  </si>
  <si>
    <t>Year Round Officers - Overtime</t>
  </si>
  <si>
    <t>Change from Amended FY2026</t>
  </si>
  <si>
    <t>Special Duty 2 - Grant OT</t>
  </si>
  <si>
    <t>FY2026 Actual YTD</t>
  </si>
  <si>
    <t>Vehicle Repair / Maintenance</t>
  </si>
  <si>
    <t>01.16.26 Amended Budget</t>
  </si>
  <si>
    <t>Increased by 7% ($50k) due to increased values of homes</t>
  </si>
  <si>
    <t>Decreased due to projected loss from change in permitting standards and FY26 actual</t>
  </si>
  <si>
    <t>Increased from original FY26 budget, lower than amended budget.  More tickets written in FY26 than past</t>
  </si>
  <si>
    <t>Kept same as FY26 original budget</t>
  </si>
  <si>
    <t>Already have Starboard saying they will use TODB officers for extra duty</t>
  </si>
  <si>
    <t>Pension reinbursement based on pension town pays into system</t>
  </si>
  <si>
    <t>We are using funds so even though higher than FY26, the majority of excess will be gone by end of FY27</t>
  </si>
  <si>
    <t>Full year of only one bank that does not charge service fees and lower credit card processor</t>
  </si>
  <si>
    <t>Based on transfer tax revenues</t>
  </si>
  <si>
    <t>Have to plan for an election even if haven't needed the funds for 3 years</t>
  </si>
  <si>
    <t>Requests for higher donation to RBVFC was made</t>
  </si>
  <si>
    <t>Costs have gone up</t>
  </si>
  <si>
    <t>Same as FY26 original budget</t>
  </si>
  <si>
    <t xml:space="preserve">Costs increase </t>
  </si>
  <si>
    <t>Time to renew Comp Plan</t>
  </si>
  <si>
    <t>Additional hardware possibly needed for new bulding</t>
  </si>
  <si>
    <t>More employees</t>
  </si>
  <si>
    <t>Costs decrease since not using Intuit after 01.01.26</t>
  </si>
  <si>
    <t xml:space="preserve">OT split out for budget </t>
  </si>
  <si>
    <t>Combining costs for all departments except Maintenance &amp; LSS electric under one umbrella</t>
  </si>
  <si>
    <t>Small increase from original FY26 budget</t>
  </si>
  <si>
    <t>Costs have increased</t>
  </si>
  <si>
    <t>Moved to single cost umbrella</t>
  </si>
  <si>
    <t>Based projection on new ee needing full family coverage for all insurance.  Prior ee only had employee converage</t>
  </si>
  <si>
    <t>Lower starting salary for new ee</t>
  </si>
  <si>
    <t>New Employee will need shirts</t>
  </si>
  <si>
    <t>Increase from original FY26 budget</t>
  </si>
  <si>
    <t>Needing fewer outside resources with full staffing</t>
  </si>
  <si>
    <t>More employees participating (3% obligation)</t>
  </si>
  <si>
    <t>Will be reallocated to single cost umbrella</t>
  </si>
  <si>
    <t>These expenses are mostly covered by grants</t>
  </si>
  <si>
    <t>Down from FY26 original budget</t>
  </si>
  <si>
    <t>Increased cost of life insurance</t>
  </si>
  <si>
    <t>Change from Original FY2026</t>
  </si>
  <si>
    <t>Possible Revenue Changes</t>
  </si>
  <si>
    <t>Revised Proposed Budget</t>
  </si>
  <si>
    <t>Combining costs for all departments except Maintenance &amp; LSS under one umbrella</t>
  </si>
  <si>
    <t>TOTAL YEAR ROUND EMPLOYEE OBLIGATION</t>
  </si>
  <si>
    <t>TOTAL SEASONAL EMPLOYEE OBLIGATION</t>
  </si>
  <si>
    <t>TOTAL TOWN WIDE EXPENSES</t>
  </si>
  <si>
    <t>TOTAL TAXES &amp; ASSESSMENTS</t>
  </si>
  <si>
    <t>TOTAL LICENSES, PERMITS &amp; FEES</t>
  </si>
  <si>
    <t>TOTAL FINES</t>
  </si>
  <si>
    <t>TOTAL DONATIONS &amp; OTHER REVENUES - PUBLIC SAFETY</t>
  </si>
  <si>
    <t>TOTAL INVESTMENT INCOME</t>
  </si>
  <si>
    <t>TOTAL OTHER REVENUES</t>
  </si>
  <si>
    <t>TOTAL ALL REVENUE</t>
  </si>
  <si>
    <t>TOTAL TOWN WIDE ADMINISTRATIVE EXPENSES</t>
  </si>
  <si>
    <t>ADMINISTRATION</t>
  </si>
  <si>
    <t>TOWN WIDE EXPENSES</t>
  </si>
  <si>
    <t>TOTAL ADMINISTRATION EXPENSES</t>
  </si>
  <si>
    <t>PARKING ENFORCEMENT</t>
  </si>
  <si>
    <t>TOTAL PARKING ENFORCEMENT EXPENSES</t>
  </si>
  <si>
    <t>BUILDING &amp; CODE ENFORCEMENT</t>
  </si>
  <si>
    <t>TOTAL BUILDING &amp; CODE ENFORCEMENT EXPENSES</t>
  </si>
  <si>
    <t>ALDERMAN COURT</t>
  </si>
  <si>
    <t>TOTAL ALDERMAN COURT EXPENSES</t>
  </si>
  <si>
    <t>TOTAL GENERAL &amp; ADMINISTRATIVE EXPENSES</t>
  </si>
  <si>
    <t>TAXES &amp; ASSESSMENTS</t>
  </si>
  <si>
    <t>LICENSES, PERMITS &amp; FEES</t>
  </si>
  <si>
    <t>FINES</t>
  </si>
  <si>
    <t>DONATIONS &amp; OTHER REVENUE - PUBLIC SAFETY</t>
  </si>
  <si>
    <t>INVESTMENT INCOME</t>
  </si>
  <si>
    <t>OTHER REVENUES</t>
  </si>
  <si>
    <t>GENERAL &amp; ADMINISTRATIVE EXPENSES</t>
  </si>
  <si>
    <t>PUBLIC SAFETY</t>
  </si>
  <si>
    <t>TOTAL YEAR ROUND ADMINISTRATIVE EMPLOYEE OBLIGATION</t>
  </si>
  <si>
    <t>TOTAL PUBLIC SAFETY</t>
  </si>
  <si>
    <t>STREETS</t>
  </si>
  <si>
    <t>MAINTENANCE</t>
  </si>
  <si>
    <t>TOTAL MAINTENANCE EXPENSES</t>
  </si>
  <si>
    <t>BEACH SAFETY</t>
  </si>
  <si>
    <t>TOTAL BEACH SAFETY EXPENSES</t>
  </si>
  <si>
    <t>TOTAL EXPENDITURES</t>
  </si>
  <si>
    <t>TOTAL STREETS EXPENSES</t>
  </si>
  <si>
    <t>20% Building Permits to Streets</t>
  </si>
  <si>
    <t>50% Hotel Lodging Tax to Town Hall</t>
  </si>
  <si>
    <t>Total Set Asides</t>
  </si>
  <si>
    <t>Net Change</t>
  </si>
  <si>
    <r>
      <t xml:space="preserve">Changed because parking permit patterns change  </t>
    </r>
    <r>
      <rPr>
        <b/>
        <sz val="11"/>
        <color rgb="FF00B050"/>
        <rFont val="Arial"/>
        <family val="2"/>
      </rPr>
      <t>Possible change if Weekend Rate to $60 and 8-Day Rate to $120</t>
    </r>
  </si>
  <si>
    <t>Possible change if:  All Small business pay $260, All Large businesses pay $520, Per seat goes to $15, Per Room goes to $25</t>
  </si>
  <si>
    <t>Possible change if:  Base is $250, with each additional room over 2 goes to $20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</si>
</sst>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1" x14ac:knownFonts="1">
    <font>
      <sz val="11"/>
      <color theme="1"/>
      <name val="Aptos Narrow"/>
      <family val="2"/>
      <scheme val="minor"/>
    </font>
    <font>
      <b/>
      <sz val="10"/>
      <color indexed="9"/>
      <name val="Arial"/>
      <family val="2"/>
    </font>
    <font>
      <b/>
      <sz val="11"/>
      <color indexed="9"/>
      <name val="Arial"/>
      <family val="2"/>
    </font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sz val="11"/>
      <color indexed="9"/>
      <name val="Arial"/>
      <family val="2"/>
    </font>
    <font>
      <b/>
      <sz val="10"/>
      <color rgb="FF0000FF"/>
      <name val="Arial"/>
      <family val="2"/>
    </font>
    <font>
      <b/>
      <sz val="11"/>
      <color rgb="FF0000FF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rgb="FF00B0F0"/>
      <name val="Arial"/>
      <family val="2"/>
    </font>
    <font>
      <b/>
      <sz val="11"/>
      <color theme="8" tint="0.39997558519241921"/>
      <name val="Arial"/>
      <family val="2"/>
    </font>
    <font>
      <b/>
      <sz val="11"/>
      <color rgb="FFFF0000"/>
      <name val="Arial"/>
      <family val="2"/>
    </font>
    <font>
      <b/>
      <sz val="11"/>
      <color rgb="FF00B05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2">
    <xf numFmtId="0" fontId="0" fillId="0" borderId="0"/>
    <xf numFmtId="43" fontId="3" fillId="0" borderId="0" applyFont="0" applyFill="0" applyBorder="0" applyAlignment="0" applyProtection="0"/>
    <xf numFmtId="40" fontId="1" fillId="2" borderId="0">
      <alignment horizontal="center" vertical="center"/>
    </xf>
    <xf numFmtId="40" fontId="1" fillId="2" borderId="0">
      <alignment horizontal="center" vertical="center"/>
    </xf>
    <xf numFmtId="0" fontId="1" fillId="2" borderId="0">
      <alignment horizontal="center" vertical="center"/>
    </xf>
    <xf numFmtId="40" fontId="1" fillId="2" borderId="0"/>
    <xf numFmtId="40" fontId="1" fillId="2" borderId="0"/>
    <xf numFmtId="40" fontId="5" fillId="4" borderId="0">
      <alignment horizontal="left"/>
    </xf>
    <xf numFmtId="40" fontId="5" fillId="4" borderId="0">
      <alignment horizontal="left"/>
    </xf>
    <xf numFmtId="0" fontId="7" fillId="5" borderId="0">
      <alignment horizontal="left"/>
    </xf>
    <xf numFmtId="0" fontId="7" fillId="5" borderId="0">
      <alignment horizontal="left"/>
    </xf>
    <xf numFmtId="0" fontId="9" fillId="0" borderId="0">
      <alignment horizontal="left"/>
    </xf>
    <xf numFmtId="0" fontId="9" fillId="0" borderId="0">
      <alignment horizontal="left"/>
    </xf>
    <xf numFmtId="40" fontId="9" fillId="0" borderId="0">
      <alignment horizontal="right"/>
    </xf>
    <xf numFmtId="40" fontId="7" fillId="0" borderId="0">
      <alignment horizontal="left"/>
    </xf>
    <xf numFmtId="40" fontId="7" fillId="0" borderId="0">
      <alignment horizontal="left"/>
    </xf>
    <xf numFmtId="40" fontId="7" fillId="0" borderId="1">
      <alignment horizontal="right"/>
    </xf>
    <xf numFmtId="40" fontId="7" fillId="0" borderId="0">
      <alignment horizontal="left"/>
    </xf>
    <xf numFmtId="40" fontId="7" fillId="0" borderId="0">
      <alignment horizontal="left"/>
    </xf>
    <xf numFmtId="0" fontId="13" fillId="0" borderId="0">
      <alignment horizontal="left"/>
    </xf>
    <xf numFmtId="0" fontId="13" fillId="0" borderId="0">
      <alignment horizontal="left"/>
    </xf>
    <xf numFmtId="9" fontId="3" fillId="0" borderId="0" applyFont="0" applyFill="0" applyBorder="0" applyAlignment="0" applyProtection="0"/>
  </cellStyleXfs>
  <cellXfs count="87">
    <xf numFmtId="0" fontId="0" fillId="0" borderId="0" xfId="0"/>
    <xf numFmtId="40" fontId="2" fillId="2" borderId="0" xfId="2" quotePrefix="1" applyFont="1">
      <alignment horizontal="center" vertical="center"/>
    </xf>
    <xf numFmtId="40" fontId="2" fillId="2" borderId="0" xfId="3" quotePrefix="1" applyFont="1">
      <alignment horizontal="center" vertical="center"/>
    </xf>
    <xf numFmtId="0" fontId="2" fillId="3" borderId="0" xfId="4" quotePrefix="1" applyFont="1" applyFill="1">
      <alignment horizontal="center" vertical="center"/>
    </xf>
    <xf numFmtId="0" fontId="4" fillId="0" borderId="0" xfId="0" applyFont="1"/>
    <xf numFmtId="40" fontId="2" fillId="2" borderId="0" xfId="2" applyFont="1">
      <alignment horizontal="center" vertical="center"/>
    </xf>
    <xf numFmtId="40" fontId="2" fillId="2" borderId="0" xfId="3" applyFont="1">
      <alignment horizontal="center" vertical="center"/>
    </xf>
    <xf numFmtId="40" fontId="2" fillId="2" borderId="0" xfId="5" quotePrefix="1" applyFont="1"/>
    <xf numFmtId="40" fontId="2" fillId="2" borderId="0" xfId="6" quotePrefix="1" applyFont="1"/>
    <xf numFmtId="40" fontId="6" fillId="4" borderId="0" xfId="7" quotePrefix="1" applyFont="1">
      <alignment horizontal="left"/>
    </xf>
    <xf numFmtId="40" fontId="6" fillId="4" borderId="0" xfId="8" quotePrefix="1" applyFont="1">
      <alignment horizontal="left"/>
    </xf>
    <xf numFmtId="43" fontId="4" fillId="0" borderId="0" xfId="1" applyFont="1"/>
    <xf numFmtId="0" fontId="8" fillId="5" borderId="0" xfId="9" quotePrefix="1" applyFont="1">
      <alignment horizontal="left"/>
    </xf>
    <xf numFmtId="0" fontId="8" fillId="5" borderId="0" xfId="10" quotePrefix="1" applyFont="1">
      <alignment horizontal="left"/>
    </xf>
    <xf numFmtId="0" fontId="10" fillId="0" borderId="0" xfId="11" quotePrefix="1" applyFont="1">
      <alignment horizontal="left"/>
    </xf>
    <xf numFmtId="0" fontId="10" fillId="0" borderId="0" xfId="12" quotePrefix="1" applyFont="1">
      <alignment horizontal="left"/>
    </xf>
    <xf numFmtId="40" fontId="10" fillId="0" borderId="0" xfId="13" applyFont="1">
      <alignment horizontal="right"/>
    </xf>
    <xf numFmtId="40" fontId="8" fillId="0" borderId="0" xfId="14" quotePrefix="1" applyFont="1">
      <alignment horizontal="left"/>
    </xf>
    <xf numFmtId="40" fontId="8" fillId="0" borderId="0" xfId="15" quotePrefix="1" applyFont="1">
      <alignment horizontal="left"/>
    </xf>
    <xf numFmtId="40" fontId="10" fillId="0" borderId="0" xfId="16" applyFont="1" applyBorder="1">
      <alignment horizontal="right"/>
    </xf>
    <xf numFmtId="0" fontId="11" fillId="0" borderId="0" xfId="0" applyFont="1"/>
    <xf numFmtId="0" fontId="10" fillId="0" borderId="0" xfId="11" applyFont="1">
      <alignment horizontal="left"/>
    </xf>
    <xf numFmtId="0" fontId="10" fillId="0" borderId="0" xfId="12" applyFont="1">
      <alignment horizontal="left"/>
    </xf>
    <xf numFmtId="40" fontId="8" fillId="0" borderId="0" xfId="17" quotePrefix="1" applyFont="1">
      <alignment horizontal="left"/>
    </xf>
    <xf numFmtId="40" fontId="8" fillId="0" borderId="0" xfId="18" quotePrefix="1" applyFont="1">
      <alignment horizontal="left"/>
    </xf>
    <xf numFmtId="43" fontId="4" fillId="0" borderId="0" xfId="1" applyFont="1" applyBorder="1"/>
    <xf numFmtId="0" fontId="12" fillId="0" borderId="0" xfId="5" applyNumberFormat="1" applyFont="1" applyFill="1"/>
    <xf numFmtId="0" fontId="2" fillId="0" borderId="0" xfId="5" quotePrefix="1" applyNumberFormat="1" applyFont="1" applyFill="1"/>
    <xf numFmtId="0" fontId="2" fillId="0" borderId="0" xfId="5" applyNumberFormat="1" applyFont="1" applyFill="1"/>
    <xf numFmtId="0" fontId="8" fillId="0" borderId="0" xfId="11" quotePrefix="1" applyFont="1">
      <alignment horizontal="left"/>
    </xf>
    <xf numFmtId="0" fontId="8" fillId="0" borderId="0" xfId="12" quotePrefix="1" applyFont="1">
      <alignment horizontal="left"/>
    </xf>
    <xf numFmtId="0" fontId="14" fillId="0" borderId="0" xfId="19" applyFont="1">
      <alignment horizontal="left"/>
    </xf>
    <xf numFmtId="0" fontId="14" fillId="0" borderId="0" xfId="20" quotePrefix="1" applyFont="1">
      <alignment horizontal="left"/>
    </xf>
    <xf numFmtId="0" fontId="4" fillId="0" borderId="0" xfId="0" applyFont="1" applyProtection="1">
      <protection locked="0"/>
    </xf>
    <xf numFmtId="40" fontId="4" fillId="0" borderId="0" xfId="0" applyNumberFormat="1" applyFont="1" applyProtection="1">
      <protection locked="0"/>
    </xf>
    <xf numFmtId="43" fontId="4" fillId="0" borderId="0" xfId="1" applyFont="1" applyProtection="1">
      <protection locked="0"/>
    </xf>
    <xf numFmtId="43" fontId="4" fillId="0" borderId="0" xfId="1" quotePrefix="1" applyFont="1" applyProtection="1">
      <protection locked="0"/>
    </xf>
    <xf numFmtId="43" fontId="4" fillId="0" borderId="0" xfId="0" applyNumberFormat="1" applyFont="1"/>
    <xf numFmtId="9" fontId="4" fillId="0" borderId="0" xfId="21" applyFont="1"/>
    <xf numFmtId="9" fontId="11" fillId="0" borderId="0" xfId="21" applyFont="1"/>
    <xf numFmtId="43" fontId="0" fillId="0" borderId="0" xfId="0" applyNumberFormat="1"/>
    <xf numFmtId="0" fontId="4" fillId="6" borderId="0" xfId="0" applyFont="1" applyFill="1"/>
    <xf numFmtId="0" fontId="4" fillId="7" borderId="0" xfId="0" applyFont="1" applyFill="1"/>
    <xf numFmtId="43" fontId="2" fillId="0" borderId="0" xfId="1" applyFont="1" applyFill="1"/>
    <xf numFmtId="43" fontId="11" fillId="0" borderId="0" xfId="1" applyFont="1"/>
    <xf numFmtId="9" fontId="4" fillId="0" borderId="0" xfId="21" applyFont="1" applyAlignment="1">
      <alignment horizontal="center" wrapText="1"/>
    </xf>
    <xf numFmtId="43" fontId="2" fillId="2" borderId="0" xfId="4" quotePrefix="1" applyNumberFormat="1" applyFont="1" applyAlignment="1">
      <alignment horizontal="center" vertical="center" wrapText="1"/>
    </xf>
    <xf numFmtId="9" fontId="4" fillId="8" borderId="0" xfId="21" applyFont="1" applyFill="1"/>
    <xf numFmtId="9" fontId="4" fillId="0" borderId="0" xfId="21" applyFont="1" applyAlignment="1">
      <alignment vertical="center" wrapText="1"/>
    </xf>
    <xf numFmtId="43" fontId="4" fillId="0" borderId="0" xfId="1" applyFont="1" applyAlignment="1" applyProtection="1">
      <alignment horizontal="right"/>
      <protection locked="0"/>
    </xf>
    <xf numFmtId="9" fontId="4" fillId="0" borderId="0" xfId="21" applyFont="1" applyAlignment="1">
      <alignment wrapText="1"/>
    </xf>
    <xf numFmtId="9" fontId="11" fillId="0" borderId="0" xfId="21" applyFont="1" applyAlignment="1">
      <alignment wrapText="1"/>
    </xf>
    <xf numFmtId="0" fontId="2" fillId="2" borderId="0" xfId="4" quotePrefix="1" applyFont="1" applyAlignment="1">
      <alignment horizontal="center" vertical="center" wrapText="1"/>
    </xf>
    <xf numFmtId="9" fontId="4" fillId="0" borderId="0" xfId="21" applyFont="1" applyAlignment="1">
      <alignment horizontal="center" vertical="center" wrapText="1"/>
    </xf>
    <xf numFmtId="9" fontId="4" fillId="0" borderId="0" xfId="21" applyFont="1" applyAlignment="1">
      <alignment horizontal="center" wrapText="1"/>
    </xf>
    <xf numFmtId="43" fontId="2" fillId="2" borderId="0" xfId="4" quotePrefix="1" applyNumberFormat="1" applyFont="1" applyAlignment="1">
      <alignment horizontal="center" vertical="center" wrapText="1"/>
    </xf>
    <xf numFmtId="9" fontId="4" fillId="0" borderId="2" xfId="21" applyFont="1" applyBorder="1" applyAlignment="1">
      <alignment horizontal="center" vertical="center" wrapText="1"/>
    </xf>
    <xf numFmtId="9" fontId="4" fillId="0" borderId="3" xfId="21" applyFont="1" applyBorder="1" applyAlignment="1">
      <alignment horizontal="center" vertical="center" wrapText="1"/>
    </xf>
    <xf numFmtId="9" fontId="4" fillId="0" borderId="4" xfId="21" applyFont="1" applyBorder="1" applyAlignment="1">
      <alignment horizontal="center" vertical="center" wrapText="1"/>
    </xf>
    <xf numFmtId="40" fontId="8" fillId="0" borderId="0" xfId="13" applyFont="1">
      <alignment horizontal="right"/>
    </xf>
    <xf numFmtId="40" fontId="8" fillId="0" borderId="0" xfId="16" applyFont="1" applyBorder="1">
      <alignment horizontal="right"/>
    </xf>
    <xf numFmtId="43" fontId="11" fillId="0" borderId="0" xfId="0" applyNumberFormat="1" applyFont="1"/>
    <xf numFmtId="0" fontId="17" fillId="0" borderId="0" xfId="19" applyFont="1">
      <alignment horizontal="left"/>
    </xf>
    <xf numFmtId="0" fontId="17" fillId="0" borderId="0" xfId="20" quotePrefix="1" applyFont="1">
      <alignment horizontal="left"/>
    </xf>
    <xf numFmtId="0" fontId="17" fillId="3" borderId="0" xfId="4" quotePrefix="1" applyFont="1" applyFill="1">
      <alignment horizontal="center" vertical="center"/>
    </xf>
    <xf numFmtId="43" fontId="17" fillId="0" borderId="0" xfId="1" applyFont="1"/>
    <xf numFmtId="9" fontId="17" fillId="0" borderId="0" xfId="21" applyFont="1"/>
    <xf numFmtId="9" fontId="17" fillId="0" borderId="0" xfId="21" applyFont="1" applyAlignment="1">
      <alignment wrapText="1"/>
    </xf>
    <xf numFmtId="43" fontId="17" fillId="0" borderId="0" xfId="0" applyNumberFormat="1" applyFont="1"/>
    <xf numFmtId="0" fontId="17" fillId="0" borderId="0" xfId="0" applyFont="1"/>
    <xf numFmtId="40" fontId="6" fillId="0" borderId="0" xfId="7" quotePrefix="1" applyFont="1" applyFill="1">
      <alignment horizontal="left"/>
    </xf>
    <xf numFmtId="40" fontId="18" fillId="0" borderId="0" xfId="15" quotePrefix="1" applyFont="1">
      <alignment horizontal="left"/>
    </xf>
    <xf numFmtId="43" fontId="18" fillId="0" borderId="0" xfId="1" applyFont="1"/>
    <xf numFmtId="0" fontId="18" fillId="3" borderId="0" xfId="4" quotePrefix="1" applyFont="1" applyFill="1">
      <alignment horizontal="center" vertical="center"/>
    </xf>
    <xf numFmtId="40" fontId="18" fillId="0" borderId="0" xfId="16" applyFont="1" applyBorder="1">
      <alignment horizontal="right"/>
    </xf>
    <xf numFmtId="43" fontId="4" fillId="0" borderId="0" xfId="1" applyFont="1" applyAlignment="1">
      <alignment horizontal="right"/>
    </xf>
    <xf numFmtId="43" fontId="11" fillId="0" borderId="0" xfId="1" applyFont="1" applyFill="1" applyAlignment="1" applyProtection="1">
      <alignment horizontal="right"/>
      <protection locked="0"/>
    </xf>
    <xf numFmtId="43" fontId="11" fillId="0" borderId="0" xfId="1" applyFont="1" applyFill="1" applyProtection="1">
      <protection locked="0"/>
    </xf>
    <xf numFmtId="43" fontId="11" fillId="0" borderId="0" xfId="1" applyFont="1" applyFill="1"/>
    <xf numFmtId="43" fontId="19" fillId="0" borderId="0" xfId="1" applyFont="1" applyFill="1" applyProtection="1">
      <protection locked="0"/>
    </xf>
    <xf numFmtId="43" fontId="20" fillId="0" borderId="0" xfId="1" applyFont="1" applyFill="1" applyProtection="1">
      <protection locked="0"/>
    </xf>
    <xf numFmtId="43" fontId="4" fillId="0" borderId="5" xfId="1" applyFont="1" applyBorder="1" applyProtection="1">
      <protection locked="0"/>
    </xf>
    <xf numFmtId="43" fontId="4" fillId="0" borderId="5" xfId="1" applyFont="1" applyBorder="1" applyAlignment="1" applyProtection="1">
      <alignment horizontal="right"/>
      <protection locked="0"/>
    </xf>
    <xf numFmtId="43" fontId="4" fillId="0" borderId="5" xfId="1" applyFont="1" applyBorder="1"/>
    <xf numFmtId="43" fontId="20" fillId="0" borderId="0" xfId="1" applyFont="1"/>
    <xf numFmtId="9" fontId="20" fillId="0" borderId="0" xfId="21" applyFont="1" applyAlignment="1">
      <alignment wrapText="1"/>
    </xf>
    <xf numFmtId="9" fontId="19" fillId="0" borderId="0" xfId="21" applyFont="1" applyAlignment="1">
      <alignment wrapText="1"/>
    </xf>
  </cellXfs>
  <cellStyles count="22">
    <cellStyle name="AccountDetailRowBalanceCol" xfId="13" xr:uid="{CB01F5C2-9931-4BD8-A1EA-2FDCB6E72325}"/>
    <cellStyle name="AccountDetailRowDescCol" xfId="12" xr:uid="{3D39F3DB-35D3-4678-9C5D-A1DD37A2F430}"/>
    <cellStyle name="AccountDetailRowNameCol" xfId="11" xr:uid="{6ECC5DEE-2B56-4B60-9B4D-8AC0D028C120}"/>
    <cellStyle name="ColumnHeaderRowBalanceCol" xfId="4" xr:uid="{EAD3E7C8-0FF3-40F2-B579-01A91634A13C}"/>
    <cellStyle name="ColumnHeaderRowDescCol" xfId="3" xr:uid="{8F34814B-A845-465A-A425-769A2A25EF53}"/>
    <cellStyle name="ColumnHeaderRowNameCol" xfId="2" xr:uid="{1CF32827-A94A-4B0D-8EAB-397C027AD8C6}"/>
    <cellStyle name="Comma" xfId="1" builtinId="3"/>
    <cellStyle name="FundSectionHeaderRowDescCol" xfId="10" xr:uid="{2D84BB4B-8F42-4BC0-BAD9-891E3D2472AC}"/>
    <cellStyle name="FundSectionHeaderRowNameCol" xfId="9" xr:uid="{1F60E573-6189-43C5-A574-B8A9F061FCCA}"/>
    <cellStyle name="GroupSectionHeaderRowDescCol" xfId="6" xr:uid="{B4DF0CA6-445E-4730-ABBA-CDFC29453B3A}"/>
    <cellStyle name="GroupSectionHeaderRowNameCol" xfId="5" xr:uid="{051642A0-B90A-41D8-AB2D-932193C335B3}"/>
    <cellStyle name="NetIncomeLossRowDescCol" xfId="20" xr:uid="{FE8FCFFA-AB3E-4EA0-865D-2A4BF22EE6E2}"/>
    <cellStyle name="NetIncomeLossRowNameCol" xfId="19" xr:uid="{7D7D1EA3-9B95-4CAF-89E6-27F32B363E9B}"/>
    <cellStyle name="Normal" xfId="0" builtinId="0"/>
    <cellStyle name="Percent" xfId="21" builtinId="5"/>
    <cellStyle name="SubgroupSectionHeaderRowDescCol" xfId="8" xr:uid="{B9553AE1-339E-4D11-A3AE-6C2449B75F2C}"/>
    <cellStyle name="SubgroupSectionHeaderRowNameCol" xfId="7" xr:uid="{AD3FF9E3-AACA-42DC-8AEB-753F22B22D97}"/>
    <cellStyle name="SubgroupSubtotalRowBalanceCol" xfId="16" xr:uid="{F4081783-BD25-4F26-B907-98057DBE6F98}"/>
    <cellStyle name="SubgroupSubtotalRowDescCol" xfId="15" xr:uid="{235D118F-1BFD-4878-B111-8AA62DA5BA54}"/>
    <cellStyle name="SubgroupSubtotalRowNameCol" xfId="14" xr:uid="{42022C7A-01D5-4F9A-A971-42242C558A18}"/>
    <cellStyle name="UnclassifiedTotalRowDescCol" xfId="18" xr:uid="{623DAF64-EE1D-4AB3-971F-DB751A1AA45B}"/>
    <cellStyle name="UnclassifiedTotalRowNameCol" xfId="17" xr:uid="{7E093452-6E61-4FCF-93BE-83E0FFC0BC21}"/>
  </cellStyles>
  <dxfs count="5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\Sheena\Sheena\Analysis%20&amp;%20Recons\FY%2026%20Budget%20Prep\Employee%20Obligation%2009.18.24.xlsx" TargetMode="External"/><Relationship Id="rId1" Type="http://schemas.openxmlformats.org/officeDocument/2006/relationships/externalLinkPath" Target="/personal/sheena_townofdeweybeach_com/Documents/Accounting%20Supervisor/Analysis%20&amp;%20Recons/FY%2026%20Budget%20Prep/Employee%20Obligation%2009.18.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6% &amp; 7% - + new employees"/>
      <sheetName val="Non-Union - 2.25"/>
      <sheetName val="Non-Union - 3%"/>
      <sheetName val="Non-Union - 3.5%"/>
      <sheetName val="Non-Union - 4%"/>
      <sheetName val="Non-Union - 5%"/>
      <sheetName val="Non-Union - State Pension"/>
      <sheetName val="Participants"/>
      <sheetName val="Union"/>
      <sheetName val="5% &amp; 6% - + new employees"/>
      <sheetName val="5% &amp; 6% - no new employees"/>
      <sheetName val="Proposed - 01.24.22 - CS &amp; BZ"/>
    </sheetNames>
    <sheetDataSet>
      <sheetData sheetId="0"/>
      <sheetData sheetId="1"/>
      <sheetData sheetId="2"/>
      <sheetData sheetId="3">
        <row r="13">
          <cell r="I13">
            <v>391045.2672</v>
          </cell>
          <cell r="K13">
            <v>80705.51999999999</v>
          </cell>
          <cell r="L13">
            <v>3616.08</v>
          </cell>
          <cell r="M13">
            <v>1225.6799999999998</v>
          </cell>
          <cell r="O13">
            <v>4129.1035199999997</v>
          </cell>
          <cell r="P13">
            <v>31283.621375999999</v>
          </cell>
          <cell r="R13">
            <v>508.35884736000003</v>
          </cell>
          <cell r="V13">
            <v>9750.8370510000004</v>
          </cell>
          <cell r="X13">
            <v>191.96250528000002</v>
          </cell>
          <cell r="Y13">
            <v>13.6760881663</v>
          </cell>
          <cell r="Z13">
            <v>780.06696408000005</v>
          </cell>
        </row>
        <row r="17">
          <cell r="I17">
            <v>115664.64000000001</v>
          </cell>
        </row>
        <row r="27">
          <cell r="I27">
            <v>296862.59399999998</v>
          </cell>
          <cell r="K27">
            <v>122620.34</v>
          </cell>
          <cell r="L27">
            <v>4802.3999999999996</v>
          </cell>
          <cell r="M27">
            <v>1474.04</v>
          </cell>
          <cell r="N27">
            <v>698.24</v>
          </cell>
          <cell r="O27">
            <v>2686.9315200000001</v>
          </cell>
          <cell r="P27">
            <v>23749.007519999999</v>
          </cell>
          <cell r="R27">
            <v>385.92137220000001</v>
          </cell>
          <cell r="V27">
            <v>56584.270813499999</v>
          </cell>
          <cell r="X27">
            <v>528.92274999999995</v>
          </cell>
          <cell r="Y27">
            <v>73.559552057550007</v>
          </cell>
          <cell r="Z27">
            <v>4526.7416650799996</v>
          </cell>
        </row>
        <row r="32">
          <cell r="I32">
            <v>105336.50399999999</v>
          </cell>
          <cell r="K32">
            <v>75656.86</v>
          </cell>
          <cell r="L32">
            <v>2419.4</v>
          </cell>
          <cell r="M32">
            <v>655.28</v>
          </cell>
          <cell r="N32">
            <v>2311.8000000000002</v>
          </cell>
          <cell r="O32">
            <v>1696.6216799999997</v>
          </cell>
          <cell r="P32">
            <v>8426.9203200000011</v>
          </cell>
          <cell r="R32">
            <v>3244.3643231999999</v>
          </cell>
          <cell r="V32">
            <v>2918.7</v>
          </cell>
          <cell r="X32">
            <v>61.176262499999993</v>
          </cell>
          <cell r="Y32">
            <v>89.895959999999988</v>
          </cell>
          <cell r="Z32">
            <v>233.49599999999998</v>
          </cell>
        </row>
        <row r="37">
          <cell r="I37">
            <v>69524.675999999992</v>
          </cell>
          <cell r="K37">
            <v>41158.660000000003</v>
          </cell>
          <cell r="L37">
            <v>1502.4</v>
          </cell>
          <cell r="M37">
            <v>407.28</v>
          </cell>
          <cell r="N37">
            <v>442.28</v>
          </cell>
          <cell r="P37">
            <v>5561.97408</v>
          </cell>
          <cell r="R37">
            <v>306.90857439999996</v>
          </cell>
          <cell r="V37">
            <v>6976.9349999999986</v>
          </cell>
          <cell r="Y37">
            <v>30.698513999999996</v>
          </cell>
          <cell r="Z37">
            <v>558.15479999999991</v>
          </cell>
        </row>
        <row r="43">
          <cell r="I43">
            <v>113560.2</v>
          </cell>
          <cell r="K43">
            <v>15886.84</v>
          </cell>
          <cell r="L43">
            <v>917.04</v>
          </cell>
          <cell r="M43">
            <v>247.68</v>
          </cell>
          <cell r="N43">
            <v>1464.3600000000001</v>
          </cell>
          <cell r="O43">
            <v>2018.25</v>
          </cell>
          <cell r="P43">
            <v>9084.8159999999989</v>
          </cell>
          <cell r="R43">
            <v>499.66487999999998</v>
          </cell>
        </row>
        <row r="47">
          <cell r="I47">
            <v>29062.799999999996</v>
          </cell>
          <cell r="P47">
            <v>2325.0239999999999</v>
          </cell>
          <cell r="R47">
            <v>37.781639999999996</v>
          </cell>
        </row>
      </sheetData>
      <sheetData sheetId="4"/>
      <sheetData sheetId="5"/>
      <sheetData sheetId="6"/>
      <sheetData sheetId="7"/>
      <sheetData sheetId="8">
        <row r="22">
          <cell r="H22">
            <v>947846.43999999983</v>
          </cell>
          <cell r="J22">
            <v>325580.26000000007</v>
          </cell>
          <cell r="K22">
            <v>10486.280000000002</v>
          </cell>
          <cell r="L22">
            <v>4085.0399999999986</v>
          </cell>
          <cell r="M22">
            <v>5495.688000000001</v>
          </cell>
          <cell r="N22">
            <v>157318.92819999999</v>
          </cell>
          <cell r="O22">
            <v>75827.715199999991</v>
          </cell>
          <cell r="Q22">
            <v>32321.563603999999</v>
          </cell>
          <cell r="U22">
            <v>126806.31610576922</v>
          </cell>
          <cell r="V22">
            <v>59400</v>
          </cell>
          <cell r="W22">
            <v>97500</v>
          </cell>
          <cell r="Y22">
            <v>9674.3853792067312</v>
          </cell>
          <cell r="Z22">
            <v>22696.505288461536</v>
          </cell>
        </row>
      </sheetData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3A679-2056-4796-9AF4-012377E14EFA}">
  <sheetPr>
    <pageSetUpPr fitToPage="1"/>
  </sheetPr>
  <dimension ref="A1:AB777"/>
  <sheetViews>
    <sheetView tabSelected="1" workbookViewId="0">
      <pane xSplit="2" ySplit="2" topLeftCell="K282" activePane="bottomRight" state="frozen"/>
      <selection pane="topRight" activeCell="C1" sqref="C1"/>
      <selection pane="bottomLeft" activeCell="A3" sqref="A3"/>
      <selection pane="bottomRight" activeCell="S306" sqref="S306"/>
    </sheetView>
  </sheetViews>
  <sheetFormatPr defaultColWidth="10.42578125" defaultRowHeight="14.25" x14ac:dyDescent="0.2"/>
  <cols>
    <col min="1" max="1" width="22" style="4" bestFit="1" customWidth="1"/>
    <col min="2" max="2" width="70.42578125" style="4" bestFit="1" customWidth="1"/>
    <col min="3" max="3" width="15" style="4" bestFit="1" customWidth="1"/>
    <col min="4" max="8" width="14.5703125" style="4" customWidth="1"/>
    <col min="9" max="9" width="2.7109375" style="4" customWidth="1"/>
    <col min="10" max="10" width="16.42578125" style="4" bestFit="1" customWidth="1"/>
    <col min="11" max="11" width="20" style="4" customWidth="1"/>
    <col min="12" max="12" width="2.7109375" style="4" customWidth="1"/>
    <col min="13" max="13" width="16.42578125" style="37" bestFit="1" customWidth="1"/>
    <col min="14" max="14" width="2.7109375" style="4" customWidth="1"/>
    <col min="15" max="16" width="16.42578125" style="37" customWidth="1"/>
    <col min="17" max="17" width="2.7109375" style="37" customWidth="1"/>
    <col min="18" max="18" width="11.85546875" style="37" customWidth="1"/>
    <col min="19" max="19" width="12.28515625" style="38" customWidth="1"/>
    <col min="20" max="20" width="51.42578125" style="50" customWidth="1"/>
    <col min="21" max="25" width="17.42578125" style="38" customWidth="1"/>
    <col min="26" max="26" width="12.7109375" style="4" customWidth="1"/>
    <col min="27" max="27" width="13.28515625" style="11" bestFit="1" customWidth="1"/>
    <col min="28" max="16384" width="10.42578125" style="4"/>
  </cols>
  <sheetData>
    <row r="1" spans="1:27" ht="30.75" customHeight="1" x14ac:dyDescent="0.2">
      <c r="A1" s="1" t="s">
        <v>0</v>
      </c>
      <c r="B1" s="2" t="s">
        <v>1</v>
      </c>
      <c r="C1" s="52" t="s">
        <v>327</v>
      </c>
      <c r="D1" s="52" t="s">
        <v>328</v>
      </c>
      <c r="E1" s="52" t="s">
        <v>329</v>
      </c>
      <c r="F1" s="52" t="s">
        <v>330</v>
      </c>
      <c r="G1" s="52" t="s">
        <v>344</v>
      </c>
      <c r="H1" s="52" t="s">
        <v>355</v>
      </c>
      <c r="I1" s="3"/>
      <c r="J1" s="52" t="s">
        <v>3</v>
      </c>
      <c r="K1" s="52" t="s">
        <v>357</v>
      </c>
      <c r="L1" s="3"/>
      <c r="M1" s="55" t="s">
        <v>345</v>
      </c>
      <c r="N1" s="3"/>
      <c r="O1" s="52" t="s">
        <v>392</v>
      </c>
      <c r="P1" s="52" t="s">
        <v>393</v>
      </c>
      <c r="Q1" s="46"/>
      <c r="R1" s="54" t="s">
        <v>391</v>
      </c>
      <c r="S1" s="54" t="s">
        <v>353</v>
      </c>
      <c r="T1" s="45"/>
      <c r="U1" s="45"/>
      <c r="V1" s="45"/>
      <c r="W1" s="45"/>
      <c r="X1" s="45"/>
      <c r="Y1" s="45"/>
    </row>
    <row r="2" spans="1:27" ht="30.75" customHeight="1" x14ac:dyDescent="0.2">
      <c r="A2" s="5"/>
      <c r="B2" s="6"/>
      <c r="C2" s="52"/>
      <c r="D2" s="52"/>
      <c r="E2" s="52"/>
      <c r="F2" s="52"/>
      <c r="G2" s="52"/>
      <c r="H2" s="52"/>
      <c r="I2" s="3"/>
      <c r="J2" s="52"/>
      <c r="K2" s="52"/>
      <c r="L2" s="3"/>
      <c r="M2" s="55"/>
      <c r="N2" s="3"/>
      <c r="O2" s="52"/>
      <c r="P2" s="52"/>
      <c r="Q2" s="46"/>
      <c r="R2" s="54"/>
      <c r="S2" s="54"/>
      <c r="T2" s="45"/>
      <c r="U2" s="45"/>
      <c r="V2" s="45"/>
      <c r="W2" s="45"/>
      <c r="X2" s="45"/>
      <c r="Y2" s="45"/>
    </row>
    <row r="3" spans="1:27" ht="15" x14ac:dyDescent="0.25">
      <c r="A3" s="7"/>
      <c r="B3" s="8" t="s">
        <v>5</v>
      </c>
      <c r="F3" s="4" t="s">
        <v>6</v>
      </c>
      <c r="G3" s="4" t="s">
        <v>6</v>
      </c>
      <c r="H3" s="4" t="s">
        <v>6</v>
      </c>
      <c r="I3" s="3"/>
      <c r="J3" s="4" t="s">
        <v>6</v>
      </c>
      <c r="L3" s="3"/>
      <c r="M3" s="37" t="s">
        <v>6</v>
      </c>
      <c r="N3" s="3"/>
      <c r="P3" s="37" t="s">
        <v>6</v>
      </c>
    </row>
    <row r="4" spans="1:27" ht="15" customHeight="1" x14ac:dyDescent="0.25">
      <c r="A4" s="9"/>
      <c r="B4" s="10" t="s">
        <v>416</v>
      </c>
      <c r="D4" s="11"/>
      <c r="E4" s="11"/>
      <c r="F4" s="11"/>
      <c r="G4" s="11"/>
      <c r="H4" s="11"/>
      <c r="I4" s="3"/>
      <c r="J4" s="11"/>
      <c r="K4" s="11"/>
      <c r="L4" s="3"/>
      <c r="M4" s="11"/>
      <c r="N4" s="3"/>
      <c r="O4" s="11"/>
      <c r="P4" s="11"/>
      <c r="Q4" s="11"/>
      <c r="R4" s="11"/>
    </row>
    <row r="5" spans="1:27" ht="28.5" x14ac:dyDescent="0.2">
      <c r="A5" s="14" t="s">
        <v>11</v>
      </c>
      <c r="B5" s="15" t="s">
        <v>12</v>
      </c>
      <c r="C5" s="16">
        <v>1687847</v>
      </c>
      <c r="D5" s="11">
        <v>1861910.81</v>
      </c>
      <c r="E5" s="11">
        <v>701889.06</v>
      </c>
      <c r="F5" s="11">
        <v>694253.79</v>
      </c>
      <c r="G5" s="11">
        <v>1112719.52</v>
      </c>
      <c r="H5" s="11">
        <v>687889.5</v>
      </c>
      <c r="I5" s="3"/>
      <c r="J5" s="11">
        <v>700000</v>
      </c>
      <c r="K5" s="11">
        <v>700000</v>
      </c>
      <c r="L5" s="3"/>
      <c r="M5" s="11">
        <v>750000</v>
      </c>
      <c r="N5" s="3"/>
      <c r="O5" s="11"/>
      <c r="P5" s="11">
        <f>+O5+M5</f>
        <v>750000</v>
      </c>
      <c r="Q5" s="11"/>
      <c r="R5" s="38">
        <f>+M5/J5-1</f>
        <v>7.1428571428571397E-2</v>
      </c>
      <c r="S5" s="38">
        <f>+M5/K5-1</f>
        <v>7.1428571428571397E-2</v>
      </c>
      <c r="T5" s="50" t="s">
        <v>358</v>
      </c>
      <c r="AA5" s="11">
        <f>0.05*M5</f>
        <v>37500</v>
      </c>
    </row>
    <row r="6" spans="1:27" ht="15" x14ac:dyDescent="0.2">
      <c r="A6" s="14" t="s">
        <v>13</v>
      </c>
      <c r="B6" s="15" t="s">
        <v>14</v>
      </c>
      <c r="C6" s="16">
        <v>483033</v>
      </c>
      <c r="D6" s="11">
        <v>775190.79</v>
      </c>
      <c r="E6" s="11">
        <v>803097.46</v>
      </c>
      <c r="F6" s="11">
        <v>780181.05</v>
      </c>
      <c r="G6" s="11">
        <v>859274.39</v>
      </c>
      <c r="H6" s="11">
        <v>802567.62</v>
      </c>
      <c r="I6" s="3"/>
      <c r="J6" s="11">
        <v>825000</v>
      </c>
      <c r="K6" s="11">
        <v>825000</v>
      </c>
      <c r="L6" s="3"/>
      <c r="M6" s="11">
        <v>825000</v>
      </c>
      <c r="N6" s="3"/>
      <c r="O6" s="11"/>
      <c r="P6" s="11">
        <f t="shared" ref="P6:P9" si="0">+O6+M6</f>
        <v>825000</v>
      </c>
      <c r="Q6" s="11"/>
      <c r="R6" s="38">
        <f t="shared" ref="R6:R9" si="1">+M6/J6-1</f>
        <v>0</v>
      </c>
      <c r="S6" s="38">
        <f t="shared" ref="S6:S9" si="2">+M6/K6-1</f>
        <v>0</v>
      </c>
    </row>
    <row r="7" spans="1:27" ht="15" x14ac:dyDescent="0.2">
      <c r="A7" s="14" t="s">
        <v>15</v>
      </c>
      <c r="B7" s="15" t="s">
        <v>16</v>
      </c>
      <c r="C7" s="16"/>
      <c r="D7" s="11">
        <v>207810.64</v>
      </c>
      <c r="E7" s="11">
        <v>354255.71</v>
      </c>
      <c r="F7" s="11">
        <v>438482.53</v>
      </c>
      <c r="G7" s="11">
        <v>476646.32</v>
      </c>
      <c r="H7" s="11">
        <v>466503.1</v>
      </c>
      <c r="I7" s="3"/>
      <c r="J7" s="11">
        <v>475000</v>
      </c>
      <c r="K7" s="11">
        <v>475000</v>
      </c>
      <c r="L7" s="3"/>
      <c r="M7" s="11">
        <v>475000</v>
      </c>
      <c r="N7" s="3"/>
      <c r="O7" s="11"/>
      <c r="P7" s="11">
        <f t="shared" si="0"/>
        <v>475000</v>
      </c>
      <c r="Q7" s="11"/>
      <c r="R7" s="38">
        <f t="shared" si="1"/>
        <v>0</v>
      </c>
      <c r="S7" s="38">
        <f t="shared" si="2"/>
        <v>0</v>
      </c>
      <c r="AA7" s="11">
        <f>0.5*M7</f>
        <v>237500</v>
      </c>
    </row>
    <row r="8" spans="1:27" ht="15" x14ac:dyDescent="0.2">
      <c r="A8" s="14" t="s">
        <v>17</v>
      </c>
      <c r="B8" s="15" t="s">
        <v>18</v>
      </c>
      <c r="C8" s="16">
        <v>60855</v>
      </c>
      <c r="D8" s="11">
        <v>61602.47</v>
      </c>
      <c r="E8" s="11">
        <v>42517.62</v>
      </c>
      <c r="F8" s="11">
        <v>54226.73</v>
      </c>
      <c r="G8" s="11">
        <v>50886.97</v>
      </c>
      <c r="H8" s="11">
        <v>37740.36</v>
      </c>
      <c r="I8" s="3"/>
      <c r="J8" s="11">
        <v>50000</v>
      </c>
      <c r="K8" s="11">
        <v>50000</v>
      </c>
      <c r="L8" s="3"/>
      <c r="M8" s="11">
        <v>50000</v>
      </c>
      <c r="N8" s="3"/>
      <c r="O8" s="11"/>
      <c r="P8" s="11">
        <f t="shared" si="0"/>
        <v>50000</v>
      </c>
      <c r="Q8" s="11"/>
      <c r="R8" s="38">
        <f t="shared" si="1"/>
        <v>0</v>
      </c>
      <c r="S8" s="38">
        <f t="shared" si="2"/>
        <v>0</v>
      </c>
    </row>
    <row r="9" spans="1:27" ht="15" x14ac:dyDescent="0.2">
      <c r="A9" s="14" t="s">
        <v>19</v>
      </c>
      <c r="B9" s="15" t="s">
        <v>20</v>
      </c>
      <c r="C9" s="16">
        <v>70000</v>
      </c>
      <c r="D9" s="11">
        <v>70000</v>
      </c>
      <c r="E9" s="11">
        <v>70000</v>
      </c>
      <c r="F9" s="11">
        <v>81000</v>
      </c>
      <c r="G9" s="11">
        <v>85000</v>
      </c>
      <c r="H9" s="11">
        <v>85000</v>
      </c>
      <c r="I9" s="3"/>
      <c r="J9" s="11">
        <v>85000</v>
      </c>
      <c r="K9" s="11">
        <v>85000</v>
      </c>
      <c r="L9" s="3"/>
      <c r="M9" s="11">
        <v>85000</v>
      </c>
      <c r="N9" s="3"/>
      <c r="O9" s="11"/>
      <c r="P9" s="11">
        <f t="shared" si="0"/>
        <v>85000</v>
      </c>
      <c r="Q9" s="11"/>
      <c r="R9" s="38">
        <f t="shared" si="1"/>
        <v>0</v>
      </c>
      <c r="S9" s="38">
        <f t="shared" si="2"/>
        <v>0</v>
      </c>
    </row>
    <row r="10" spans="1:27" ht="15" x14ac:dyDescent="0.2">
      <c r="A10" s="14"/>
      <c r="B10" s="15"/>
      <c r="C10" s="16"/>
      <c r="D10" s="11"/>
      <c r="E10" s="11"/>
      <c r="F10" s="11"/>
      <c r="G10" s="11"/>
      <c r="H10" s="11"/>
      <c r="I10" s="3"/>
      <c r="J10" s="11"/>
      <c r="K10" s="11"/>
      <c r="L10" s="3"/>
      <c r="M10" s="11"/>
      <c r="N10" s="3"/>
      <c r="O10" s="11"/>
      <c r="P10" s="11"/>
      <c r="Q10" s="11"/>
      <c r="R10" s="11"/>
    </row>
    <row r="11" spans="1:27" ht="15" x14ac:dyDescent="0.25">
      <c r="A11" s="17"/>
      <c r="B11" s="18" t="s">
        <v>398</v>
      </c>
      <c r="C11" s="60">
        <f t="shared" ref="C11:H11" si="3">SUM(C5:C10)</f>
        <v>2301735</v>
      </c>
      <c r="D11" s="44">
        <f t="shared" si="3"/>
        <v>2976514.7100000004</v>
      </c>
      <c r="E11" s="44">
        <f t="shared" si="3"/>
        <v>1971759.85</v>
      </c>
      <c r="F11" s="44">
        <f t="shared" si="3"/>
        <v>2048144.1</v>
      </c>
      <c r="G11" s="44">
        <f t="shared" si="3"/>
        <v>2584527.2000000002</v>
      </c>
      <c r="H11" s="44">
        <f t="shared" si="3"/>
        <v>2079700.5800000003</v>
      </c>
      <c r="I11" s="3"/>
      <c r="J11" s="44">
        <f>SUM(J5:J10)</f>
        <v>2135000</v>
      </c>
      <c r="K11" s="44">
        <f>SUM(K5:K10)</f>
        <v>2135000</v>
      </c>
      <c r="L11" s="3"/>
      <c r="M11" s="44">
        <f>SUM(M5:M10)</f>
        <v>2185000</v>
      </c>
      <c r="N11" s="3"/>
      <c r="O11" s="44"/>
      <c r="P11" s="44">
        <f>SUM(P5:P10)</f>
        <v>2185000</v>
      </c>
      <c r="Q11" s="11"/>
      <c r="R11" s="38">
        <f>+M11/J11-1</f>
        <v>2.3419203747072626E-2</v>
      </c>
      <c r="S11" s="38">
        <f>+M11/K11-1</f>
        <v>2.3419203747072626E-2</v>
      </c>
      <c r="Y11" s="38">
        <f>+M11/J11</f>
        <v>1.0234192037470726</v>
      </c>
      <c r="Z11" s="37">
        <f>+M11-J11</f>
        <v>50000</v>
      </c>
    </row>
    <row r="12" spans="1:27" ht="15" x14ac:dyDescent="0.2">
      <c r="D12" s="11"/>
      <c r="E12" s="11"/>
      <c r="F12" s="11"/>
      <c r="G12" s="11"/>
      <c r="H12" s="11"/>
      <c r="I12" s="3"/>
      <c r="J12" s="11"/>
      <c r="K12" s="11"/>
      <c r="L12" s="3"/>
      <c r="M12" s="11"/>
      <c r="N12" s="3"/>
      <c r="O12" s="11"/>
      <c r="P12" s="11"/>
      <c r="Q12" s="11"/>
      <c r="R12" s="11"/>
    </row>
    <row r="13" spans="1:27" ht="15" x14ac:dyDescent="0.25">
      <c r="A13" s="9"/>
      <c r="B13" s="10" t="s">
        <v>417</v>
      </c>
      <c r="D13" s="11"/>
      <c r="E13" s="11"/>
      <c r="F13" s="11"/>
      <c r="G13" s="11"/>
      <c r="H13" s="11"/>
      <c r="I13" s="3"/>
      <c r="J13" s="11"/>
      <c r="K13" s="11"/>
      <c r="L13" s="3"/>
      <c r="M13" s="11"/>
      <c r="N13" s="3"/>
      <c r="O13" s="11"/>
      <c r="P13" s="11"/>
      <c r="Q13" s="11"/>
      <c r="R13" s="11"/>
    </row>
    <row r="14" spans="1:27" ht="15" x14ac:dyDescent="0.2">
      <c r="A14" s="14" t="s">
        <v>25</v>
      </c>
      <c r="B14" s="15" t="s">
        <v>26</v>
      </c>
      <c r="C14" s="16">
        <v>300</v>
      </c>
      <c r="D14" s="11">
        <v>0</v>
      </c>
      <c r="E14" s="11">
        <v>2000</v>
      </c>
      <c r="F14" s="11">
        <v>0</v>
      </c>
      <c r="G14" s="11">
        <v>0</v>
      </c>
      <c r="H14" s="11">
        <v>0</v>
      </c>
      <c r="I14" s="3"/>
      <c r="J14" s="11"/>
      <c r="K14" s="11"/>
      <c r="L14" s="3"/>
      <c r="M14" s="11"/>
      <c r="N14" s="3"/>
      <c r="O14" s="11"/>
      <c r="P14" s="11"/>
      <c r="Q14" s="11"/>
      <c r="R14" s="11"/>
    </row>
    <row r="15" spans="1:27" ht="30" x14ac:dyDescent="0.25">
      <c r="A15" s="14" t="s">
        <v>27</v>
      </c>
      <c r="B15" s="15" t="s">
        <v>28</v>
      </c>
      <c r="C15" s="16">
        <v>114764</v>
      </c>
      <c r="D15" s="11">
        <v>77438</v>
      </c>
      <c r="E15" s="11">
        <v>65382.42</v>
      </c>
      <c r="F15" s="11">
        <v>122334</v>
      </c>
      <c r="G15" s="11">
        <v>132671</v>
      </c>
      <c r="H15" s="11">
        <v>131616</v>
      </c>
      <c r="I15" s="3"/>
      <c r="J15" s="11">
        <v>130000</v>
      </c>
      <c r="K15" s="11">
        <v>130000</v>
      </c>
      <c r="L15" s="3"/>
      <c r="M15" s="11">
        <v>135000</v>
      </c>
      <c r="N15" s="3"/>
      <c r="O15" s="84">
        <v>122154</v>
      </c>
      <c r="P15" s="11">
        <f t="shared" ref="P15" si="4">+O15+M15</f>
        <v>257154</v>
      </c>
      <c r="Q15" s="11"/>
      <c r="R15" s="38">
        <f>+M15/J15-1</f>
        <v>3.8461538461538547E-2</v>
      </c>
      <c r="S15" s="38">
        <f t="shared" ref="S15:S24" si="5">+M15/K15-1</f>
        <v>3.8461538461538547E-2</v>
      </c>
      <c r="T15" s="85" t="s">
        <v>439</v>
      </c>
    </row>
    <row r="16" spans="1:27" ht="15" x14ac:dyDescent="0.2">
      <c r="A16" s="14" t="s">
        <v>29</v>
      </c>
      <c r="B16" s="15" t="s">
        <v>30</v>
      </c>
      <c r="C16" s="16">
        <v>3164</v>
      </c>
      <c r="D16" s="11">
        <v>153</v>
      </c>
      <c r="E16" s="11">
        <v>1692</v>
      </c>
      <c r="F16" s="11">
        <v>0</v>
      </c>
      <c r="G16" s="11">
        <v>0</v>
      </c>
      <c r="H16" s="11">
        <v>0</v>
      </c>
      <c r="I16" s="3"/>
      <c r="J16" s="11">
        <v>0</v>
      </c>
      <c r="K16" s="11"/>
      <c r="L16" s="3"/>
      <c r="M16" s="11"/>
      <c r="N16" s="3"/>
      <c r="O16" s="11"/>
      <c r="P16" s="11"/>
      <c r="Q16" s="11"/>
      <c r="R16" s="11"/>
    </row>
    <row r="17" spans="1:27" ht="47.25" customHeight="1" x14ac:dyDescent="0.25">
      <c r="A17" s="14" t="s">
        <v>31</v>
      </c>
      <c r="B17" s="15" t="s">
        <v>32</v>
      </c>
      <c r="C17" s="16">
        <v>223824</v>
      </c>
      <c r="D17" s="11">
        <v>193711.23</v>
      </c>
      <c r="E17" s="11">
        <v>134371</v>
      </c>
      <c r="F17" s="11">
        <v>346818.04</v>
      </c>
      <c r="G17" s="11">
        <v>326613</v>
      </c>
      <c r="H17" s="11">
        <v>366346</v>
      </c>
      <c r="I17" s="3"/>
      <c r="J17" s="11">
        <v>315000</v>
      </c>
      <c r="K17" s="11">
        <v>315000</v>
      </c>
      <c r="L17" s="3"/>
      <c r="M17" s="11">
        <v>370000</v>
      </c>
      <c r="N17" s="3"/>
      <c r="O17" s="84">
        <f>57760+22626+994</f>
        <v>81380</v>
      </c>
      <c r="P17" s="11">
        <f t="shared" ref="P17:P24" si="6">+O17+M17</f>
        <v>451380</v>
      </c>
      <c r="Q17" s="11"/>
      <c r="R17" s="38">
        <f t="shared" ref="R17:R24" si="7">+M17/J17-1</f>
        <v>0.17460317460317465</v>
      </c>
      <c r="S17" s="38">
        <f t="shared" si="5"/>
        <v>0.17460317460317465</v>
      </c>
      <c r="T17" s="85" t="s">
        <v>438</v>
      </c>
    </row>
    <row r="18" spans="1:27" ht="15" customHeight="1" x14ac:dyDescent="0.2">
      <c r="A18" s="14" t="s">
        <v>33</v>
      </c>
      <c r="B18" s="15" t="s">
        <v>34</v>
      </c>
      <c r="C18" s="16">
        <v>279945</v>
      </c>
      <c r="D18" s="11">
        <v>342602.75</v>
      </c>
      <c r="E18" s="11">
        <v>390473</v>
      </c>
      <c r="F18" s="11">
        <v>425649</v>
      </c>
      <c r="G18" s="11">
        <v>477418</v>
      </c>
      <c r="H18" s="11">
        <v>482235</v>
      </c>
      <c r="I18" s="3"/>
      <c r="J18" s="11">
        <v>477000</v>
      </c>
      <c r="K18" s="11">
        <v>477000</v>
      </c>
      <c r="L18" s="3"/>
      <c r="M18" s="11">
        <v>475000</v>
      </c>
      <c r="N18" s="3"/>
      <c r="O18" s="11"/>
      <c r="P18" s="11">
        <f t="shared" si="6"/>
        <v>475000</v>
      </c>
      <c r="Q18" s="11"/>
      <c r="R18" s="38">
        <f t="shared" si="7"/>
        <v>-4.1928721174003813E-3</v>
      </c>
      <c r="S18" s="38">
        <f t="shared" si="5"/>
        <v>-4.1928721174003813E-3</v>
      </c>
      <c r="T18" s="53" t="s">
        <v>437</v>
      </c>
      <c r="U18" s="53"/>
    </row>
    <row r="19" spans="1:27" ht="15" x14ac:dyDescent="0.25">
      <c r="A19" s="14" t="s">
        <v>35</v>
      </c>
      <c r="B19" s="15" t="s">
        <v>36</v>
      </c>
      <c r="C19" s="16">
        <v>426635</v>
      </c>
      <c r="D19" s="11">
        <v>653781.80000000005</v>
      </c>
      <c r="E19" s="11">
        <v>678994.65</v>
      </c>
      <c r="F19" s="11">
        <v>734454.76</v>
      </c>
      <c r="G19" s="11">
        <v>353028.5</v>
      </c>
      <c r="H19" s="11">
        <v>307458.75</v>
      </c>
      <c r="I19" s="3"/>
      <c r="J19" s="11">
        <v>353000</v>
      </c>
      <c r="K19" s="11">
        <v>353000</v>
      </c>
      <c r="L19" s="3"/>
      <c r="M19" s="11">
        <v>310000</v>
      </c>
      <c r="N19" s="3"/>
      <c r="O19" s="84">
        <v>12740</v>
      </c>
      <c r="P19" s="11">
        <f t="shared" si="6"/>
        <v>322740</v>
      </c>
      <c r="Q19" s="11"/>
      <c r="R19" s="38">
        <f t="shared" si="7"/>
        <v>-0.12181303116147313</v>
      </c>
      <c r="S19" s="38">
        <f t="shared" si="5"/>
        <v>-0.12181303116147313</v>
      </c>
      <c r="T19" s="53"/>
      <c r="U19" s="53"/>
    </row>
    <row r="20" spans="1:27" ht="15" x14ac:dyDescent="0.2">
      <c r="A20" s="14" t="s">
        <v>37</v>
      </c>
      <c r="B20" s="15" t="s">
        <v>38</v>
      </c>
      <c r="C20" s="16">
        <v>284098</v>
      </c>
      <c r="D20" s="11">
        <v>413351.88</v>
      </c>
      <c r="E20" s="11">
        <v>387474.31</v>
      </c>
      <c r="F20" s="11">
        <v>352498.84</v>
      </c>
      <c r="G20" s="11">
        <v>1046434.88</v>
      </c>
      <c r="H20" s="11">
        <v>1256980.51</v>
      </c>
      <c r="I20" s="3"/>
      <c r="J20" s="11">
        <v>1180000</v>
      </c>
      <c r="K20" s="11">
        <v>1180000</v>
      </c>
      <c r="L20" s="3"/>
      <c r="M20" s="11">
        <v>1250000</v>
      </c>
      <c r="N20" s="3"/>
      <c r="O20" s="11"/>
      <c r="P20" s="11">
        <f t="shared" si="6"/>
        <v>1250000</v>
      </c>
      <c r="Q20" s="11"/>
      <c r="R20" s="38">
        <f t="shared" si="7"/>
        <v>5.9322033898305149E-2</v>
      </c>
      <c r="S20" s="38">
        <f t="shared" si="5"/>
        <v>5.9322033898305149E-2</v>
      </c>
      <c r="T20" s="53"/>
      <c r="U20" s="53"/>
    </row>
    <row r="21" spans="1:27" ht="30" x14ac:dyDescent="0.25">
      <c r="A21" s="14" t="s">
        <v>39</v>
      </c>
      <c r="B21" s="15" t="s">
        <v>40</v>
      </c>
      <c r="C21" s="16">
        <v>236588</v>
      </c>
      <c r="D21" s="11">
        <v>712897.88</v>
      </c>
      <c r="E21" s="11">
        <v>681330.11</v>
      </c>
      <c r="F21" s="11">
        <v>833171.71</v>
      </c>
      <c r="G21" s="11">
        <v>685669.27</v>
      </c>
      <c r="H21" s="11">
        <v>443422.85</v>
      </c>
      <c r="I21" s="3"/>
      <c r="J21" s="11">
        <v>600000</v>
      </c>
      <c r="K21" s="11">
        <v>600000</v>
      </c>
      <c r="L21" s="3"/>
      <c r="M21" s="11">
        <v>500000</v>
      </c>
      <c r="N21" s="3"/>
      <c r="O21" s="11"/>
      <c r="P21" s="11">
        <f t="shared" si="6"/>
        <v>500000</v>
      </c>
      <c r="Q21" s="11"/>
      <c r="R21" s="38">
        <f t="shared" si="7"/>
        <v>-0.16666666666666663</v>
      </c>
      <c r="S21" s="38">
        <f t="shared" si="5"/>
        <v>-0.16666666666666663</v>
      </c>
      <c r="T21" s="86" t="s">
        <v>359</v>
      </c>
      <c r="AA21" s="11">
        <f>0.2*M21</f>
        <v>100000</v>
      </c>
    </row>
    <row r="22" spans="1:27" ht="15" x14ac:dyDescent="0.2">
      <c r="A22" s="14" t="s">
        <v>41</v>
      </c>
      <c r="B22" s="15" t="s">
        <v>42</v>
      </c>
      <c r="C22" s="16">
        <v>450</v>
      </c>
      <c r="D22" s="11">
        <v>11292.31</v>
      </c>
      <c r="E22" s="11">
        <v>21235</v>
      </c>
      <c r="F22" s="11">
        <v>31050</v>
      </c>
      <c r="G22" s="11">
        <v>20550</v>
      </c>
      <c r="H22" s="11">
        <v>18450</v>
      </c>
      <c r="I22" s="3"/>
      <c r="J22" s="11">
        <v>20000</v>
      </c>
      <c r="K22" s="11">
        <v>20000</v>
      </c>
      <c r="L22" s="3"/>
      <c r="M22" s="11">
        <v>20000</v>
      </c>
      <c r="N22" s="3"/>
      <c r="O22" s="11"/>
      <c r="P22" s="11">
        <f t="shared" si="6"/>
        <v>20000</v>
      </c>
      <c r="Q22" s="11"/>
      <c r="R22" s="38">
        <f t="shared" si="7"/>
        <v>0</v>
      </c>
      <c r="S22" s="38">
        <f t="shared" si="5"/>
        <v>0</v>
      </c>
    </row>
    <row r="23" spans="1:27" ht="15" x14ac:dyDescent="0.2">
      <c r="A23" s="14" t="s">
        <v>43</v>
      </c>
      <c r="B23" s="15" t="s">
        <v>44</v>
      </c>
      <c r="C23" s="16">
        <v>38200</v>
      </c>
      <c r="D23" s="11">
        <v>46385</v>
      </c>
      <c r="E23" s="11">
        <v>30339</v>
      </c>
      <c r="F23" s="11">
        <v>32890</v>
      </c>
      <c r="G23" s="11">
        <v>52280</v>
      </c>
      <c r="H23" s="11">
        <v>53944.14</v>
      </c>
      <c r="I23" s="3"/>
      <c r="J23" s="11">
        <v>50000</v>
      </c>
      <c r="K23" s="11">
        <v>50000</v>
      </c>
      <c r="L23" s="3"/>
      <c r="M23" s="11">
        <v>50000</v>
      </c>
      <c r="N23" s="3"/>
      <c r="O23" s="11"/>
      <c r="P23" s="11">
        <f t="shared" si="6"/>
        <v>50000</v>
      </c>
      <c r="Q23" s="11"/>
      <c r="R23" s="38">
        <f t="shared" si="7"/>
        <v>0</v>
      </c>
      <c r="S23" s="38">
        <f t="shared" si="5"/>
        <v>0</v>
      </c>
    </row>
    <row r="24" spans="1:27" ht="15" x14ac:dyDescent="0.2">
      <c r="A24" s="14" t="s">
        <v>45</v>
      </c>
      <c r="B24" s="15" t="s">
        <v>46</v>
      </c>
      <c r="C24" s="16">
        <v>20270</v>
      </c>
      <c r="D24" s="11">
        <v>47741</v>
      </c>
      <c r="E24" s="11">
        <v>54846</v>
      </c>
      <c r="F24" s="11">
        <v>58741</v>
      </c>
      <c r="G24" s="11">
        <v>58782</v>
      </c>
      <c r="H24" s="11">
        <v>57396.97</v>
      </c>
      <c r="I24" s="3"/>
      <c r="J24" s="11">
        <v>55000</v>
      </c>
      <c r="K24" s="11">
        <v>55000</v>
      </c>
      <c r="L24" s="3"/>
      <c r="M24" s="11">
        <v>55000</v>
      </c>
      <c r="N24" s="3"/>
      <c r="O24" s="11"/>
      <c r="P24" s="11">
        <f t="shared" si="6"/>
        <v>55000</v>
      </c>
      <c r="Q24" s="11"/>
      <c r="R24" s="38">
        <f t="shared" si="7"/>
        <v>0</v>
      </c>
      <c r="S24" s="38">
        <f t="shared" si="5"/>
        <v>0</v>
      </c>
    </row>
    <row r="25" spans="1:27" ht="15" x14ac:dyDescent="0.2">
      <c r="A25" s="14"/>
      <c r="B25" s="15"/>
      <c r="C25" s="16"/>
      <c r="D25" s="11"/>
      <c r="E25" s="11"/>
      <c r="F25" s="11"/>
      <c r="G25" s="11"/>
      <c r="H25" s="11"/>
      <c r="I25" s="3"/>
      <c r="J25" s="11"/>
      <c r="K25" s="11"/>
      <c r="L25" s="3"/>
      <c r="M25" s="11"/>
      <c r="N25" s="3"/>
      <c r="O25" s="11"/>
      <c r="P25" s="11"/>
      <c r="Q25" s="11"/>
      <c r="R25" s="11"/>
    </row>
    <row r="26" spans="1:27" ht="15" x14ac:dyDescent="0.25">
      <c r="A26" s="17"/>
      <c r="B26" s="18" t="s">
        <v>399</v>
      </c>
      <c r="C26" s="60">
        <f t="shared" ref="C26:H26" si="8">SUM(C14:C25)</f>
        <v>1628238</v>
      </c>
      <c r="D26" s="44">
        <f t="shared" si="8"/>
        <v>2499354.85</v>
      </c>
      <c r="E26" s="44">
        <f t="shared" si="8"/>
        <v>2448137.4899999998</v>
      </c>
      <c r="F26" s="44">
        <f t="shared" si="8"/>
        <v>2937607.35</v>
      </c>
      <c r="G26" s="44">
        <f t="shared" si="8"/>
        <v>3153446.65</v>
      </c>
      <c r="H26" s="44">
        <f t="shared" si="8"/>
        <v>3117850.22</v>
      </c>
      <c r="I26" s="3"/>
      <c r="J26" s="44">
        <f>SUM(J14:J25)</f>
        <v>3180000</v>
      </c>
      <c r="K26" s="44">
        <f>SUM(K14:K25)</f>
        <v>3180000</v>
      </c>
      <c r="L26" s="3"/>
      <c r="M26" s="44">
        <f>SUM(M14:M25)</f>
        <v>3165000</v>
      </c>
      <c r="N26" s="3"/>
      <c r="O26" s="44"/>
      <c r="P26" s="44">
        <f>SUM(P14:P25)</f>
        <v>3381274</v>
      </c>
      <c r="Q26" s="11"/>
      <c r="R26" s="38">
        <f>+M26/J26-1</f>
        <v>-4.7169811320755262E-3</v>
      </c>
      <c r="S26" s="38">
        <f>+M26/K26-1</f>
        <v>-4.7169811320755262E-3</v>
      </c>
      <c r="Y26" s="38">
        <f>+M26/J26</f>
        <v>0.99528301886792447</v>
      </c>
      <c r="Z26" s="37">
        <f>+M26-J26</f>
        <v>-15000</v>
      </c>
    </row>
    <row r="27" spans="1:27" ht="15" x14ac:dyDescent="0.2">
      <c r="D27" s="11"/>
      <c r="E27" s="11"/>
      <c r="F27" s="11"/>
      <c r="G27" s="11"/>
      <c r="H27" s="11"/>
      <c r="I27" s="3"/>
      <c r="J27" s="11"/>
      <c r="K27" s="11"/>
      <c r="L27" s="3"/>
      <c r="M27" s="11"/>
      <c r="N27" s="3"/>
      <c r="O27" s="11"/>
      <c r="P27" s="11"/>
      <c r="Q27" s="11"/>
      <c r="R27" s="11"/>
    </row>
    <row r="28" spans="1:27" ht="15" x14ac:dyDescent="0.25">
      <c r="A28" s="9"/>
      <c r="B28" s="10" t="s">
        <v>418</v>
      </c>
      <c r="D28" s="11"/>
      <c r="E28" s="11"/>
      <c r="F28" s="11"/>
      <c r="G28" s="11"/>
      <c r="H28" s="11"/>
      <c r="I28" s="3"/>
      <c r="J28" s="11"/>
      <c r="K28" s="11"/>
      <c r="L28" s="3"/>
      <c r="M28" s="11"/>
      <c r="N28" s="3"/>
      <c r="O28" s="11"/>
      <c r="P28" s="11"/>
      <c r="Q28" s="11"/>
      <c r="R28" s="11"/>
    </row>
    <row r="29" spans="1:27" ht="42.75" x14ac:dyDescent="0.2">
      <c r="A29" s="14" t="s">
        <v>50</v>
      </c>
      <c r="B29" s="15" t="s">
        <v>51</v>
      </c>
      <c r="C29" s="16">
        <v>113079</v>
      </c>
      <c r="D29" s="11">
        <v>229887.54</v>
      </c>
      <c r="E29" s="11">
        <v>145785.64000000001</v>
      </c>
      <c r="F29" s="11">
        <v>264231.57</v>
      </c>
      <c r="G29" s="11">
        <v>301331.11</v>
      </c>
      <c r="H29" s="11">
        <v>566805.93000000005</v>
      </c>
      <c r="I29" s="3"/>
      <c r="J29" s="11">
        <v>301500</v>
      </c>
      <c r="K29" s="11">
        <v>565000</v>
      </c>
      <c r="L29" s="3"/>
      <c r="M29" s="11">
        <v>500000</v>
      </c>
      <c r="N29" s="3"/>
      <c r="O29" s="11"/>
      <c r="P29" s="11">
        <f t="shared" ref="P29:P32" si="9">+O29+M29</f>
        <v>500000</v>
      </c>
      <c r="Q29" s="11"/>
      <c r="R29" s="38">
        <f t="shared" ref="R29:R32" si="10">+M29/J29-1</f>
        <v>0.65837479270315091</v>
      </c>
      <c r="S29" s="38">
        <f t="shared" ref="S29:S32" si="11">+M29/K29-1</f>
        <v>-0.11504424778761058</v>
      </c>
      <c r="T29" s="50" t="s">
        <v>360</v>
      </c>
    </row>
    <row r="30" spans="1:27" ht="42.75" x14ac:dyDescent="0.2">
      <c r="A30" s="14" t="s">
        <v>52</v>
      </c>
      <c r="B30" s="15" t="s">
        <v>53</v>
      </c>
      <c r="C30" s="16">
        <v>51890</v>
      </c>
      <c r="D30" s="11">
        <v>79618.47</v>
      </c>
      <c r="E30" s="11">
        <v>46088.27</v>
      </c>
      <c r="F30" s="11">
        <v>62045.41</v>
      </c>
      <c r="G30" s="11">
        <v>78053.63</v>
      </c>
      <c r="H30" s="11">
        <v>99394.83</v>
      </c>
      <c r="I30" s="3"/>
      <c r="J30" s="11">
        <v>60000</v>
      </c>
      <c r="K30" s="11">
        <v>100000</v>
      </c>
      <c r="L30" s="3"/>
      <c r="M30" s="11">
        <v>80000</v>
      </c>
      <c r="N30" s="3"/>
      <c r="O30" s="11"/>
      <c r="P30" s="11">
        <f t="shared" si="9"/>
        <v>80000</v>
      </c>
      <c r="Q30" s="11"/>
      <c r="R30" s="38">
        <f t="shared" si="10"/>
        <v>0.33333333333333326</v>
      </c>
      <c r="S30" s="38">
        <f t="shared" si="11"/>
        <v>-0.19999999999999996</v>
      </c>
      <c r="T30" s="50" t="s">
        <v>360</v>
      </c>
    </row>
    <row r="31" spans="1:27" ht="15" x14ac:dyDescent="0.2">
      <c r="A31" s="14" t="s">
        <v>54</v>
      </c>
      <c r="B31" s="15" t="s">
        <v>55</v>
      </c>
      <c r="C31" s="16">
        <v>10752</v>
      </c>
      <c r="D31" s="11">
        <v>16602.93</v>
      </c>
      <c r="E31" s="11">
        <v>13156.76</v>
      </c>
      <c r="F31" s="11">
        <v>19345.18</v>
      </c>
      <c r="G31" s="11">
        <v>22377.08</v>
      </c>
      <c r="H31" s="11">
        <v>30441.64</v>
      </c>
      <c r="I31" s="3"/>
      <c r="J31" s="11">
        <v>12500</v>
      </c>
      <c r="K31" s="11">
        <v>30000</v>
      </c>
      <c r="L31" s="3"/>
      <c r="M31" s="11">
        <v>30000</v>
      </c>
      <c r="N31" s="3"/>
      <c r="O31" s="11"/>
      <c r="P31" s="11">
        <f t="shared" si="9"/>
        <v>30000</v>
      </c>
      <c r="Q31" s="11"/>
      <c r="R31" s="38">
        <f t="shared" si="10"/>
        <v>1.4</v>
      </c>
      <c r="S31" s="38">
        <f t="shared" si="11"/>
        <v>0</v>
      </c>
    </row>
    <row r="32" spans="1:27" ht="15" x14ac:dyDescent="0.2">
      <c r="A32" s="14" t="s">
        <v>56</v>
      </c>
      <c r="B32" s="15" t="s">
        <v>57</v>
      </c>
      <c r="C32" s="16">
        <v>4920</v>
      </c>
      <c r="D32" s="11">
        <v>9161.61</v>
      </c>
      <c r="E32" s="11">
        <v>7699.16</v>
      </c>
      <c r="F32" s="11">
        <v>4184.49</v>
      </c>
      <c r="G32" s="11">
        <v>5849.46</v>
      </c>
      <c r="H32" s="11">
        <v>5465.04</v>
      </c>
      <c r="I32" s="3"/>
      <c r="J32" s="11">
        <v>4500</v>
      </c>
      <c r="K32" s="11">
        <v>5000</v>
      </c>
      <c r="L32" s="3"/>
      <c r="M32" s="11">
        <v>4500</v>
      </c>
      <c r="N32" s="3"/>
      <c r="O32" s="11"/>
      <c r="P32" s="11">
        <f t="shared" si="9"/>
        <v>4500</v>
      </c>
      <c r="Q32" s="11"/>
      <c r="R32" s="38">
        <f t="shared" si="10"/>
        <v>0</v>
      </c>
      <c r="S32" s="38">
        <f t="shared" si="11"/>
        <v>-9.9999999999999978E-2</v>
      </c>
      <c r="T32" s="50" t="s">
        <v>361</v>
      </c>
    </row>
    <row r="33" spans="1:27" ht="15" x14ac:dyDescent="0.2">
      <c r="A33" s="14"/>
      <c r="B33" s="15"/>
      <c r="C33" s="16"/>
      <c r="D33" s="11"/>
      <c r="E33" s="11"/>
      <c r="F33" s="11"/>
      <c r="G33" s="11"/>
      <c r="H33" s="11"/>
      <c r="I33" s="3"/>
      <c r="J33" s="11"/>
      <c r="K33" s="11"/>
      <c r="L33" s="3"/>
      <c r="M33" s="11"/>
      <c r="N33" s="3"/>
      <c r="O33" s="11"/>
      <c r="P33" s="11"/>
      <c r="Q33" s="11"/>
      <c r="R33" s="11"/>
    </row>
    <row r="34" spans="1:27" s="20" customFormat="1" ht="15" x14ac:dyDescent="0.25">
      <c r="A34" s="17"/>
      <c r="B34" s="18" t="s">
        <v>400</v>
      </c>
      <c r="C34" s="60">
        <f t="shared" ref="C34:H34" si="12">SUM(C29:C33)</f>
        <v>180641</v>
      </c>
      <c r="D34" s="44">
        <f t="shared" si="12"/>
        <v>335270.55</v>
      </c>
      <c r="E34" s="44">
        <f t="shared" si="12"/>
        <v>212729.83000000002</v>
      </c>
      <c r="F34" s="44">
        <f t="shared" si="12"/>
        <v>349806.64999999997</v>
      </c>
      <c r="G34" s="44">
        <f t="shared" si="12"/>
        <v>407611.28</v>
      </c>
      <c r="H34" s="44">
        <f t="shared" si="12"/>
        <v>702107.44000000006</v>
      </c>
      <c r="I34" s="3"/>
      <c r="J34" s="44">
        <f>SUM(J29:J33)</f>
        <v>378500</v>
      </c>
      <c r="K34" s="44">
        <f>SUM(K29:K33)</f>
        <v>700000</v>
      </c>
      <c r="L34" s="3"/>
      <c r="M34" s="44">
        <f>SUM(M29:M33)</f>
        <v>614500</v>
      </c>
      <c r="N34" s="3"/>
      <c r="O34" s="44"/>
      <c r="P34" s="44">
        <f>SUM(P29:P33)</f>
        <v>614500</v>
      </c>
      <c r="Q34" s="44"/>
      <c r="R34" s="39">
        <f t="shared" ref="R34" si="13">+M34/J34-1</f>
        <v>0.62351387054161167</v>
      </c>
      <c r="S34" s="39">
        <f>+M34/K34-1</f>
        <v>-0.12214285714285711</v>
      </c>
      <c r="T34" s="51"/>
      <c r="U34" s="39"/>
      <c r="V34" s="39"/>
      <c r="W34" s="39"/>
      <c r="X34" s="39"/>
      <c r="Y34" s="39">
        <f>+M34/J34</f>
        <v>1.6235138705416117</v>
      </c>
      <c r="Z34" s="61">
        <f>+M34-J34</f>
        <v>236000</v>
      </c>
      <c r="AA34" s="44"/>
    </row>
    <row r="35" spans="1:27" ht="15" x14ac:dyDescent="0.2">
      <c r="D35" s="11"/>
      <c r="E35" s="11"/>
      <c r="F35" s="11"/>
      <c r="G35" s="11"/>
      <c r="H35" s="11"/>
      <c r="I35" s="3"/>
      <c r="J35" s="11"/>
      <c r="K35" s="11"/>
      <c r="L35" s="3"/>
      <c r="M35" s="11"/>
      <c r="N35" s="3"/>
      <c r="O35" s="11"/>
      <c r="P35" s="11"/>
      <c r="Q35" s="11"/>
      <c r="R35" s="11"/>
    </row>
    <row r="36" spans="1:27" ht="15" x14ac:dyDescent="0.25">
      <c r="A36" s="9"/>
      <c r="B36" s="10" t="s">
        <v>419</v>
      </c>
      <c r="D36" s="11"/>
      <c r="E36" s="11"/>
      <c r="F36" s="11"/>
      <c r="G36" s="11"/>
      <c r="H36" s="11"/>
      <c r="I36" s="3"/>
      <c r="J36" s="11"/>
      <c r="K36" s="11"/>
      <c r="L36" s="3"/>
      <c r="M36" s="11"/>
      <c r="N36" s="3"/>
      <c r="O36" s="11"/>
      <c r="P36" s="11"/>
      <c r="Q36" s="11"/>
      <c r="R36" s="11"/>
    </row>
    <row r="37" spans="1:27" ht="15" x14ac:dyDescent="0.25">
      <c r="A37" s="14" t="s">
        <v>61</v>
      </c>
      <c r="B37" s="15" t="s">
        <v>62</v>
      </c>
      <c r="C37" s="16"/>
      <c r="D37" s="11">
        <v>4235.2</v>
      </c>
      <c r="E37" s="11">
        <v>1160</v>
      </c>
      <c r="F37" s="11">
        <v>3900</v>
      </c>
      <c r="G37" s="11">
        <v>250</v>
      </c>
      <c r="H37" s="11">
        <v>75</v>
      </c>
      <c r="I37" s="3"/>
      <c r="J37" s="11"/>
      <c r="K37" s="11"/>
      <c r="L37" s="3"/>
      <c r="M37" s="11"/>
      <c r="N37" s="3"/>
      <c r="O37" s="11"/>
      <c r="P37" s="11"/>
      <c r="Q37" s="11"/>
      <c r="R37" s="11"/>
      <c r="S37" s="39"/>
      <c r="T37" s="51"/>
      <c r="U37" s="39"/>
      <c r="V37" s="39"/>
      <c r="W37" s="39"/>
      <c r="X37" s="39"/>
      <c r="Y37" s="39"/>
    </row>
    <row r="38" spans="1:27" ht="15" x14ac:dyDescent="0.2">
      <c r="A38" s="14" t="s">
        <v>63</v>
      </c>
      <c r="B38" s="15" t="s">
        <v>64</v>
      </c>
      <c r="C38" s="16">
        <v>675</v>
      </c>
      <c r="D38" s="11">
        <v>1470</v>
      </c>
      <c r="E38" s="11">
        <v>1120</v>
      </c>
      <c r="F38" s="11">
        <v>1425</v>
      </c>
      <c r="G38" s="11">
        <v>1175</v>
      </c>
      <c r="H38" s="11">
        <v>1025</v>
      </c>
      <c r="I38" s="3"/>
      <c r="J38" s="11">
        <v>1000</v>
      </c>
      <c r="K38" s="11">
        <v>1000</v>
      </c>
      <c r="L38" s="3"/>
      <c r="M38" s="11">
        <v>1000</v>
      </c>
      <c r="N38" s="3"/>
      <c r="O38" s="11"/>
      <c r="P38" s="11">
        <f t="shared" ref="P38:P40" si="14">+O38+M38</f>
        <v>1000</v>
      </c>
      <c r="Q38" s="11"/>
      <c r="R38" s="38">
        <f t="shared" ref="R38:R40" si="15">+M38/J38-1</f>
        <v>0</v>
      </c>
      <c r="S38" s="38">
        <f t="shared" ref="S38:S40" si="16">+M38/K38-1</f>
        <v>0</v>
      </c>
    </row>
    <row r="39" spans="1:27" ht="28.5" x14ac:dyDescent="0.2">
      <c r="A39" s="14" t="s">
        <v>65</v>
      </c>
      <c r="B39" s="15" t="s">
        <v>346</v>
      </c>
      <c r="C39" s="16">
        <v>41858</v>
      </c>
      <c r="D39" s="11">
        <v>57783.75</v>
      </c>
      <c r="E39" s="11">
        <v>61252.99</v>
      </c>
      <c r="F39" s="11">
        <v>39974.17</v>
      </c>
      <c r="G39" s="11">
        <v>69482.63</v>
      </c>
      <c r="H39" s="11">
        <v>60384.73</v>
      </c>
      <c r="I39" s="3"/>
      <c r="J39" s="11">
        <v>15000</v>
      </c>
      <c r="K39" s="11">
        <v>54000</v>
      </c>
      <c r="L39" s="3"/>
      <c r="M39" s="11">
        <v>60000</v>
      </c>
      <c r="N39" s="3"/>
      <c r="O39" s="11"/>
      <c r="P39" s="11">
        <f t="shared" si="14"/>
        <v>60000</v>
      </c>
      <c r="Q39" s="11"/>
      <c r="R39" s="38">
        <f t="shared" si="15"/>
        <v>3</v>
      </c>
      <c r="S39" s="38">
        <f t="shared" si="16"/>
        <v>0.11111111111111116</v>
      </c>
      <c r="T39" s="50" t="s">
        <v>362</v>
      </c>
    </row>
    <row r="40" spans="1:27" ht="28.5" x14ac:dyDescent="0.2">
      <c r="A40" s="14" t="s">
        <v>67</v>
      </c>
      <c r="B40" s="15" t="s">
        <v>68</v>
      </c>
      <c r="C40" s="16">
        <v>42215</v>
      </c>
      <c r="D40" s="11">
        <v>54841.35</v>
      </c>
      <c r="E40" s="11">
        <v>71939.740000000005</v>
      </c>
      <c r="F40" s="11">
        <v>75634.38</v>
      </c>
      <c r="G40" s="11">
        <v>71479.41</v>
      </c>
      <c r="H40" s="11">
        <v>93077.31</v>
      </c>
      <c r="I40" s="3"/>
      <c r="J40" s="11">
        <v>70000</v>
      </c>
      <c r="K40" s="11">
        <v>70000</v>
      </c>
      <c r="L40" s="3"/>
      <c r="M40" s="11">
        <v>85000</v>
      </c>
      <c r="N40" s="3"/>
      <c r="O40" s="11"/>
      <c r="P40" s="11">
        <f t="shared" si="14"/>
        <v>85000</v>
      </c>
      <c r="Q40" s="11"/>
      <c r="R40" s="38">
        <f t="shared" si="15"/>
        <v>0.21428571428571419</v>
      </c>
      <c r="S40" s="38">
        <f t="shared" si="16"/>
        <v>0.21428571428571419</v>
      </c>
      <c r="T40" s="50" t="s">
        <v>363</v>
      </c>
    </row>
    <row r="41" spans="1:27" ht="15" x14ac:dyDescent="0.2">
      <c r="A41" s="14"/>
      <c r="B41" s="15"/>
      <c r="C41" s="16"/>
      <c r="D41" s="11"/>
      <c r="E41" s="11"/>
      <c r="F41" s="11"/>
      <c r="G41" s="11"/>
      <c r="H41" s="11"/>
      <c r="I41" s="3"/>
      <c r="J41" s="11"/>
      <c r="K41" s="11"/>
      <c r="L41" s="3"/>
      <c r="M41" s="11"/>
      <c r="N41" s="3"/>
      <c r="O41" s="11"/>
      <c r="P41" s="11"/>
      <c r="Q41" s="11"/>
      <c r="R41" s="11"/>
    </row>
    <row r="42" spans="1:27" s="20" customFormat="1" ht="15" x14ac:dyDescent="0.25">
      <c r="A42" s="17"/>
      <c r="B42" s="18" t="s">
        <v>401</v>
      </c>
      <c r="C42" s="60">
        <f t="shared" ref="C42:H42" si="17">SUM(C37:C41)</f>
        <v>84748</v>
      </c>
      <c r="D42" s="44">
        <f t="shared" si="17"/>
        <v>118330.29999999999</v>
      </c>
      <c r="E42" s="44">
        <f t="shared" si="17"/>
        <v>135472.73000000001</v>
      </c>
      <c r="F42" s="44">
        <f t="shared" si="17"/>
        <v>120933.55</v>
      </c>
      <c r="G42" s="44">
        <f t="shared" si="17"/>
        <v>142387.04</v>
      </c>
      <c r="H42" s="44">
        <f t="shared" si="17"/>
        <v>154562.04</v>
      </c>
      <c r="I42" s="3"/>
      <c r="J42" s="44">
        <f>SUM(J37:J41)</f>
        <v>86000</v>
      </c>
      <c r="K42" s="44">
        <f>SUM(K37:K41)</f>
        <v>125000</v>
      </c>
      <c r="L42" s="3"/>
      <c r="M42" s="44">
        <f>SUM(M37:M41)</f>
        <v>146000</v>
      </c>
      <c r="N42" s="3"/>
      <c r="O42" s="44"/>
      <c r="P42" s="44">
        <f>SUM(P37:P41)</f>
        <v>146000</v>
      </c>
      <c r="Q42" s="44"/>
      <c r="R42" s="39">
        <f t="shared" ref="R42" si="18">+M42/J42-1</f>
        <v>0.69767441860465107</v>
      </c>
      <c r="S42" s="39">
        <f>+M42/K42-1</f>
        <v>0.16799999999999993</v>
      </c>
      <c r="T42" s="51"/>
      <c r="U42" s="39"/>
      <c r="V42" s="39"/>
      <c r="W42" s="39"/>
      <c r="X42" s="39"/>
      <c r="Y42" s="39">
        <f>+M42/J42</f>
        <v>1.6976744186046511</v>
      </c>
      <c r="Z42" s="61">
        <f>+M42-J42</f>
        <v>60000</v>
      </c>
      <c r="AA42" s="44"/>
    </row>
    <row r="43" spans="1:27" ht="15" x14ac:dyDescent="0.2">
      <c r="D43" s="11"/>
      <c r="E43" s="11"/>
      <c r="F43" s="11"/>
      <c r="G43" s="11"/>
      <c r="H43" s="11"/>
      <c r="I43" s="3"/>
      <c r="J43" s="11"/>
      <c r="K43" s="11"/>
      <c r="L43" s="3"/>
      <c r="M43" s="11"/>
      <c r="N43" s="3"/>
      <c r="O43" s="11"/>
      <c r="P43" s="11"/>
      <c r="Q43" s="11"/>
      <c r="R43" s="11"/>
    </row>
    <row r="44" spans="1:27" ht="15" x14ac:dyDescent="0.25">
      <c r="A44" s="9"/>
      <c r="B44" s="10" t="s">
        <v>420</v>
      </c>
      <c r="D44" s="11"/>
      <c r="E44" s="11"/>
      <c r="F44" s="11"/>
      <c r="G44" s="11"/>
      <c r="H44" s="11"/>
      <c r="I44" s="3"/>
      <c r="J44" s="11"/>
      <c r="K44" s="11"/>
      <c r="L44" s="3"/>
      <c r="M44" s="11"/>
      <c r="N44" s="3"/>
      <c r="O44" s="11"/>
      <c r="P44" s="11"/>
      <c r="Q44" s="11"/>
      <c r="R44" s="11"/>
    </row>
    <row r="45" spans="1:27" ht="42.75" x14ac:dyDescent="0.2">
      <c r="A45" s="14" t="s">
        <v>70</v>
      </c>
      <c r="B45" s="15" t="s">
        <v>71</v>
      </c>
      <c r="C45" s="16">
        <v>48300</v>
      </c>
      <c r="D45" s="11">
        <v>482.49</v>
      </c>
      <c r="E45" s="11">
        <v>30.57</v>
      </c>
      <c r="F45" s="11">
        <v>315870.58</v>
      </c>
      <c r="G45" s="11">
        <v>400324.98</v>
      </c>
      <c r="H45" s="11">
        <v>336468.02</v>
      </c>
      <c r="I45" s="3"/>
      <c r="J45" s="11">
        <v>250000</v>
      </c>
      <c r="K45" s="11">
        <v>400000</v>
      </c>
      <c r="L45" s="3"/>
      <c r="M45" s="11">
        <v>300000</v>
      </c>
      <c r="N45" s="3"/>
      <c r="O45" s="11"/>
      <c r="P45" s="11">
        <f t="shared" ref="P45" si="19">+O45+M45</f>
        <v>300000</v>
      </c>
      <c r="Q45" s="11"/>
      <c r="R45" s="38">
        <f t="shared" ref="R45" si="20">+M45/J45-1</f>
        <v>0.19999999999999996</v>
      </c>
      <c r="S45" s="38">
        <f>+M45/K45-1</f>
        <v>-0.25</v>
      </c>
      <c r="T45" s="50" t="s">
        <v>364</v>
      </c>
    </row>
    <row r="46" spans="1:27" ht="15" x14ac:dyDescent="0.2">
      <c r="A46" s="14"/>
      <c r="B46" s="15"/>
      <c r="C46" s="16"/>
      <c r="D46" s="11"/>
      <c r="E46" s="11"/>
      <c r="F46" s="11"/>
      <c r="G46" s="11"/>
      <c r="H46" s="11"/>
      <c r="I46" s="3"/>
      <c r="J46" s="11">
        <v>0</v>
      </c>
      <c r="K46" s="11"/>
      <c r="L46" s="3"/>
      <c r="M46" s="11"/>
      <c r="N46" s="3"/>
      <c r="O46" s="11"/>
      <c r="P46" s="11"/>
      <c r="Q46" s="11"/>
      <c r="R46" s="11"/>
    </row>
    <row r="47" spans="1:27" s="20" customFormat="1" ht="15" x14ac:dyDescent="0.25">
      <c r="A47" s="17" t="s">
        <v>21</v>
      </c>
      <c r="B47" s="18" t="s">
        <v>402</v>
      </c>
      <c r="C47" s="60">
        <f t="shared" ref="C47:H47" si="21">SUM(C45:C46)</f>
        <v>48300</v>
      </c>
      <c r="D47" s="44">
        <f t="shared" si="21"/>
        <v>482.49</v>
      </c>
      <c r="E47" s="44">
        <f t="shared" si="21"/>
        <v>30.57</v>
      </c>
      <c r="F47" s="44">
        <f t="shared" si="21"/>
        <v>315870.58</v>
      </c>
      <c r="G47" s="44">
        <f t="shared" si="21"/>
        <v>400324.98</v>
      </c>
      <c r="H47" s="44">
        <f t="shared" si="21"/>
        <v>336468.02</v>
      </c>
      <c r="I47" s="3"/>
      <c r="J47" s="44">
        <f>SUM(J45:J46)</f>
        <v>250000</v>
      </c>
      <c r="K47" s="44">
        <f>SUM(K45:K46)</f>
        <v>400000</v>
      </c>
      <c r="L47" s="3"/>
      <c r="M47" s="44">
        <f>SUM(M45:M46)</f>
        <v>300000</v>
      </c>
      <c r="N47" s="3"/>
      <c r="O47" s="44"/>
      <c r="P47" s="44">
        <f>SUM(P45:P46)</f>
        <v>300000</v>
      </c>
      <c r="Q47" s="44"/>
      <c r="R47" s="39">
        <f t="shared" ref="R47" si="22">+M47/J47-1</f>
        <v>0.19999999999999996</v>
      </c>
      <c r="S47" s="39">
        <f>+M47/K47-1</f>
        <v>-0.25</v>
      </c>
      <c r="T47" s="51"/>
      <c r="U47" s="39"/>
      <c r="V47" s="39"/>
      <c r="W47" s="39"/>
      <c r="X47" s="39"/>
      <c r="Y47" s="39">
        <f>+M47/J47</f>
        <v>1.2</v>
      </c>
      <c r="Z47" s="61">
        <f>+M47-J47</f>
        <v>50000</v>
      </c>
      <c r="AA47" s="44"/>
    </row>
    <row r="48" spans="1:27" ht="15" x14ac:dyDescent="0.2">
      <c r="D48" s="11"/>
      <c r="E48" s="11"/>
      <c r="F48" s="11"/>
      <c r="G48" s="11"/>
      <c r="H48" s="11"/>
      <c r="I48" s="3"/>
      <c r="J48" s="11"/>
      <c r="K48" s="11"/>
      <c r="L48" s="3"/>
      <c r="M48" s="11"/>
      <c r="N48" s="3"/>
      <c r="O48" s="11"/>
      <c r="P48" s="11"/>
      <c r="Q48" s="11"/>
      <c r="R48" s="11"/>
    </row>
    <row r="49" spans="1:27" ht="15" x14ac:dyDescent="0.25">
      <c r="A49" s="9"/>
      <c r="B49" s="10" t="s">
        <v>421</v>
      </c>
      <c r="D49" s="11"/>
      <c r="E49" s="11"/>
      <c r="F49" s="11"/>
      <c r="G49" s="11"/>
      <c r="H49" s="11"/>
      <c r="I49" s="3"/>
      <c r="J49" s="11"/>
      <c r="K49" s="11"/>
      <c r="L49" s="3"/>
      <c r="M49" s="11"/>
      <c r="N49" s="3"/>
      <c r="O49" s="11"/>
      <c r="P49" s="11"/>
      <c r="Q49" s="11"/>
      <c r="R49" s="11"/>
    </row>
    <row r="50" spans="1:27" ht="15" x14ac:dyDescent="0.2">
      <c r="A50" s="14" t="s">
        <v>75</v>
      </c>
      <c r="B50" s="15" t="s">
        <v>76</v>
      </c>
      <c r="C50" s="16">
        <v>-50</v>
      </c>
      <c r="D50" s="11">
        <v>4500</v>
      </c>
      <c r="E50" s="11">
        <v>11650</v>
      </c>
      <c r="F50" s="11">
        <v>4750</v>
      </c>
      <c r="G50" s="11">
        <v>8250</v>
      </c>
      <c r="H50" s="11">
        <v>7750</v>
      </c>
      <c r="I50" s="3"/>
      <c r="J50" s="11">
        <v>1500</v>
      </c>
      <c r="K50" s="11">
        <v>1500</v>
      </c>
      <c r="L50" s="3"/>
      <c r="M50" s="11">
        <v>1500</v>
      </c>
      <c r="N50" s="3"/>
      <c r="O50" s="11"/>
      <c r="P50" s="11">
        <f t="shared" ref="P50" si="23">+O50+M50</f>
        <v>1500</v>
      </c>
      <c r="Q50" s="11"/>
      <c r="R50" s="38">
        <f t="shared" ref="R50" si="24">+M50/J50-1</f>
        <v>0</v>
      </c>
      <c r="S50" s="38">
        <f>+M50/K50-1</f>
        <v>0</v>
      </c>
    </row>
    <row r="51" spans="1:27" ht="15" x14ac:dyDescent="0.2">
      <c r="A51" s="14" t="s">
        <v>77</v>
      </c>
      <c r="B51" s="15" t="s">
        <v>78</v>
      </c>
      <c r="C51" s="16"/>
      <c r="D51" s="11">
        <v>0</v>
      </c>
      <c r="E51" s="11">
        <v>0</v>
      </c>
      <c r="F51" s="11">
        <v>7645</v>
      </c>
      <c r="G51" s="11">
        <v>0</v>
      </c>
      <c r="H51" s="11">
        <v>0</v>
      </c>
      <c r="I51" s="3"/>
      <c r="J51" s="11"/>
      <c r="K51" s="11"/>
      <c r="L51" s="3"/>
      <c r="M51" s="11"/>
      <c r="N51" s="3"/>
      <c r="O51" s="11"/>
      <c r="P51" s="11"/>
      <c r="Q51" s="11"/>
      <c r="R51" s="11"/>
    </row>
    <row r="52" spans="1:27" ht="15" x14ac:dyDescent="0.2">
      <c r="A52" s="14" t="s">
        <v>79</v>
      </c>
      <c r="B52" s="15" t="s">
        <v>80</v>
      </c>
      <c r="C52" s="16">
        <v>-4961</v>
      </c>
      <c r="D52" s="11">
        <v>47968.47</v>
      </c>
      <c r="E52" s="11">
        <v>30514.71</v>
      </c>
      <c r="F52" s="11">
        <v>10771.09</v>
      </c>
      <c r="G52" s="11">
        <v>25990.19</v>
      </c>
      <c r="H52" s="11">
        <v>33456.660000000003</v>
      </c>
      <c r="I52" s="3"/>
      <c r="J52" s="11">
        <v>2500</v>
      </c>
      <c r="K52" s="11">
        <v>2500</v>
      </c>
      <c r="L52" s="3"/>
      <c r="M52" s="11">
        <v>2500</v>
      </c>
      <c r="N52" s="3"/>
      <c r="O52" s="11"/>
      <c r="P52" s="11">
        <f t="shared" ref="P52:P54" si="25">+O52+M52</f>
        <v>2500</v>
      </c>
      <c r="Q52" s="11"/>
      <c r="R52" s="38">
        <f t="shared" ref="R52:R54" si="26">+M52/J52-1</f>
        <v>0</v>
      </c>
      <c r="S52" s="38">
        <f>+M52/K52-1</f>
        <v>0</v>
      </c>
    </row>
    <row r="53" spans="1:27" ht="15" x14ac:dyDescent="0.2">
      <c r="A53" s="14" t="s">
        <v>81</v>
      </c>
      <c r="B53" s="15" t="s">
        <v>82</v>
      </c>
      <c r="C53" s="16">
        <v>0</v>
      </c>
      <c r="D53" s="11"/>
      <c r="E53" s="11">
        <v>501</v>
      </c>
      <c r="F53" s="11">
        <v>5879.16</v>
      </c>
      <c r="G53" s="11">
        <v>13312</v>
      </c>
      <c r="H53" s="11">
        <v>0</v>
      </c>
      <c r="I53" s="3"/>
      <c r="J53" s="11">
        <v>1500</v>
      </c>
      <c r="K53" s="11">
        <v>1500</v>
      </c>
      <c r="L53" s="3"/>
      <c r="M53" s="11">
        <v>1500</v>
      </c>
      <c r="N53" s="3"/>
      <c r="O53" s="11"/>
      <c r="P53" s="11">
        <f t="shared" si="25"/>
        <v>1500</v>
      </c>
      <c r="Q53" s="11"/>
      <c r="R53" s="38">
        <f t="shared" si="26"/>
        <v>0</v>
      </c>
      <c r="S53" s="38">
        <f>+M53/K53-1</f>
        <v>0</v>
      </c>
    </row>
    <row r="54" spans="1:27" ht="15" x14ac:dyDescent="0.2">
      <c r="A54" s="14" t="s">
        <v>83</v>
      </c>
      <c r="B54" s="15" t="s">
        <v>84</v>
      </c>
      <c r="C54" s="16">
        <v>37500</v>
      </c>
      <c r="D54" s="11">
        <v>37500</v>
      </c>
      <c r="E54" s="11">
        <v>50000</v>
      </c>
      <c r="F54" s="11">
        <v>50000</v>
      </c>
      <c r="G54" s="11">
        <v>50000</v>
      </c>
      <c r="H54" s="11">
        <v>50000</v>
      </c>
      <c r="I54" s="3"/>
      <c r="J54" s="11">
        <v>50000</v>
      </c>
      <c r="K54" s="11">
        <v>50000</v>
      </c>
      <c r="L54" s="3"/>
      <c r="M54" s="11">
        <v>50000</v>
      </c>
      <c r="N54" s="3"/>
      <c r="O54" s="11"/>
      <c r="P54" s="11">
        <f t="shared" si="25"/>
        <v>50000</v>
      </c>
      <c r="Q54" s="11"/>
      <c r="R54" s="38">
        <f t="shared" si="26"/>
        <v>0</v>
      </c>
      <c r="S54" s="38">
        <f>+M54/K54-1</f>
        <v>0</v>
      </c>
    </row>
    <row r="55" spans="1:27" ht="15" x14ac:dyDescent="0.2">
      <c r="A55" s="21"/>
      <c r="B55" s="22"/>
      <c r="C55" s="16"/>
      <c r="D55" s="11"/>
      <c r="E55" s="11"/>
      <c r="F55" s="11"/>
      <c r="G55" s="11"/>
      <c r="H55" s="11"/>
      <c r="I55" s="3"/>
      <c r="J55" s="11"/>
      <c r="K55" s="11"/>
      <c r="L55" s="3"/>
      <c r="M55" s="11"/>
      <c r="N55" s="3"/>
      <c r="O55" s="11"/>
      <c r="P55" s="11"/>
      <c r="Q55" s="11"/>
      <c r="R55" s="11"/>
    </row>
    <row r="56" spans="1:27" s="20" customFormat="1" ht="15" x14ac:dyDescent="0.25">
      <c r="A56" s="17" t="s">
        <v>21</v>
      </c>
      <c r="B56" s="18" t="s">
        <v>403</v>
      </c>
      <c r="C56" s="60">
        <f t="shared" ref="C56:H56" si="27">SUM(C50:C55)</f>
        <v>32489</v>
      </c>
      <c r="D56" s="44">
        <f t="shared" si="27"/>
        <v>89968.47</v>
      </c>
      <c r="E56" s="44">
        <f t="shared" si="27"/>
        <v>92665.709999999992</v>
      </c>
      <c r="F56" s="44">
        <f t="shared" si="27"/>
        <v>79045.25</v>
      </c>
      <c r="G56" s="44">
        <f t="shared" si="27"/>
        <v>97552.19</v>
      </c>
      <c r="H56" s="44">
        <f t="shared" si="27"/>
        <v>91206.66</v>
      </c>
      <c r="I56" s="3"/>
      <c r="J56" s="44">
        <f>SUM(J50:J55)</f>
        <v>55500</v>
      </c>
      <c r="K56" s="44">
        <f>SUM(K50:K55)</f>
        <v>55500</v>
      </c>
      <c r="L56" s="3"/>
      <c r="M56" s="44">
        <f>SUM(M50:M55)</f>
        <v>55500</v>
      </c>
      <c r="N56" s="3"/>
      <c r="O56" s="44"/>
      <c r="P56" s="44">
        <f>SUM(P50:P55)</f>
        <v>55500</v>
      </c>
      <c r="Q56" s="44"/>
      <c r="R56" s="39">
        <f t="shared" ref="R56" si="28">+M56/J56-1</f>
        <v>0</v>
      </c>
      <c r="S56" s="39">
        <f>+M56/K56-1</f>
        <v>0</v>
      </c>
      <c r="T56" s="51"/>
      <c r="U56" s="39"/>
      <c r="V56" s="39"/>
      <c r="W56" s="39"/>
      <c r="X56" s="39"/>
      <c r="Y56" s="39">
        <f>+M56/J56</f>
        <v>1</v>
      </c>
      <c r="Z56" s="61">
        <f>+M56-J56</f>
        <v>0</v>
      </c>
      <c r="AA56" s="44"/>
    </row>
    <row r="57" spans="1:27" ht="15" x14ac:dyDescent="0.2">
      <c r="D57" s="11"/>
      <c r="E57" s="11"/>
      <c r="F57" s="11"/>
      <c r="G57" s="11"/>
      <c r="H57" s="11"/>
      <c r="I57" s="3"/>
      <c r="J57" s="11"/>
      <c r="K57" s="11"/>
      <c r="L57" s="3"/>
      <c r="M57" s="11"/>
      <c r="N57" s="3"/>
      <c r="O57" s="11"/>
      <c r="P57" s="11"/>
      <c r="Q57" s="11"/>
      <c r="R57" s="11"/>
    </row>
    <row r="58" spans="1:27" s="20" customFormat="1" ht="15" x14ac:dyDescent="0.25">
      <c r="A58" s="23" t="s">
        <v>86</v>
      </c>
      <c r="B58" s="24" t="s">
        <v>404</v>
      </c>
      <c r="C58" s="44">
        <f>+C56+C47+C42+C34+C26+C11</f>
        <v>4276151</v>
      </c>
      <c r="D58" s="44">
        <f>+D56+D47+D42+D34+D26+D11</f>
        <v>6019921.370000001</v>
      </c>
      <c r="E58" s="44">
        <f>+E56+E47+E42+E34+E26+E11</f>
        <v>4860796.18</v>
      </c>
      <c r="F58" s="44">
        <f>+F56+F47+F42+F34+F26+F11</f>
        <v>5851407.4800000004</v>
      </c>
      <c r="G58" s="44">
        <f>+G56+G47+G42+G34+G26+G11</f>
        <v>6785849.3399999999</v>
      </c>
      <c r="H58" s="44">
        <f>+H56+H47+H42+H34+H26+H11</f>
        <v>6481894.9600000009</v>
      </c>
      <c r="I58" s="3"/>
      <c r="J58" s="44">
        <f>+J56+J47+J42+J34+J26+J11</f>
        <v>6085000</v>
      </c>
      <c r="K58" s="44">
        <f>+K56+K47+K42+K34+K26+K11</f>
        <v>6595500</v>
      </c>
      <c r="L58" s="3"/>
      <c r="M58" s="44">
        <f>+M56+M47+M42+M34+M26+M11</f>
        <v>6466000</v>
      </c>
      <c r="N58" s="3"/>
      <c r="O58" s="44"/>
      <c r="P58" s="44">
        <f>+P56+P47+P42+P34+P26+P11</f>
        <v>6682274</v>
      </c>
      <c r="Q58" s="44"/>
      <c r="R58" s="39">
        <f t="shared" ref="R58" si="29">+M58/J58-1</f>
        <v>6.2612982744453483E-2</v>
      </c>
      <c r="S58" s="39">
        <f>+M58/K58-1</f>
        <v>-1.9634599348040349E-2</v>
      </c>
      <c r="T58" s="51"/>
      <c r="U58" s="39"/>
      <c r="V58" s="39"/>
      <c r="W58" s="39"/>
      <c r="X58" s="39"/>
      <c r="Y58" s="39">
        <f>+M58/J58</f>
        <v>1.0626129827444535</v>
      </c>
      <c r="Z58" s="61">
        <f>+M58-J58</f>
        <v>381000</v>
      </c>
      <c r="AA58" s="44"/>
    </row>
    <row r="59" spans="1:27" s="28" customFormat="1" ht="15" customHeight="1" x14ac:dyDescent="0.25">
      <c r="A59" s="27"/>
      <c r="B59" s="27"/>
      <c r="C59" s="26"/>
      <c r="D59" s="4"/>
      <c r="E59" s="4"/>
      <c r="F59" s="4"/>
      <c r="G59" s="4"/>
      <c r="H59" s="4"/>
      <c r="I59" s="3"/>
      <c r="J59" s="37"/>
      <c r="K59" s="4"/>
      <c r="L59" s="3"/>
      <c r="M59" s="37"/>
      <c r="N59" s="3"/>
      <c r="O59" s="37"/>
      <c r="P59" s="37"/>
      <c r="Q59" s="37"/>
      <c r="R59" s="37"/>
      <c r="S59" s="38"/>
      <c r="T59" s="50"/>
      <c r="U59" s="38"/>
      <c r="V59" s="38"/>
      <c r="W59" s="38"/>
      <c r="X59" s="38"/>
      <c r="Y59" s="38"/>
      <c r="AA59" s="43"/>
    </row>
    <row r="60" spans="1:27" s="28" customFormat="1" ht="15" x14ac:dyDescent="0.25">
      <c r="A60" s="27"/>
      <c r="B60" s="27"/>
      <c r="C60" s="26"/>
      <c r="D60" s="11"/>
      <c r="E60" s="11"/>
      <c r="F60" s="11"/>
      <c r="G60" s="11"/>
      <c r="H60" s="11"/>
      <c r="I60" s="3"/>
      <c r="J60" s="11"/>
      <c r="K60" s="11"/>
      <c r="L60" s="3"/>
      <c r="M60" s="11"/>
      <c r="N60" s="3"/>
      <c r="O60" s="11"/>
      <c r="P60" s="11"/>
      <c r="Q60" s="11"/>
      <c r="R60" s="11"/>
      <c r="S60" s="38"/>
      <c r="T60" s="50"/>
      <c r="U60" s="38"/>
      <c r="V60" s="38"/>
      <c r="W60" s="38"/>
      <c r="X60" s="38"/>
      <c r="Y60" s="38"/>
      <c r="AA60" s="43"/>
    </row>
    <row r="61" spans="1:27" ht="15" x14ac:dyDescent="0.25">
      <c r="A61" s="9"/>
      <c r="B61" s="10" t="s">
        <v>422</v>
      </c>
      <c r="D61" s="11"/>
      <c r="E61" s="11"/>
      <c r="F61" s="11"/>
      <c r="G61" s="11"/>
      <c r="H61" s="11"/>
      <c r="I61" s="3"/>
      <c r="J61" s="11"/>
      <c r="K61" s="11"/>
      <c r="L61" s="3"/>
      <c r="M61" s="11"/>
      <c r="N61" s="3"/>
      <c r="O61" s="11"/>
      <c r="P61" s="11"/>
      <c r="Q61" s="11"/>
      <c r="R61" s="11"/>
    </row>
    <row r="62" spans="1:27" ht="15" x14ac:dyDescent="0.25">
      <c r="A62" s="9"/>
      <c r="B62" s="10" t="s">
        <v>407</v>
      </c>
      <c r="D62" s="11"/>
      <c r="E62" s="11"/>
      <c r="F62" s="11"/>
      <c r="G62" s="11"/>
      <c r="H62" s="11"/>
      <c r="I62" s="3"/>
      <c r="J62" s="11"/>
      <c r="K62" s="11"/>
      <c r="L62" s="3"/>
      <c r="M62" s="11"/>
      <c r="N62" s="3"/>
      <c r="O62" s="11"/>
      <c r="P62" s="11"/>
      <c r="Q62" s="11"/>
      <c r="R62" s="11"/>
    </row>
    <row r="63" spans="1:27" ht="28.5" x14ac:dyDescent="0.2">
      <c r="A63" s="14" t="s">
        <v>90</v>
      </c>
      <c r="B63" s="15" t="s">
        <v>91</v>
      </c>
      <c r="C63" s="16">
        <v>26237</v>
      </c>
      <c r="D63" s="11">
        <v>34249.040000000001</v>
      </c>
      <c r="E63" s="11">
        <v>36787.03</v>
      </c>
      <c r="F63" s="11">
        <v>65317.5</v>
      </c>
      <c r="G63" s="11">
        <v>54564.56</v>
      </c>
      <c r="H63" s="11">
        <v>85278.78</v>
      </c>
      <c r="I63" s="3"/>
      <c r="J63" s="11">
        <v>15000</v>
      </c>
      <c r="K63" s="11">
        <v>90000</v>
      </c>
      <c r="L63" s="3"/>
      <c r="M63" s="11">
        <v>25000</v>
      </c>
      <c r="N63" s="3"/>
      <c r="O63" s="11"/>
      <c r="P63" s="11">
        <f t="shared" ref="P63:P79" si="30">+O63+M63</f>
        <v>25000</v>
      </c>
      <c r="Q63" s="11"/>
      <c r="R63" s="38">
        <f t="shared" ref="R63:R79" si="31">+M63/J63-1</f>
        <v>0.66666666666666674</v>
      </c>
      <c r="S63" s="38">
        <f t="shared" ref="S63:S79" si="32">+M63/K63-1</f>
        <v>-0.72222222222222221</v>
      </c>
      <c r="T63" s="50" t="s">
        <v>365</v>
      </c>
      <c r="Y63" s="38">
        <f t="shared" ref="Y63:Y79" si="33">+M63/J63</f>
        <v>1.6666666666666667</v>
      </c>
      <c r="Z63" s="37">
        <f t="shared" ref="Z63:Z79" si="34">+M63-J63</f>
        <v>10000</v>
      </c>
    </row>
    <row r="64" spans="1:27" ht="15" x14ac:dyDescent="0.2">
      <c r="A64" s="14" t="s">
        <v>92</v>
      </c>
      <c r="B64" s="15" t="s">
        <v>93</v>
      </c>
      <c r="C64" s="16">
        <v>15987</v>
      </c>
      <c r="D64" s="11">
        <v>20126.57</v>
      </c>
      <c r="E64" s="11">
        <v>7018.92</v>
      </c>
      <c r="F64" s="11">
        <v>6942.57</v>
      </c>
      <c r="G64" s="11">
        <v>11127.23</v>
      </c>
      <c r="H64" s="11">
        <v>6878.91</v>
      </c>
      <c r="I64" s="3"/>
      <c r="J64" s="11">
        <f>0.01*J5</f>
        <v>7000</v>
      </c>
      <c r="K64" s="11">
        <v>7000</v>
      </c>
      <c r="L64" s="3"/>
      <c r="M64" s="11">
        <f>0.01*M5</f>
        <v>7500</v>
      </c>
      <c r="N64" s="3"/>
      <c r="O64" s="11"/>
      <c r="P64" s="11">
        <f t="shared" si="30"/>
        <v>7500</v>
      </c>
      <c r="Q64" s="11"/>
      <c r="R64" s="38">
        <f t="shared" si="31"/>
        <v>7.1428571428571397E-2</v>
      </c>
      <c r="S64" s="38">
        <f t="shared" si="32"/>
        <v>7.1428571428571397E-2</v>
      </c>
      <c r="T64" s="50" t="s">
        <v>366</v>
      </c>
      <c r="Y64" s="38">
        <f t="shared" si="33"/>
        <v>1.0714285714285714</v>
      </c>
      <c r="Z64" s="37">
        <f t="shared" si="34"/>
        <v>500</v>
      </c>
    </row>
    <row r="65" spans="1:26" ht="15" x14ac:dyDescent="0.2">
      <c r="A65" s="14" t="s">
        <v>94</v>
      </c>
      <c r="B65" s="15" t="s">
        <v>95</v>
      </c>
      <c r="C65" s="16">
        <v>373</v>
      </c>
      <c r="D65" s="11">
        <v>4546.7</v>
      </c>
      <c r="E65" s="11">
        <v>1736.1</v>
      </c>
      <c r="F65" s="11">
        <v>3225.47</v>
      </c>
      <c r="G65" s="11">
        <v>4220.67</v>
      </c>
      <c r="H65" s="11">
        <v>1796.04</v>
      </c>
      <c r="I65" s="3"/>
      <c r="J65" s="11">
        <v>3000</v>
      </c>
      <c r="K65" s="11">
        <v>3000</v>
      </c>
      <c r="L65" s="3"/>
      <c r="M65" s="11">
        <v>3000</v>
      </c>
      <c r="N65" s="3"/>
      <c r="O65" s="11"/>
      <c r="P65" s="11">
        <f t="shared" si="30"/>
        <v>3000</v>
      </c>
      <c r="Q65" s="11"/>
      <c r="R65" s="38">
        <f t="shared" si="31"/>
        <v>0</v>
      </c>
      <c r="S65" s="38">
        <f t="shared" si="32"/>
        <v>0</v>
      </c>
      <c r="Y65" s="38">
        <f t="shared" si="33"/>
        <v>1</v>
      </c>
      <c r="Z65" s="37">
        <f t="shared" si="34"/>
        <v>0</v>
      </c>
    </row>
    <row r="66" spans="1:26" ht="28.5" x14ac:dyDescent="0.2">
      <c r="A66" s="14" t="s">
        <v>96</v>
      </c>
      <c r="B66" s="15" t="s">
        <v>97</v>
      </c>
      <c r="C66" s="16">
        <v>6202</v>
      </c>
      <c r="D66" s="11">
        <v>2604.8200000000002</v>
      </c>
      <c r="E66" s="11">
        <v>3101.25</v>
      </c>
      <c r="F66" s="11">
        <v>232</v>
      </c>
      <c r="G66" s="11">
        <v>239</v>
      </c>
      <c r="H66" s="11">
        <v>478</v>
      </c>
      <c r="I66" s="3"/>
      <c r="J66" s="11">
        <v>5000</v>
      </c>
      <c r="K66" s="11">
        <v>500</v>
      </c>
      <c r="L66" s="3"/>
      <c r="M66" s="11">
        <v>5000</v>
      </c>
      <c r="N66" s="3"/>
      <c r="O66" s="11"/>
      <c r="P66" s="11">
        <f t="shared" si="30"/>
        <v>5000</v>
      </c>
      <c r="Q66" s="11"/>
      <c r="R66" s="38">
        <f t="shared" si="31"/>
        <v>0</v>
      </c>
      <c r="S66" s="38">
        <f t="shared" si="32"/>
        <v>9</v>
      </c>
      <c r="T66" s="50" t="s">
        <v>367</v>
      </c>
      <c r="Y66" s="38">
        <f t="shared" si="33"/>
        <v>1</v>
      </c>
      <c r="Z66" s="37">
        <f t="shared" si="34"/>
        <v>0</v>
      </c>
    </row>
    <row r="67" spans="1:26" ht="15" x14ac:dyDescent="0.2">
      <c r="A67" s="14" t="s">
        <v>98</v>
      </c>
      <c r="B67" s="15" t="s">
        <v>62</v>
      </c>
      <c r="C67" s="16">
        <v>0</v>
      </c>
      <c r="D67" s="11">
        <v>5600</v>
      </c>
      <c r="E67" s="11">
        <v>5474.97</v>
      </c>
      <c r="F67" s="11">
        <v>11265</v>
      </c>
      <c r="G67" s="11">
        <v>11850</v>
      </c>
      <c r="H67" s="11">
        <v>10000</v>
      </c>
      <c r="I67" s="3"/>
      <c r="J67" s="11">
        <v>10000</v>
      </c>
      <c r="K67" s="11">
        <v>12000</v>
      </c>
      <c r="L67" s="3"/>
      <c r="M67" s="11">
        <v>15000</v>
      </c>
      <c r="N67" s="3"/>
      <c r="O67" s="11"/>
      <c r="P67" s="11">
        <f t="shared" si="30"/>
        <v>15000</v>
      </c>
      <c r="Q67" s="11"/>
      <c r="R67" s="38">
        <f t="shared" si="31"/>
        <v>0.5</v>
      </c>
      <c r="S67" s="38">
        <f t="shared" si="32"/>
        <v>0.25</v>
      </c>
      <c r="T67" s="50" t="s">
        <v>368</v>
      </c>
      <c r="Y67" s="38">
        <f t="shared" si="33"/>
        <v>1.5</v>
      </c>
      <c r="Z67" s="37">
        <f t="shared" si="34"/>
        <v>5000</v>
      </c>
    </row>
    <row r="68" spans="1:26" ht="15" x14ac:dyDescent="0.2">
      <c r="A68" s="14" t="s">
        <v>99</v>
      </c>
      <c r="B68" s="15" t="s">
        <v>100</v>
      </c>
      <c r="C68" s="16">
        <v>3410</v>
      </c>
      <c r="D68" s="11">
        <v>1195</v>
      </c>
      <c r="E68" s="11">
        <v>8127.02</v>
      </c>
      <c r="F68" s="11">
        <v>6156</v>
      </c>
      <c r="G68" s="11">
        <v>17009</v>
      </c>
      <c r="H68" s="11">
        <v>6140</v>
      </c>
      <c r="I68" s="3"/>
      <c r="J68" s="11">
        <v>5000</v>
      </c>
      <c r="K68" s="11">
        <v>7500</v>
      </c>
      <c r="L68" s="3"/>
      <c r="M68" s="11">
        <v>10000</v>
      </c>
      <c r="N68" s="3"/>
      <c r="O68" s="11"/>
      <c r="P68" s="11">
        <f t="shared" si="30"/>
        <v>10000</v>
      </c>
      <c r="Q68" s="11"/>
      <c r="R68" s="38">
        <f t="shared" si="31"/>
        <v>1</v>
      </c>
      <c r="S68" s="38">
        <f t="shared" si="32"/>
        <v>0.33333333333333326</v>
      </c>
      <c r="T68" s="50" t="s">
        <v>369</v>
      </c>
      <c r="Y68" s="38">
        <f t="shared" si="33"/>
        <v>2</v>
      </c>
      <c r="Z68" s="37">
        <f t="shared" si="34"/>
        <v>5000</v>
      </c>
    </row>
    <row r="69" spans="1:26" ht="15" x14ac:dyDescent="0.2">
      <c r="A69" s="14" t="s">
        <v>101</v>
      </c>
      <c r="B69" s="15" t="s">
        <v>102</v>
      </c>
      <c r="C69" s="16">
        <f>57845+2373</f>
        <v>60218</v>
      </c>
      <c r="D69" s="11">
        <v>56921.25</v>
      </c>
      <c r="E69" s="11">
        <v>37022.5</v>
      </c>
      <c r="F69" s="11">
        <v>81058.55</v>
      </c>
      <c r="G69" s="11">
        <v>109401.91</v>
      </c>
      <c r="H69" s="11">
        <v>30432.9</v>
      </c>
      <c r="I69" s="3"/>
      <c r="J69" s="11">
        <v>100000</v>
      </c>
      <c r="K69" s="11">
        <v>68621</v>
      </c>
      <c r="L69" s="3"/>
      <c r="M69" s="11">
        <v>100000</v>
      </c>
      <c r="N69" s="3"/>
      <c r="O69" s="11"/>
      <c r="P69" s="11">
        <v>70000</v>
      </c>
      <c r="Q69" s="11"/>
      <c r="R69" s="38">
        <f t="shared" si="31"/>
        <v>0</v>
      </c>
      <c r="S69" s="38">
        <f t="shared" si="32"/>
        <v>0.45727984144795331</v>
      </c>
      <c r="T69" s="50" t="s">
        <v>370</v>
      </c>
      <c r="Y69" s="38">
        <f t="shared" si="33"/>
        <v>1</v>
      </c>
      <c r="Z69" s="37">
        <f t="shared" si="34"/>
        <v>0</v>
      </c>
    </row>
    <row r="70" spans="1:26" ht="15" x14ac:dyDescent="0.2">
      <c r="A70" s="14" t="s">
        <v>103</v>
      </c>
      <c r="B70" s="15" t="s">
        <v>104</v>
      </c>
      <c r="C70" s="16">
        <v>21000</v>
      </c>
      <c r="D70" s="11">
        <v>24500</v>
      </c>
      <c r="E70" s="11">
        <v>31990</v>
      </c>
      <c r="F70" s="11">
        <v>55595</v>
      </c>
      <c r="G70" s="11">
        <v>67393</v>
      </c>
      <c r="H70" s="11">
        <v>60357</v>
      </c>
      <c r="I70" s="3"/>
      <c r="J70" s="11">
        <v>65000</v>
      </c>
      <c r="K70" s="11">
        <v>61000</v>
      </c>
      <c r="L70" s="3"/>
      <c r="M70" s="11">
        <v>67500</v>
      </c>
      <c r="N70" s="3"/>
      <c r="O70" s="11"/>
      <c r="P70" s="11">
        <f t="shared" si="30"/>
        <v>67500</v>
      </c>
      <c r="Q70" s="11"/>
      <c r="R70" s="38">
        <f t="shared" si="31"/>
        <v>3.8461538461538547E-2</v>
      </c>
      <c r="S70" s="38">
        <f t="shared" si="32"/>
        <v>0.10655737704918034</v>
      </c>
      <c r="T70" s="50" t="s">
        <v>371</v>
      </c>
      <c r="Y70" s="38">
        <f t="shared" si="33"/>
        <v>1.0384615384615385</v>
      </c>
      <c r="Z70" s="37">
        <f t="shared" si="34"/>
        <v>2500</v>
      </c>
    </row>
    <row r="71" spans="1:26" ht="15" x14ac:dyDescent="0.2">
      <c r="A71" s="14" t="s">
        <v>105</v>
      </c>
      <c r="B71" s="15" t="s">
        <v>106</v>
      </c>
      <c r="C71" s="16">
        <v>0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3"/>
      <c r="J71" s="11">
        <v>0</v>
      </c>
      <c r="K71" s="11"/>
      <c r="L71" s="3"/>
      <c r="M71" s="11">
        <v>15000</v>
      </c>
      <c r="N71" s="3"/>
      <c r="O71" s="11"/>
      <c r="P71" s="11">
        <f t="shared" si="30"/>
        <v>15000</v>
      </c>
      <c r="Q71" s="11"/>
      <c r="R71" s="38"/>
      <c r="S71" s="47"/>
      <c r="T71" s="50" t="s">
        <v>372</v>
      </c>
      <c r="Z71" s="37">
        <f t="shared" si="34"/>
        <v>15000</v>
      </c>
    </row>
    <row r="72" spans="1:26" ht="15" x14ac:dyDescent="0.2">
      <c r="A72" s="14" t="s">
        <v>107</v>
      </c>
      <c r="B72" s="15" t="s">
        <v>108</v>
      </c>
      <c r="C72" s="16">
        <v>970</v>
      </c>
      <c r="D72" s="11">
        <v>280</v>
      </c>
      <c r="E72" s="11">
        <v>14559.11</v>
      </c>
      <c r="F72" s="11">
        <v>8440.1</v>
      </c>
      <c r="G72" s="11">
        <v>4344.25</v>
      </c>
      <c r="H72" s="11">
        <v>7196.3</v>
      </c>
      <c r="I72" s="3"/>
      <c r="J72" s="11">
        <v>3000</v>
      </c>
      <c r="K72" s="11">
        <v>8000</v>
      </c>
      <c r="L72" s="3"/>
      <c r="M72" s="11">
        <v>3000</v>
      </c>
      <c r="N72" s="3"/>
      <c r="O72" s="11"/>
      <c r="P72" s="11">
        <f t="shared" si="30"/>
        <v>3000</v>
      </c>
      <c r="Q72" s="11"/>
      <c r="R72" s="38">
        <f t="shared" si="31"/>
        <v>0</v>
      </c>
      <c r="S72" s="38">
        <f t="shared" si="32"/>
        <v>-0.625</v>
      </c>
      <c r="Y72" s="38">
        <f t="shared" si="33"/>
        <v>1</v>
      </c>
      <c r="Z72" s="37">
        <f t="shared" si="34"/>
        <v>0</v>
      </c>
    </row>
    <row r="73" spans="1:26" ht="15" x14ac:dyDescent="0.2">
      <c r="A73" s="14" t="s">
        <v>109</v>
      </c>
      <c r="B73" s="15" t="s">
        <v>110</v>
      </c>
      <c r="C73" s="16">
        <v>79966</v>
      </c>
      <c r="D73" s="11">
        <v>105164.45</v>
      </c>
      <c r="E73" s="11">
        <v>88000.18</v>
      </c>
      <c r="F73" s="11">
        <v>134525.44</v>
      </c>
      <c r="G73" s="11">
        <v>114624.29</v>
      </c>
      <c r="H73" s="11">
        <v>103386.3</v>
      </c>
      <c r="I73" s="3"/>
      <c r="J73" s="11">
        <v>110000</v>
      </c>
      <c r="K73" s="11">
        <v>125000</v>
      </c>
      <c r="L73" s="3"/>
      <c r="M73" s="11">
        <v>125000</v>
      </c>
      <c r="N73" s="3"/>
      <c r="O73" s="11"/>
      <c r="P73" s="11">
        <f t="shared" si="30"/>
        <v>125000</v>
      </c>
      <c r="Q73" s="11"/>
      <c r="R73" s="38">
        <f t="shared" si="31"/>
        <v>0.13636363636363646</v>
      </c>
      <c r="S73" s="38">
        <f t="shared" si="32"/>
        <v>0</v>
      </c>
      <c r="Y73" s="38">
        <f t="shared" si="33"/>
        <v>1.1363636363636365</v>
      </c>
      <c r="Z73" s="37">
        <f t="shared" si="34"/>
        <v>15000</v>
      </c>
    </row>
    <row r="74" spans="1:26" ht="15" x14ac:dyDescent="0.2">
      <c r="A74" s="14">
        <v>6010950</v>
      </c>
      <c r="B74" s="15" t="s">
        <v>111</v>
      </c>
      <c r="C74" s="16">
        <v>0</v>
      </c>
      <c r="D74" s="11"/>
      <c r="E74" s="11"/>
      <c r="F74" s="11">
        <v>12656.25</v>
      </c>
      <c r="G74" s="11">
        <v>21509.37</v>
      </c>
      <c r="H74" s="11">
        <v>7197.83</v>
      </c>
      <c r="I74" s="3"/>
      <c r="J74" s="11">
        <v>5000</v>
      </c>
      <c r="K74" s="11">
        <v>10000</v>
      </c>
      <c r="L74" s="3"/>
      <c r="M74" s="11">
        <v>25000</v>
      </c>
      <c r="N74" s="3"/>
      <c r="O74" s="11"/>
      <c r="P74" s="11">
        <f t="shared" si="30"/>
        <v>25000</v>
      </c>
      <c r="Q74" s="11"/>
      <c r="R74" s="38">
        <f t="shared" si="31"/>
        <v>4</v>
      </c>
      <c r="S74" s="38">
        <f t="shared" si="32"/>
        <v>1.5</v>
      </c>
      <c r="T74" s="50" t="s">
        <v>373</v>
      </c>
      <c r="Y74" s="38">
        <f t="shared" si="33"/>
        <v>5</v>
      </c>
      <c r="Z74" s="37">
        <f t="shared" si="34"/>
        <v>20000</v>
      </c>
    </row>
    <row r="75" spans="1:26" ht="15" x14ac:dyDescent="0.2">
      <c r="A75" s="14" t="s">
        <v>112</v>
      </c>
      <c r="B75" s="15" t="s">
        <v>113</v>
      </c>
      <c r="C75" s="16">
        <v>8750</v>
      </c>
      <c r="D75" s="11">
        <v>10250</v>
      </c>
      <c r="E75" s="11">
        <v>10200</v>
      </c>
      <c r="F75" s="11">
        <v>10650</v>
      </c>
      <c r="G75" s="11">
        <v>15400</v>
      </c>
      <c r="H75" s="11">
        <v>19750</v>
      </c>
      <c r="I75" s="3"/>
      <c r="J75" s="11">
        <v>20000</v>
      </c>
      <c r="K75" s="11">
        <v>20000</v>
      </c>
      <c r="L75" s="3"/>
      <c r="M75" s="11">
        <v>25000</v>
      </c>
      <c r="N75" s="3"/>
      <c r="O75" s="11"/>
      <c r="P75" s="11">
        <f t="shared" si="30"/>
        <v>25000</v>
      </c>
      <c r="Q75" s="11"/>
      <c r="R75" s="38">
        <f t="shared" si="31"/>
        <v>0.25</v>
      </c>
      <c r="S75" s="38">
        <f t="shared" si="32"/>
        <v>0.25</v>
      </c>
      <c r="T75" s="50" t="s">
        <v>374</v>
      </c>
      <c r="Y75" s="38">
        <f t="shared" si="33"/>
        <v>1.25</v>
      </c>
      <c r="Z75" s="37">
        <f t="shared" si="34"/>
        <v>5000</v>
      </c>
    </row>
    <row r="76" spans="1:26" ht="15" x14ac:dyDescent="0.2">
      <c r="A76" s="14" t="s">
        <v>114</v>
      </c>
      <c r="B76" s="15" t="s">
        <v>115</v>
      </c>
      <c r="C76" s="16">
        <v>0</v>
      </c>
      <c r="D76" s="11">
        <v>27958.95</v>
      </c>
      <c r="E76" s="11">
        <v>6961.88</v>
      </c>
      <c r="F76" s="11">
        <v>26351.88</v>
      </c>
      <c r="G76" s="11">
        <v>23172.67</v>
      </c>
      <c r="H76" s="11">
        <v>39662.92</v>
      </c>
      <c r="I76" s="3"/>
      <c r="J76" s="11">
        <v>15000</v>
      </c>
      <c r="K76" s="11">
        <v>45000</v>
      </c>
      <c r="L76" s="3"/>
      <c r="M76" s="11">
        <v>20000</v>
      </c>
      <c r="N76" s="3"/>
      <c r="O76" s="11"/>
      <c r="P76" s="11">
        <f t="shared" si="30"/>
        <v>20000</v>
      </c>
      <c r="Q76" s="11"/>
      <c r="R76" s="38">
        <f t="shared" si="31"/>
        <v>0.33333333333333326</v>
      </c>
      <c r="S76" s="38">
        <f t="shared" si="32"/>
        <v>-0.55555555555555558</v>
      </c>
      <c r="T76" s="50" t="s">
        <v>375</v>
      </c>
      <c r="Y76" s="38">
        <f t="shared" si="33"/>
        <v>1.3333333333333333</v>
      </c>
      <c r="Z76" s="37">
        <f t="shared" si="34"/>
        <v>5000</v>
      </c>
    </row>
    <row r="77" spans="1:26" ht="15" x14ac:dyDescent="0.2">
      <c r="A77" s="14" t="s">
        <v>116</v>
      </c>
      <c r="B77" s="15" t="s">
        <v>117</v>
      </c>
      <c r="C77" s="16">
        <v>5788</v>
      </c>
      <c r="D77" s="11">
        <v>4300</v>
      </c>
      <c r="E77" s="11">
        <v>4869</v>
      </c>
      <c r="F77" s="11">
        <v>4340</v>
      </c>
      <c r="G77" s="11">
        <v>734.53</v>
      </c>
      <c r="H77" s="11">
        <v>2830.99</v>
      </c>
      <c r="I77" s="3"/>
      <c r="J77" s="11">
        <v>2500</v>
      </c>
      <c r="K77" s="11">
        <v>5000</v>
      </c>
      <c r="L77" s="3"/>
      <c r="M77" s="11">
        <v>5000</v>
      </c>
      <c r="N77" s="3"/>
      <c r="O77" s="11"/>
      <c r="P77" s="11">
        <f t="shared" si="30"/>
        <v>5000</v>
      </c>
      <c r="Q77" s="11"/>
      <c r="R77" s="38">
        <f t="shared" si="31"/>
        <v>1</v>
      </c>
      <c r="S77" s="38">
        <f t="shared" si="32"/>
        <v>0</v>
      </c>
      <c r="Y77" s="38">
        <f t="shared" si="33"/>
        <v>2</v>
      </c>
      <c r="Z77" s="37">
        <f t="shared" si="34"/>
        <v>2500</v>
      </c>
    </row>
    <row r="78" spans="1:26" ht="15" x14ac:dyDescent="0.2">
      <c r="A78" s="14" t="s">
        <v>118</v>
      </c>
      <c r="B78" s="15" t="s">
        <v>119</v>
      </c>
      <c r="C78" s="16">
        <v>18709</v>
      </c>
      <c r="D78" s="11">
        <v>13876.48</v>
      </c>
      <c r="E78" s="11">
        <v>18187.78</v>
      </c>
      <c r="F78" s="11">
        <v>15407.18</v>
      </c>
      <c r="G78" s="11">
        <v>5466.03</v>
      </c>
      <c r="H78" s="11">
        <v>2053.7399999999998</v>
      </c>
      <c r="I78" s="3"/>
      <c r="J78" s="11">
        <v>7500</v>
      </c>
      <c r="K78" s="11">
        <v>3500</v>
      </c>
      <c r="L78" s="3"/>
      <c r="M78" s="11">
        <v>7500</v>
      </c>
      <c r="N78" s="3"/>
      <c r="O78" s="11"/>
      <c r="P78" s="11">
        <f t="shared" si="30"/>
        <v>7500</v>
      </c>
      <c r="Q78" s="11"/>
      <c r="R78" s="38">
        <f t="shared" si="31"/>
        <v>0</v>
      </c>
      <c r="S78" s="38">
        <f t="shared" si="32"/>
        <v>1.1428571428571428</v>
      </c>
      <c r="T78" s="50" t="s">
        <v>370</v>
      </c>
      <c r="Y78" s="38">
        <f t="shared" si="33"/>
        <v>1</v>
      </c>
      <c r="Z78" s="37">
        <f t="shared" si="34"/>
        <v>0</v>
      </c>
    </row>
    <row r="79" spans="1:26" ht="15" x14ac:dyDescent="0.2">
      <c r="A79" s="14" t="s">
        <v>120</v>
      </c>
      <c r="B79" s="15" t="s">
        <v>121</v>
      </c>
      <c r="C79" s="16">
        <v>61378</v>
      </c>
      <c r="D79" s="11">
        <v>40060.879999999997</v>
      </c>
      <c r="E79" s="11">
        <v>1266.28</v>
      </c>
      <c r="F79" s="11">
        <v>36224.44</v>
      </c>
      <c r="G79" s="11">
        <v>15916.78</v>
      </c>
      <c r="H79" s="11">
        <v>14590.75</v>
      </c>
      <c r="I79" s="3"/>
      <c r="J79" s="11">
        <v>10000</v>
      </c>
      <c r="K79" s="11">
        <v>15000</v>
      </c>
      <c r="L79" s="3"/>
      <c r="M79" s="11">
        <v>20000</v>
      </c>
      <c r="N79" s="3"/>
      <c r="O79" s="11"/>
      <c r="P79" s="11">
        <f t="shared" si="30"/>
        <v>20000</v>
      </c>
      <c r="Q79" s="11"/>
      <c r="R79" s="38">
        <f t="shared" si="31"/>
        <v>1</v>
      </c>
      <c r="S79" s="38">
        <f t="shared" si="32"/>
        <v>0.33333333333333326</v>
      </c>
      <c r="T79" s="50" t="s">
        <v>371</v>
      </c>
      <c r="Y79" s="38">
        <f t="shared" si="33"/>
        <v>2</v>
      </c>
      <c r="Z79" s="37">
        <f t="shared" si="34"/>
        <v>10000</v>
      </c>
    </row>
    <row r="80" spans="1:26" ht="15" x14ac:dyDescent="0.2">
      <c r="A80" s="14"/>
      <c r="B80" s="15"/>
      <c r="C80" s="16"/>
      <c r="D80" s="11"/>
      <c r="E80" s="11"/>
      <c r="F80" s="11"/>
      <c r="G80" s="11"/>
      <c r="H80" s="11"/>
      <c r="I80" s="3"/>
      <c r="J80" s="11"/>
      <c r="K80" s="11"/>
      <c r="L80" s="3"/>
      <c r="M80" s="11"/>
      <c r="N80" s="3"/>
      <c r="O80" s="11"/>
      <c r="P80" s="11"/>
      <c r="Q80" s="11"/>
      <c r="R80" s="11"/>
    </row>
    <row r="81" spans="1:27" s="20" customFormat="1" ht="15" x14ac:dyDescent="0.25">
      <c r="A81" s="29"/>
      <c r="B81" s="30" t="s">
        <v>405</v>
      </c>
      <c r="C81" s="59">
        <f t="shared" ref="C81:H81" si="35">SUM(C63:C79)</f>
        <v>308988</v>
      </c>
      <c r="D81" s="44">
        <f t="shared" si="35"/>
        <v>351634.14</v>
      </c>
      <c r="E81" s="44">
        <f t="shared" si="35"/>
        <v>275302.02</v>
      </c>
      <c r="F81" s="44">
        <f t="shared" si="35"/>
        <v>478387.38</v>
      </c>
      <c r="G81" s="44">
        <f t="shared" si="35"/>
        <v>476973.29000000004</v>
      </c>
      <c r="H81" s="44">
        <f t="shared" si="35"/>
        <v>398030.45999999996</v>
      </c>
      <c r="I81" s="3"/>
      <c r="J81" s="44">
        <f>SUM(J63:J79)</f>
        <v>383000</v>
      </c>
      <c r="K81" s="44">
        <f>SUM(K63:K79)</f>
        <v>481121</v>
      </c>
      <c r="L81" s="3"/>
      <c r="M81" s="44">
        <f>SUM(M63:M79)</f>
        <v>478500</v>
      </c>
      <c r="N81" s="3"/>
      <c r="O81" s="44"/>
      <c r="P81" s="44">
        <f>SUM(P63:P79)</f>
        <v>448500</v>
      </c>
      <c r="Q81" s="11"/>
      <c r="R81" s="38">
        <f t="shared" ref="R81" si="36">+M81/J81-1</f>
        <v>0.24934725848563977</v>
      </c>
      <c r="S81" s="38">
        <f>+M81/K81-1</f>
        <v>-5.4476940312312427E-3</v>
      </c>
      <c r="T81" s="50"/>
      <c r="U81" s="38"/>
      <c r="V81" s="38"/>
      <c r="W81" s="38"/>
      <c r="X81" s="38"/>
      <c r="Y81" s="38">
        <f>+M81/J81</f>
        <v>1.2493472584856398</v>
      </c>
      <c r="Z81" s="37">
        <f>+M81-J81</f>
        <v>95500</v>
      </c>
      <c r="AA81" s="44"/>
    </row>
    <row r="82" spans="1:27" s="20" customFormat="1" ht="15" x14ac:dyDescent="0.25">
      <c r="A82" s="29"/>
      <c r="B82" s="30"/>
      <c r="C82" s="16"/>
      <c r="D82" s="11"/>
      <c r="E82" s="11"/>
      <c r="F82" s="11"/>
      <c r="G82" s="11"/>
      <c r="H82" s="11"/>
      <c r="I82" s="3"/>
      <c r="J82" s="11"/>
      <c r="K82" s="11"/>
      <c r="L82" s="3"/>
      <c r="M82" s="11"/>
      <c r="N82" s="3"/>
      <c r="O82" s="11"/>
      <c r="P82" s="11"/>
      <c r="Q82" s="11"/>
      <c r="R82" s="11"/>
      <c r="S82" s="38"/>
      <c r="T82" s="50"/>
      <c r="U82" s="38"/>
      <c r="V82" s="38"/>
      <c r="W82" s="38"/>
      <c r="X82" s="38"/>
      <c r="Y82" s="38"/>
      <c r="AA82" s="44"/>
    </row>
    <row r="83" spans="1:27" s="20" customFormat="1" ht="15" x14ac:dyDescent="0.25">
      <c r="A83" s="70"/>
      <c r="B83" s="10" t="s">
        <v>406</v>
      </c>
      <c r="C83" s="16"/>
      <c r="D83" s="11"/>
      <c r="E83" s="11"/>
      <c r="F83" s="11"/>
      <c r="G83" s="11"/>
      <c r="H83" s="11"/>
      <c r="I83" s="3"/>
      <c r="J83" s="11"/>
      <c r="K83" s="11"/>
      <c r="L83" s="3"/>
      <c r="M83" s="11"/>
      <c r="N83" s="3"/>
      <c r="O83" s="11"/>
      <c r="P83" s="11"/>
      <c r="Q83" s="11"/>
      <c r="R83" s="11"/>
      <c r="S83" s="38"/>
      <c r="T83" s="50"/>
      <c r="U83" s="38"/>
      <c r="V83" s="38"/>
      <c r="W83" s="38"/>
      <c r="X83" s="38"/>
      <c r="Y83" s="38"/>
      <c r="AA83" s="44"/>
    </row>
    <row r="84" spans="1:27" ht="15" x14ac:dyDescent="0.2">
      <c r="A84" s="14" t="s">
        <v>123</v>
      </c>
      <c r="B84" s="15" t="s">
        <v>124</v>
      </c>
      <c r="C84" s="16">
        <v>238952</v>
      </c>
      <c r="D84" s="11">
        <v>299344.71999999997</v>
      </c>
      <c r="E84" s="11">
        <v>296161.17</v>
      </c>
      <c r="F84" s="11">
        <v>348848.89</v>
      </c>
      <c r="G84" s="11">
        <v>339427.25</v>
      </c>
      <c r="H84" s="11">
        <v>321921.98</v>
      </c>
      <c r="I84" s="3"/>
      <c r="J84" s="11">
        <v>402098</v>
      </c>
      <c r="K84" s="11">
        <v>401000</v>
      </c>
      <c r="L84" s="3"/>
      <c r="M84" s="11">
        <v>409322</v>
      </c>
      <c r="N84" s="3"/>
      <c r="O84" s="11"/>
      <c r="P84" s="11">
        <f t="shared" ref="P84:P109" si="37">+O84+M84</f>
        <v>409322</v>
      </c>
      <c r="Q84" s="11"/>
      <c r="R84" s="38">
        <f t="shared" ref="R84:R111" si="38">+M84/J84-1</f>
        <v>1.7965769538769161E-2</v>
      </c>
      <c r="S84" s="38">
        <f t="shared" ref="S84:S111" si="39">+M84/K84-1</f>
        <v>2.0753117206982585E-2</v>
      </c>
      <c r="T84" s="54" t="s">
        <v>376</v>
      </c>
      <c r="Y84" s="38">
        <f t="shared" ref="Y84:Y111" si="40">+M84/J84</f>
        <v>1.0179657695387692</v>
      </c>
      <c r="Z84" s="37">
        <f t="shared" ref="Z84:Z112" si="41">+M84-J84</f>
        <v>7224</v>
      </c>
    </row>
    <row r="85" spans="1:27" ht="15" x14ac:dyDescent="0.2">
      <c r="A85" s="14">
        <v>6020101</v>
      </c>
      <c r="B85" s="15" t="s">
        <v>347</v>
      </c>
      <c r="C85" s="16"/>
      <c r="D85" s="11"/>
      <c r="E85" s="11"/>
      <c r="F85" s="11"/>
      <c r="G85" s="11">
        <v>0</v>
      </c>
      <c r="H85" s="11">
        <v>5359.87</v>
      </c>
      <c r="I85" s="3"/>
      <c r="J85" s="11"/>
      <c r="K85" s="11"/>
      <c r="L85" s="3"/>
      <c r="M85" s="11">
        <v>8734</v>
      </c>
      <c r="N85" s="3"/>
      <c r="O85" s="11"/>
      <c r="P85" s="11">
        <f t="shared" si="37"/>
        <v>8734</v>
      </c>
      <c r="Q85" s="11"/>
      <c r="R85" s="38"/>
      <c r="T85" s="54"/>
      <c r="Z85" s="37">
        <f t="shared" si="41"/>
        <v>8734</v>
      </c>
    </row>
    <row r="86" spans="1:27" ht="15" x14ac:dyDescent="0.2">
      <c r="A86" s="14" t="s">
        <v>125</v>
      </c>
      <c r="B86" s="15" t="s">
        <v>126</v>
      </c>
      <c r="C86" s="16">
        <v>19656</v>
      </c>
      <c r="D86" s="11">
        <v>24665.38</v>
      </c>
      <c r="E86" s="11">
        <v>23771.06</v>
      </c>
      <c r="F86" s="11">
        <v>25648.01</v>
      </c>
      <c r="G86" s="11">
        <v>30223.3</v>
      </c>
      <c r="H86" s="11">
        <v>27227.599999999999</v>
      </c>
      <c r="I86" s="3"/>
      <c r="J86" s="11">
        <v>32168</v>
      </c>
      <c r="K86" s="11">
        <v>33000</v>
      </c>
      <c r="L86" s="3"/>
      <c r="M86" s="11">
        <f>33445+1881</f>
        <v>35326</v>
      </c>
      <c r="N86" s="3"/>
      <c r="O86" s="11"/>
      <c r="P86" s="11">
        <f t="shared" si="37"/>
        <v>35326</v>
      </c>
      <c r="Q86" s="11"/>
      <c r="R86" s="38">
        <f t="shared" si="38"/>
        <v>9.8172096493409633E-2</v>
      </c>
      <c r="S86" s="38">
        <f t="shared" si="39"/>
        <v>7.0484848484848595E-2</v>
      </c>
      <c r="Y86" s="38">
        <f t="shared" si="40"/>
        <v>1.0981720964934096</v>
      </c>
      <c r="Z86" s="37">
        <f t="shared" si="41"/>
        <v>3158</v>
      </c>
    </row>
    <row r="87" spans="1:27" ht="15" x14ac:dyDescent="0.2">
      <c r="A87" s="14" t="s">
        <v>127</v>
      </c>
      <c r="B87" s="15" t="s">
        <v>128</v>
      </c>
      <c r="C87" s="16">
        <v>45927</v>
      </c>
      <c r="D87" s="11">
        <v>58698.76</v>
      </c>
      <c r="E87" s="11">
        <v>67570.789999999994</v>
      </c>
      <c r="F87" s="11">
        <v>64434.796000000002</v>
      </c>
      <c r="G87" s="11">
        <v>78948.34</v>
      </c>
      <c r="H87" s="11">
        <v>64406.5</v>
      </c>
      <c r="I87" s="3"/>
      <c r="J87" s="11">
        <v>89526</v>
      </c>
      <c r="K87" s="11">
        <v>85600</v>
      </c>
      <c r="L87" s="3"/>
      <c r="M87" s="11">
        <v>95717</v>
      </c>
      <c r="N87" s="3"/>
      <c r="O87" s="11"/>
      <c r="P87" s="11">
        <f t="shared" si="37"/>
        <v>95717</v>
      </c>
      <c r="Q87" s="11"/>
      <c r="R87" s="38">
        <f t="shared" si="38"/>
        <v>6.9153095190224168E-2</v>
      </c>
      <c r="S87" s="38">
        <f t="shared" si="39"/>
        <v>0.1181892523364485</v>
      </c>
      <c r="Y87" s="38">
        <f t="shared" si="40"/>
        <v>1.0691530951902242</v>
      </c>
      <c r="Z87" s="37">
        <f t="shared" si="41"/>
        <v>6191</v>
      </c>
    </row>
    <row r="88" spans="1:27" ht="15" x14ac:dyDescent="0.2">
      <c r="A88" s="14" t="s">
        <v>129</v>
      </c>
      <c r="B88" s="15" t="s">
        <v>130</v>
      </c>
      <c r="C88" s="16">
        <v>4516</v>
      </c>
      <c r="D88" s="11">
        <v>3310.13</v>
      </c>
      <c r="E88" s="11">
        <v>783.71</v>
      </c>
      <c r="F88" s="11">
        <v>3864.75</v>
      </c>
      <c r="G88" s="11">
        <v>4094.01</v>
      </c>
      <c r="H88" s="11">
        <v>4067.87</v>
      </c>
      <c r="I88" s="3"/>
      <c r="J88" s="11">
        <v>4342</v>
      </c>
      <c r="K88" s="11">
        <v>4500</v>
      </c>
      <c r="L88" s="3"/>
      <c r="M88" s="11">
        <f>4315+195</f>
        <v>4510</v>
      </c>
      <c r="N88" s="3"/>
      <c r="O88" s="11"/>
      <c r="P88" s="11">
        <f t="shared" si="37"/>
        <v>4510</v>
      </c>
      <c r="Q88" s="11"/>
      <c r="R88" s="38">
        <f t="shared" si="38"/>
        <v>3.8691847075080554E-2</v>
      </c>
      <c r="S88" s="38">
        <f t="shared" si="39"/>
        <v>2.2222222222221255E-3</v>
      </c>
      <c r="Y88" s="38">
        <f t="shared" si="40"/>
        <v>1.0386918470750806</v>
      </c>
      <c r="Z88" s="37">
        <f t="shared" si="41"/>
        <v>168</v>
      </c>
    </row>
    <row r="89" spans="1:27" ht="15" x14ac:dyDescent="0.2">
      <c r="A89" s="14">
        <v>6020150</v>
      </c>
      <c r="B89" s="15" t="s">
        <v>171</v>
      </c>
      <c r="C89" s="16"/>
      <c r="D89" s="11"/>
      <c r="E89" s="11"/>
      <c r="F89" s="11"/>
      <c r="G89" s="11">
        <v>433</v>
      </c>
      <c r="H89" s="11">
        <v>562.30999999999995</v>
      </c>
      <c r="I89" s="3"/>
      <c r="J89" s="11"/>
      <c r="K89" s="11">
        <v>600</v>
      </c>
      <c r="L89" s="3"/>
      <c r="M89" s="11">
        <v>500</v>
      </c>
      <c r="N89" s="3"/>
      <c r="O89" s="11"/>
      <c r="P89" s="11">
        <f t="shared" si="37"/>
        <v>500</v>
      </c>
      <c r="Q89" s="11"/>
      <c r="R89" s="38"/>
      <c r="S89" s="38">
        <f t="shared" si="39"/>
        <v>-0.16666666666666663</v>
      </c>
      <c r="Z89" s="37">
        <f t="shared" si="41"/>
        <v>500</v>
      </c>
    </row>
    <row r="90" spans="1:27" ht="15" x14ac:dyDescent="0.2">
      <c r="A90" s="14" t="s">
        <v>131</v>
      </c>
      <c r="B90" s="15" t="s">
        <v>132</v>
      </c>
      <c r="C90" s="16">
        <v>2521</v>
      </c>
      <c r="D90" s="11">
        <v>2307.63</v>
      </c>
      <c r="E90" s="11">
        <v>3053.15</v>
      </c>
      <c r="F90" s="11">
        <v>3349.54</v>
      </c>
      <c r="G90" s="11">
        <v>2166.4899999999998</v>
      </c>
      <c r="H90" s="11">
        <v>441.77</v>
      </c>
      <c r="I90" s="3"/>
      <c r="J90" s="11">
        <v>524</v>
      </c>
      <c r="K90" s="11">
        <v>525</v>
      </c>
      <c r="L90" s="3"/>
      <c r="M90" s="11">
        <f>532+12</f>
        <v>544</v>
      </c>
      <c r="N90" s="3"/>
      <c r="O90" s="11"/>
      <c r="P90" s="11">
        <f t="shared" si="37"/>
        <v>544</v>
      </c>
      <c r="Q90" s="11"/>
      <c r="R90" s="38">
        <f t="shared" si="38"/>
        <v>3.8167938931297662E-2</v>
      </c>
      <c r="S90" s="38">
        <f t="shared" si="39"/>
        <v>3.6190476190476106E-2</v>
      </c>
      <c r="Y90" s="38">
        <f t="shared" si="40"/>
        <v>1.0381679389312977</v>
      </c>
      <c r="Z90" s="37">
        <f t="shared" si="41"/>
        <v>20</v>
      </c>
    </row>
    <row r="91" spans="1:27" ht="15" x14ac:dyDescent="0.25">
      <c r="A91" s="14"/>
      <c r="B91" s="30" t="s">
        <v>395</v>
      </c>
      <c r="C91" s="59">
        <f>SUM(C84:C90)</f>
        <v>311572</v>
      </c>
      <c r="D91" s="59">
        <f>SUM(D84:D90)</f>
        <v>388326.62</v>
      </c>
      <c r="E91" s="59">
        <f>SUM(E84:E90)</f>
        <v>391339.88</v>
      </c>
      <c r="F91" s="59">
        <f>SUM(F84:F90)</f>
        <v>446145.98599999998</v>
      </c>
      <c r="G91" s="59">
        <f>SUM(G84:G90)</f>
        <v>455292.39</v>
      </c>
      <c r="H91" s="59">
        <f>SUM(H84:H90)</f>
        <v>423987.89999999997</v>
      </c>
      <c r="I91" s="3"/>
      <c r="J91" s="59">
        <f>SUM(J84:J90)</f>
        <v>528658</v>
      </c>
      <c r="K91" s="59">
        <f>SUM(K84:K90)</f>
        <v>525225</v>
      </c>
      <c r="L91" s="3"/>
      <c r="M91" s="59">
        <f>SUM(M84:M90)</f>
        <v>554653</v>
      </c>
      <c r="N91" s="3"/>
      <c r="O91" s="44"/>
      <c r="P91" s="59">
        <f>SUM(P84:P90)</f>
        <v>554653</v>
      </c>
      <c r="Q91" s="11"/>
      <c r="R91" s="38"/>
      <c r="Z91" s="37"/>
    </row>
    <row r="92" spans="1:27" ht="15" x14ac:dyDescent="0.2">
      <c r="A92" s="14" t="s">
        <v>133</v>
      </c>
      <c r="B92" s="15" t="s">
        <v>134</v>
      </c>
      <c r="C92" s="16">
        <v>0</v>
      </c>
      <c r="D92" s="11">
        <v>11442.46</v>
      </c>
      <c r="E92" s="11">
        <v>4424.22</v>
      </c>
      <c r="F92" s="11">
        <v>3650.56</v>
      </c>
      <c r="G92" s="11">
        <v>3376.96</v>
      </c>
      <c r="H92" s="11">
        <v>4821.04</v>
      </c>
      <c r="I92" s="3"/>
      <c r="J92" s="11">
        <v>5000</v>
      </c>
      <c r="K92" s="11">
        <v>5000</v>
      </c>
      <c r="L92" s="3"/>
      <c r="M92" s="11">
        <v>5000</v>
      </c>
      <c r="N92" s="3"/>
      <c r="O92" s="11"/>
      <c r="P92" s="11">
        <f t="shared" si="37"/>
        <v>5000</v>
      </c>
      <c r="Q92" s="11"/>
      <c r="R92" s="38">
        <f t="shared" si="38"/>
        <v>0</v>
      </c>
      <c r="S92" s="38">
        <f t="shared" si="39"/>
        <v>0</v>
      </c>
      <c r="Y92" s="38">
        <f t="shared" si="40"/>
        <v>1</v>
      </c>
      <c r="Z92" s="37">
        <f t="shared" si="41"/>
        <v>0</v>
      </c>
    </row>
    <row r="93" spans="1:27" ht="15" x14ac:dyDescent="0.2">
      <c r="A93" s="14" t="s">
        <v>135</v>
      </c>
      <c r="B93" s="15" t="s">
        <v>136</v>
      </c>
      <c r="C93" s="16">
        <v>0</v>
      </c>
      <c r="D93" s="11">
        <v>1059.43</v>
      </c>
      <c r="E93" s="11">
        <v>550.42999999999995</v>
      </c>
      <c r="F93" s="11">
        <v>323.07</v>
      </c>
      <c r="G93" s="11">
        <v>293.18</v>
      </c>
      <c r="H93" s="11">
        <v>338.82</v>
      </c>
      <c r="I93" s="3"/>
      <c r="J93" s="11">
        <v>450</v>
      </c>
      <c r="K93" s="11">
        <v>450</v>
      </c>
      <c r="L93" s="3"/>
      <c r="M93" s="11">
        <v>450</v>
      </c>
      <c r="N93" s="3"/>
      <c r="O93" s="11"/>
      <c r="P93" s="11">
        <f t="shared" si="37"/>
        <v>450</v>
      </c>
      <c r="Q93" s="11"/>
      <c r="R93" s="38">
        <f t="shared" si="38"/>
        <v>0</v>
      </c>
      <c r="S93" s="38">
        <f t="shared" si="39"/>
        <v>0</v>
      </c>
      <c r="Y93" s="38">
        <f t="shared" si="40"/>
        <v>1</v>
      </c>
      <c r="Z93" s="37">
        <f t="shared" si="41"/>
        <v>0</v>
      </c>
    </row>
    <row r="94" spans="1:27" ht="15" x14ac:dyDescent="0.2">
      <c r="A94" s="14" t="s">
        <v>137</v>
      </c>
      <c r="B94" s="15" t="s">
        <v>138</v>
      </c>
      <c r="C94" s="16">
        <v>12</v>
      </c>
      <c r="D94" s="11">
        <v>19.940000000000001</v>
      </c>
      <c r="E94" s="11">
        <v>117.15</v>
      </c>
      <c r="F94" s="11">
        <v>650.58000000000004</v>
      </c>
      <c r="G94" s="11">
        <v>421.78</v>
      </c>
      <c r="H94" s="11">
        <v>10.72</v>
      </c>
      <c r="I94" s="3"/>
      <c r="J94" s="11">
        <v>15</v>
      </c>
      <c r="K94" s="11">
        <v>15</v>
      </c>
      <c r="L94" s="3"/>
      <c r="M94" s="11">
        <v>15</v>
      </c>
      <c r="N94" s="3"/>
      <c r="O94" s="11"/>
      <c r="P94" s="11">
        <f t="shared" si="37"/>
        <v>15</v>
      </c>
      <c r="Q94" s="11"/>
      <c r="R94" s="38">
        <f t="shared" si="38"/>
        <v>0</v>
      </c>
      <c r="S94" s="38">
        <f t="shared" si="39"/>
        <v>0</v>
      </c>
      <c r="Y94" s="38">
        <f t="shared" si="40"/>
        <v>1</v>
      </c>
      <c r="Z94" s="37">
        <f t="shared" si="41"/>
        <v>0</v>
      </c>
    </row>
    <row r="95" spans="1:27" ht="15.75" thickBot="1" x14ac:dyDescent="0.3">
      <c r="A95" s="14"/>
      <c r="B95" s="30" t="s">
        <v>396</v>
      </c>
      <c r="C95" s="59">
        <f>SUM(C92:C94)</f>
        <v>12</v>
      </c>
      <c r="D95" s="59">
        <f>SUM(D92:D94)</f>
        <v>12521.83</v>
      </c>
      <c r="E95" s="59">
        <f>SUM(E92:E94)</f>
        <v>5091.8</v>
      </c>
      <c r="F95" s="59">
        <f>SUM(F92:F94)</f>
        <v>4624.21</v>
      </c>
      <c r="G95" s="59">
        <f>SUM(G92:G94)</f>
        <v>4091.92</v>
      </c>
      <c r="H95" s="59">
        <f>SUM(H92:H94)</f>
        <v>5170.58</v>
      </c>
      <c r="I95" s="3"/>
      <c r="J95" s="59">
        <f>SUM(J92:J94)</f>
        <v>5465</v>
      </c>
      <c r="K95" s="59">
        <f>SUM(K92:K94)</f>
        <v>5465</v>
      </c>
      <c r="L95" s="3"/>
      <c r="M95" s="59">
        <f>SUM(M92:M94)</f>
        <v>5465</v>
      </c>
      <c r="N95" s="3"/>
      <c r="O95" s="44"/>
      <c r="P95" s="59">
        <f>SUM(P92:P94)</f>
        <v>5465</v>
      </c>
      <c r="Q95" s="11"/>
      <c r="R95" s="38"/>
      <c r="Z95" s="37"/>
    </row>
    <row r="96" spans="1:27" ht="28.5" customHeight="1" x14ac:dyDescent="0.2">
      <c r="A96" s="14" t="s">
        <v>139</v>
      </c>
      <c r="B96" s="15" t="s">
        <v>140</v>
      </c>
      <c r="C96" s="16">
        <f>15361+10858+22435</f>
        <v>48654</v>
      </c>
      <c r="D96" s="11">
        <f>19630.67+10186.4+18414.25</f>
        <v>48231.32</v>
      </c>
      <c r="E96" s="11">
        <f>17868.97+7670.93+15920.44</f>
        <v>41460.340000000004</v>
      </c>
      <c r="F96" s="11">
        <f>22859.69+10989.56+26310.71</f>
        <v>60159.96</v>
      </c>
      <c r="G96" s="11">
        <f>31094.52+11989.64+20716.87</f>
        <v>63801.03</v>
      </c>
      <c r="H96" s="11">
        <f>22774.27+9737.49+12064.35</f>
        <v>44576.11</v>
      </c>
      <c r="I96" s="3"/>
      <c r="J96" s="11">
        <v>66000</v>
      </c>
      <c r="K96" s="11">
        <v>66000</v>
      </c>
      <c r="L96" s="3"/>
      <c r="M96" s="11">
        <v>66000</v>
      </c>
      <c r="N96" s="3"/>
      <c r="O96" s="11"/>
      <c r="P96" s="11">
        <f t="shared" si="37"/>
        <v>66000</v>
      </c>
      <c r="Q96" s="11"/>
      <c r="R96" s="38">
        <f t="shared" si="38"/>
        <v>0</v>
      </c>
      <c r="S96" s="38">
        <f t="shared" si="39"/>
        <v>0</v>
      </c>
      <c r="T96" s="56" t="s">
        <v>394</v>
      </c>
      <c r="Y96" s="38">
        <f t="shared" si="40"/>
        <v>1</v>
      </c>
      <c r="Z96" s="37">
        <f t="shared" si="41"/>
        <v>0</v>
      </c>
    </row>
    <row r="97" spans="1:26" ht="28.5" customHeight="1" x14ac:dyDescent="0.2">
      <c r="A97" s="14" t="s">
        <v>141</v>
      </c>
      <c r="B97" s="15" t="s">
        <v>142</v>
      </c>
      <c r="C97" s="16">
        <f>2450+2450</f>
        <v>4900</v>
      </c>
      <c r="D97" s="11">
        <f>2907.5+2907.5+780</f>
        <v>6595</v>
      </c>
      <c r="E97" s="11">
        <f>2185+2040+2212.98</f>
        <v>6437.98</v>
      </c>
      <c r="F97" s="11">
        <f>3020+2995+2880</f>
        <v>8895</v>
      </c>
      <c r="G97" s="11">
        <f>6434+2628</f>
        <v>9062</v>
      </c>
      <c r="H97" s="11">
        <f>7550+1520</f>
        <v>9070</v>
      </c>
      <c r="I97" s="3"/>
      <c r="J97" s="11">
        <v>9500</v>
      </c>
      <c r="K97" s="11">
        <v>9500</v>
      </c>
      <c r="L97" s="3"/>
      <c r="M97" s="11">
        <v>15000</v>
      </c>
      <c r="N97" s="3"/>
      <c r="O97" s="11"/>
      <c r="P97" s="11">
        <f t="shared" si="37"/>
        <v>15000</v>
      </c>
      <c r="Q97" s="11"/>
      <c r="R97" s="38">
        <f t="shared" si="38"/>
        <v>0.57894736842105265</v>
      </c>
      <c r="S97" s="38">
        <f t="shared" si="39"/>
        <v>0.57894736842105265</v>
      </c>
      <c r="T97" s="57"/>
      <c r="Y97" s="38">
        <f t="shared" si="40"/>
        <v>1.5789473684210527</v>
      </c>
      <c r="Z97" s="37">
        <f t="shared" si="41"/>
        <v>5500</v>
      </c>
    </row>
    <row r="98" spans="1:26" ht="28.5" customHeight="1" x14ac:dyDescent="0.2">
      <c r="A98" s="14" t="s">
        <v>143</v>
      </c>
      <c r="B98" s="15" t="s">
        <v>144</v>
      </c>
      <c r="C98" s="16">
        <f>212+212</f>
        <v>424</v>
      </c>
      <c r="D98" s="11">
        <f>427.5+427.5</f>
        <v>855</v>
      </c>
      <c r="E98" s="11">
        <f>432+432</f>
        <v>864</v>
      </c>
      <c r="F98" s="11">
        <f>438+438</f>
        <v>876</v>
      </c>
      <c r="G98" s="11">
        <v>441</v>
      </c>
      <c r="H98" s="11">
        <v>894</v>
      </c>
      <c r="I98" s="3"/>
      <c r="J98" s="11">
        <v>500</v>
      </c>
      <c r="K98" s="11">
        <v>1000</v>
      </c>
      <c r="L98" s="3"/>
      <c r="M98" s="11">
        <v>1000</v>
      </c>
      <c r="N98" s="3"/>
      <c r="O98" s="11"/>
      <c r="P98" s="11">
        <f t="shared" si="37"/>
        <v>1000</v>
      </c>
      <c r="Q98" s="11"/>
      <c r="R98" s="38">
        <f t="shared" si="38"/>
        <v>1</v>
      </c>
      <c r="S98" s="38">
        <f t="shared" si="39"/>
        <v>0</v>
      </c>
      <c r="T98" s="57"/>
      <c r="Y98" s="38">
        <f t="shared" si="40"/>
        <v>2</v>
      </c>
      <c r="Z98" s="37">
        <f t="shared" si="41"/>
        <v>500</v>
      </c>
    </row>
    <row r="99" spans="1:26" ht="28.5" customHeight="1" x14ac:dyDescent="0.2">
      <c r="A99" s="14" t="s">
        <v>145</v>
      </c>
      <c r="B99" s="15" t="s">
        <v>146</v>
      </c>
      <c r="C99" s="16">
        <f>4463+9812+3711</f>
        <v>17986</v>
      </c>
      <c r="D99" s="11">
        <f>1800.73+7179.74+2791.67</f>
        <v>11772.14</v>
      </c>
      <c r="E99" s="11">
        <f>547.07+2565.46+2687.27</f>
        <v>5799.8</v>
      </c>
      <c r="F99" s="11">
        <f>8821.29+471.52+5448.95</f>
        <v>14741.760000000002</v>
      </c>
      <c r="G99" s="11">
        <f>5320.5+465.14</f>
        <v>5785.64</v>
      </c>
      <c r="H99" s="11">
        <f>14858.15+336.97</f>
        <v>15195.119999999999</v>
      </c>
      <c r="I99" s="3"/>
      <c r="J99" s="11">
        <v>4000</v>
      </c>
      <c r="K99" s="11">
        <v>17500</v>
      </c>
      <c r="L99" s="3"/>
      <c r="M99" s="11">
        <v>4000</v>
      </c>
      <c r="N99" s="3"/>
      <c r="O99" s="11"/>
      <c r="P99" s="11">
        <f t="shared" si="37"/>
        <v>4000</v>
      </c>
      <c r="Q99" s="11"/>
      <c r="R99" s="38">
        <f t="shared" si="38"/>
        <v>0</v>
      </c>
      <c r="S99" s="38">
        <f t="shared" si="39"/>
        <v>-0.77142857142857146</v>
      </c>
      <c r="T99" s="57"/>
      <c r="Y99" s="38">
        <f t="shared" si="40"/>
        <v>1</v>
      </c>
      <c r="Z99" s="37">
        <f t="shared" si="41"/>
        <v>0</v>
      </c>
    </row>
    <row r="100" spans="1:26" ht="28.5" customHeight="1" x14ac:dyDescent="0.2">
      <c r="A100" s="14">
        <v>6020600</v>
      </c>
      <c r="B100" s="15" t="s">
        <v>182</v>
      </c>
      <c r="C100" s="16">
        <v>26699</v>
      </c>
      <c r="D100" s="11">
        <f>678.62+40171.89+5278.05+926.91+1524.36</f>
        <v>48579.830000000009</v>
      </c>
      <c r="E100" s="11">
        <f>13.48+1848.74+39764.98+5053.07+988.02</f>
        <v>47668.29</v>
      </c>
      <c r="F100" s="11">
        <f>151.41+1790.09+47323.88+5451.43+780.24</f>
        <v>55497.049999999996</v>
      </c>
      <c r="G100" s="11">
        <f>46.12+2219.34+51349.5+6577.02+818.02</f>
        <v>61009.999999999993</v>
      </c>
      <c r="H100" s="11">
        <v>45052.61</v>
      </c>
      <c r="I100" s="3"/>
      <c r="J100" s="11">
        <f>100+2500+55000+8000+1000</f>
        <v>66600</v>
      </c>
      <c r="K100" s="11">
        <f>50+2000+55000+5600+1000</f>
        <v>63650</v>
      </c>
      <c r="L100" s="3"/>
      <c r="M100" s="11">
        <v>70000</v>
      </c>
      <c r="N100" s="3"/>
      <c r="O100" s="11"/>
      <c r="P100" s="11">
        <f t="shared" si="37"/>
        <v>70000</v>
      </c>
      <c r="Q100" s="11"/>
      <c r="R100" s="38"/>
      <c r="S100" s="38">
        <f t="shared" si="39"/>
        <v>9.9764336213668425E-2</v>
      </c>
      <c r="T100" s="57"/>
      <c r="Z100" s="37">
        <f t="shared" si="41"/>
        <v>3400</v>
      </c>
    </row>
    <row r="101" spans="1:26" ht="28.5" customHeight="1" x14ac:dyDescent="0.2">
      <c r="A101" s="14">
        <v>6030603</v>
      </c>
      <c r="B101" s="15" t="s">
        <v>252</v>
      </c>
      <c r="C101" s="16">
        <v>0</v>
      </c>
      <c r="D101" s="11">
        <v>0</v>
      </c>
      <c r="E101" s="11">
        <v>0</v>
      </c>
      <c r="F101" s="11">
        <v>0</v>
      </c>
      <c r="G101" s="11">
        <v>3281.3</v>
      </c>
      <c r="H101" s="11">
        <v>3078.33</v>
      </c>
      <c r="I101" s="3"/>
      <c r="J101" s="11">
        <v>5000</v>
      </c>
      <c r="K101" s="11">
        <v>5000</v>
      </c>
      <c r="L101" s="3"/>
      <c r="M101" s="11">
        <v>5000</v>
      </c>
      <c r="N101" s="3"/>
      <c r="O101" s="11"/>
      <c r="P101" s="11">
        <f t="shared" si="37"/>
        <v>5000</v>
      </c>
      <c r="Q101" s="11"/>
      <c r="R101" s="38"/>
      <c r="T101" s="57"/>
      <c r="Z101" s="37">
        <f t="shared" si="41"/>
        <v>0</v>
      </c>
    </row>
    <row r="102" spans="1:26" ht="28.5" customHeight="1" x14ac:dyDescent="0.2">
      <c r="A102" s="14" t="s">
        <v>147</v>
      </c>
      <c r="B102" s="15" t="s">
        <v>148</v>
      </c>
      <c r="C102" s="16">
        <v>800</v>
      </c>
      <c r="D102" s="11">
        <v>5400</v>
      </c>
      <c r="E102" s="11">
        <v>4649.26</v>
      </c>
      <c r="F102" s="11">
        <f>5740.04+60.52</f>
        <v>5800.56</v>
      </c>
      <c r="G102" s="11">
        <f>5560.58+298.3</f>
        <v>5858.88</v>
      </c>
      <c r="H102" s="11">
        <v>4295.3</v>
      </c>
      <c r="I102" s="3"/>
      <c r="J102" s="11">
        <v>7000</v>
      </c>
      <c r="K102" s="11">
        <v>7000</v>
      </c>
      <c r="L102" s="3"/>
      <c r="M102" s="11">
        <v>7000</v>
      </c>
      <c r="N102" s="3"/>
      <c r="O102" s="11"/>
      <c r="P102" s="11">
        <f t="shared" si="37"/>
        <v>7000</v>
      </c>
      <c r="Q102" s="11"/>
      <c r="R102" s="38">
        <f t="shared" si="38"/>
        <v>0</v>
      </c>
      <c r="S102" s="38">
        <f t="shared" si="39"/>
        <v>0</v>
      </c>
      <c r="T102" s="57"/>
      <c r="Y102" s="38">
        <f t="shared" si="40"/>
        <v>1</v>
      </c>
      <c r="Z102" s="37">
        <f t="shared" si="41"/>
        <v>0</v>
      </c>
    </row>
    <row r="103" spans="1:26" ht="28.5" customHeight="1" thickBot="1" x14ac:dyDescent="0.25">
      <c r="A103" s="14">
        <v>6020610</v>
      </c>
      <c r="B103" s="15" t="s">
        <v>356</v>
      </c>
      <c r="C103" s="16">
        <f>170+34396+2199+1368</f>
        <v>38133</v>
      </c>
      <c r="D103" s="11">
        <f>248.95+27464.74+176.26+1940.01</f>
        <v>29829.96</v>
      </c>
      <c r="E103" s="11">
        <f>1737.2+37672.65+2403.52+2239.4</f>
        <v>44052.77</v>
      </c>
      <c r="F103" s="11">
        <f>453.95+37423.78+2389.83+2928.07</f>
        <v>43195.63</v>
      </c>
      <c r="G103" s="11">
        <f>384.3+75.99+50297.07+740.88+1387.58</f>
        <v>52885.82</v>
      </c>
      <c r="H103" s="11">
        <f>513.88+2143.43+48259.18+496.03+232.62</f>
        <v>51645.14</v>
      </c>
      <c r="I103" s="3"/>
      <c r="J103" s="11">
        <f>1000+30000+500+1000</f>
        <v>32500</v>
      </c>
      <c r="K103" s="11">
        <f>5500+2500+60000+500+1000</f>
        <v>69500</v>
      </c>
      <c r="L103" s="3"/>
      <c r="M103" s="11">
        <v>75000</v>
      </c>
      <c r="N103" s="3"/>
      <c r="O103" s="11"/>
      <c r="P103" s="11">
        <f t="shared" si="37"/>
        <v>75000</v>
      </c>
      <c r="Q103" s="11"/>
      <c r="R103" s="38"/>
      <c r="T103" s="58"/>
      <c r="Z103" s="37">
        <f t="shared" si="41"/>
        <v>42500</v>
      </c>
    </row>
    <row r="104" spans="1:26" ht="15" x14ac:dyDescent="0.2">
      <c r="A104" s="14" t="s">
        <v>149</v>
      </c>
      <c r="B104" s="15" t="s">
        <v>150</v>
      </c>
      <c r="C104" s="16">
        <v>6393</v>
      </c>
      <c r="D104" s="11">
        <v>13331.78</v>
      </c>
      <c r="E104" s="11">
        <v>6194.78</v>
      </c>
      <c r="F104" s="11">
        <v>10546.53</v>
      </c>
      <c r="G104" s="11">
        <v>13226.03</v>
      </c>
      <c r="H104" s="11">
        <v>13626.08</v>
      </c>
      <c r="I104" s="3"/>
      <c r="J104" s="11">
        <v>10000</v>
      </c>
      <c r="K104" s="11">
        <v>15000</v>
      </c>
      <c r="L104" s="3"/>
      <c r="M104" s="11">
        <v>17500</v>
      </c>
      <c r="N104" s="3"/>
      <c r="O104" s="11"/>
      <c r="P104" s="11">
        <f t="shared" si="37"/>
        <v>17500</v>
      </c>
      <c r="Q104" s="11"/>
      <c r="R104" s="38">
        <f t="shared" si="38"/>
        <v>0.75</v>
      </c>
      <c r="S104" s="38">
        <f t="shared" si="39"/>
        <v>0.16666666666666674</v>
      </c>
      <c r="T104" s="50" t="s">
        <v>369</v>
      </c>
      <c r="Y104" s="38">
        <f t="shared" si="40"/>
        <v>1.75</v>
      </c>
      <c r="Z104" s="37">
        <f t="shared" si="41"/>
        <v>7500</v>
      </c>
    </row>
    <row r="105" spans="1:26" ht="15" x14ac:dyDescent="0.2">
      <c r="A105" s="14" t="s">
        <v>151</v>
      </c>
      <c r="B105" s="15" t="s">
        <v>152</v>
      </c>
      <c r="C105" s="16">
        <v>123595</v>
      </c>
      <c r="D105" s="11">
        <v>77893.25</v>
      </c>
      <c r="E105" s="11">
        <v>111072.12</v>
      </c>
      <c r="F105" s="11">
        <v>67595.73</v>
      </c>
      <c r="G105" s="11">
        <v>69539.22</v>
      </c>
      <c r="H105" s="11">
        <v>48708.28</v>
      </c>
      <c r="I105" s="3"/>
      <c r="J105" s="11">
        <v>55000</v>
      </c>
      <c r="K105" s="11">
        <v>55000</v>
      </c>
      <c r="L105" s="3"/>
      <c r="M105" s="11">
        <v>55000</v>
      </c>
      <c r="N105" s="3"/>
      <c r="O105" s="11"/>
      <c r="P105" s="11">
        <f t="shared" si="37"/>
        <v>55000</v>
      </c>
      <c r="Q105" s="11"/>
      <c r="R105" s="38">
        <f t="shared" si="38"/>
        <v>0</v>
      </c>
      <c r="S105" s="38">
        <f t="shared" si="39"/>
        <v>0</v>
      </c>
      <c r="Y105" s="38">
        <f t="shared" si="40"/>
        <v>1</v>
      </c>
      <c r="Z105" s="37">
        <f t="shared" si="41"/>
        <v>0</v>
      </c>
    </row>
    <row r="106" spans="1:26" ht="15" x14ac:dyDescent="0.2">
      <c r="A106" s="14" t="s">
        <v>153</v>
      </c>
      <c r="B106" s="15" t="s">
        <v>154</v>
      </c>
      <c r="C106" s="16">
        <v>69989</v>
      </c>
      <c r="D106" s="11">
        <v>67934.31</v>
      </c>
      <c r="E106" s="11">
        <v>54600.33</v>
      </c>
      <c r="F106" s="11">
        <v>64303.13</v>
      </c>
      <c r="G106" s="11">
        <v>92573.37</v>
      </c>
      <c r="H106" s="11">
        <v>59621.18</v>
      </c>
      <c r="I106" s="3"/>
      <c r="J106" s="11">
        <v>70000</v>
      </c>
      <c r="K106" s="11">
        <v>70000</v>
      </c>
      <c r="L106" s="3"/>
      <c r="M106" s="11">
        <v>70000</v>
      </c>
      <c r="N106" s="3"/>
      <c r="O106" s="11"/>
      <c r="P106" s="11">
        <f t="shared" si="37"/>
        <v>70000</v>
      </c>
      <c r="Q106" s="11"/>
      <c r="R106" s="38">
        <f t="shared" si="38"/>
        <v>0</v>
      </c>
      <c r="S106" s="38">
        <f t="shared" si="39"/>
        <v>0</v>
      </c>
      <c r="Y106" s="38">
        <f t="shared" si="40"/>
        <v>1</v>
      </c>
      <c r="Z106" s="37">
        <f t="shared" si="41"/>
        <v>0</v>
      </c>
    </row>
    <row r="107" spans="1:26" ht="28.5" x14ac:dyDescent="0.2">
      <c r="A107" s="14" t="s">
        <v>155</v>
      </c>
      <c r="B107" s="15" t="s">
        <v>156</v>
      </c>
      <c r="C107" s="16">
        <v>273</v>
      </c>
      <c r="D107" s="11">
        <v>1021.46</v>
      </c>
      <c r="E107" s="11">
        <v>1050</v>
      </c>
      <c r="F107" s="11">
        <v>847.7</v>
      </c>
      <c r="G107" s="11">
        <v>3845</v>
      </c>
      <c r="H107" s="11">
        <v>905.4</v>
      </c>
      <c r="I107" s="3"/>
      <c r="J107" s="11">
        <v>1500</v>
      </c>
      <c r="K107" s="11">
        <v>1500</v>
      </c>
      <c r="L107" s="3"/>
      <c r="M107" s="11">
        <v>15000</v>
      </c>
      <c r="N107" s="3"/>
      <c r="O107" s="11"/>
      <c r="P107" s="11">
        <f t="shared" si="37"/>
        <v>15000</v>
      </c>
      <c r="Q107" s="11"/>
      <c r="R107" s="38">
        <f t="shared" si="38"/>
        <v>9</v>
      </c>
      <c r="S107" s="38">
        <f t="shared" si="39"/>
        <v>9</v>
      </c>
      <c r="T107" s="50" t="s">
        <v>377</v>
      </c>
      <c r="Y107" s="38">
        <f t="shared" si="40"/>
        <v>10</v>
      </c>
      <c r="Z107" s="37">
        <f t="shared" si="41"/>
        <v>13500</v>
      </c>
    </row>
    <row r="108" spans="1:26" ht="15" x14ac:dyDescent="0.2">
      <c r="A108" s="14" t="s">
        <v>157</v>
      </c>
      <c r="B108" s="15" t="s">
        <v>158</v>
      </c>
      <c r="C108" s="16">
        <v>1090</v>
      </c>
      <c r="D108" s="11">
        <v>4187.83</v>
      </c>
      <c r="E108" s="11">
        <v>10491.92</v>
      </c>
      <c r="F108" s="11">
        <v>6520.29</v>
      </c>
      <c r="G108" s="11">
        <v>4547.8900000000003</v>
      </c>
      <c r="H108" s="11">
        <v>9762.27</v>
      </c>
      <c r="I108" s="3"/>
      <c r="J108" s="11">
        <v>7500</v>
      </c>
      <c r="K108" s="11">
        <v>10000</v>
      </c>
      <c r="L108" s="3"/>
      <c r="M108" s="11">
        <v>10000</v>
      </c>
      <c r="N108" s="3"/>
      <c r="O108" s="11"/>
      <c r="P108" s="11">
        <f t="shared" si="37"/>
        <v>10000</v>
      </c>
      <c r="Q108" s="11"/>
      <c r="R108" s="38">
        <f t="shared" si="38"/>
        <v>0.33333333333333326</v>
      </c>
      <c r="S108" s="38">
        <f t="shared" si="39"/>
        <v>0</v>
      </c>
      <c r="Y108" s="38">
        <f t="shared" si="40"/>
        <v>1.3333333333333333</v>
      </c>
      <c r="Z108" s="37">
        <f t="shared" si="41"/>
        <v>2500</v>
      </c>
    </row>
    <row r="109" spans="1:26" ht="28.5" x14ac:dyDescent="0.2">
      <c r="A109" s="14" t="s">
        <v>159</v>
      </c>
      <c r="B109" s="15" t="s">
        <v>160</v>
      </c>
      <c r="C109" s="16">
        <f>13862+3361+864+749+3315</f>
        <v>22151</v>
      </c>
      <c r="D109" s="11">
        <f>15086.37+5796.52+1547.8+1967.46+12980.28</f>
        <v>37378.43</v>
      </c>
      <c r="E109" s="11">
        <f>14827.27+2531.19+913.43+1154.2+9569.81</f>
        <v>28995.9</v>
      </c>
      <c r="F109" s="11">
        <f>14232.8+4850.56+1486.03+629.27+30857.39</f>
        <v>52056.05</v>
      </c>
      <c r="G109" s="11">
        <f>15982.07+1825.9+1681.09+1474.79+19357.2</f>
        <v>40321.050000000003</v>
      </c>
      <c r="H109" s="11">
        <f>8695.44+1774.89+366.87+146.99+12035.75</f>
        <v>23019.940000000002</v>
      </c>
      <c r="I109" s="3"/>
      <c r="J109" s="11">
        <f>10000+2500+2000+1200+10000</f>
        <v>25700</v>
      </c>
      <c r="K109" s="11">
        <f>10000+2500+1000+500+17500</f>
        <v>31500</v>
      </c>
      <c r="L109" s="3"/>
      <c r="M109" s="11">
        <v>35000</v>
      </c>
      <c r="N109" s="3"/>
      <c r="O109" s="11"/>
      <c r="P109" s="11">
        <f t="shared" si="37"/>
        <v>35000</v>
      </c>
      <c r="Q109" s="11"/>
      <c r="R109" s="38">
        <f t="shared" si="38"/>
        <v>0.36186770428015569</v>
      </c>
      <c r="S109" s="38">
        <f t="shared" si="39"/>
        <v>0.11111111111111116</v>
      </c>
      <c r="T109" s="50" t="s">
        <v>394</v>
      </c>
      <c r="Y109" s="38">
        <f t="shared" si="40"/>
        <v>1.3618677042801557</v>
      </c>
      <c r="Z109" s="37">
        <f t="shared" si="41"/>
        <v>9300</v>
      </c>
    </row>
    <row r="110" spans="1:26" ht="15" x14ac:dyDescent="0.2">
      <c r="A110" s="14" t="s">
        <v>161</v>
      </c>
      <c r="B110" s="15" t="s">
        <v>162</v>
      </c>
      <c r="C110" s="16">
        <v>6413</v>
      </c>
      <c r="D110" s="11">
        <v>4831.68</v>
      </c>
      <c r="E110" s="11">
        <v>987.24</v>
      </c>
      <c r="F110" s="11">
        <v>1546</v>
      </c>
      <c r="G110" s="11">
        <v>0</v>
      </c>
      <c r="H110" s="11">
        <v>0</v>
      </c>
      <c r="I110" s="3"/>
      <c r="J110" s="11">
        <v>0</v>
      </c>
      <c r="K110" s="11">
        <v>0</v>
      </c>
      <c r="L110" s="3"/>
      <c r="M110" s="11"/>
      <c r="N110" s="3"/>
      <c r="O110" s="11"/>
      <c r="P110" s="11"/>
      <c r="Q110" s="11"/>
      <c r="R110" s="38"/>
      <c r="Z110" s="37">
        <f t="shared" si="41"/>
        <v>0</v>
      </c>
    </row>
    <row r="111" spans="1:26" ht="15" x14ac:dyDescent="0.2">
      <c r="A111" s="14" t="s">
        <v>163</v>
      </c>
      <c r="B111" s="15" t="s">
        <v>80</v>
      </c>
      <c r="C111" s="16">
        <v>2119</v>
      </c>
      <c r="D111" s="11">
        <v>5919.82</v>
      </c>
      <c r="E111" s="11">
        <v>4906.71</v>
      </c>
      <c r="F111" s="11">
        <v>3419.16</v>
      </c>
      <c r="G111" s="11">
        <v>6831.94</v>
      </c>
      <c r="H111" s="11">
        <v>3500.37</v>
      </c>
      <c r="I111" s="3"/>
      <c r="J111" s="11">
        <v>5000</v>
      </c>
      <c r="K111" s="11">
        <v>5000</v>
      </c>
      <c r="L111" s="3"/>
      <c r="M111" s="11">
        <v>5000</v>
      </c>
      <c r="N111" s="3"/>
      <c r="O111" s="11"/>
      <c r="P111" s="11">
        <f t="shared" ref="P111" si="42">+O111+M111</f>
        <v>5000</v>
      </c>
      <c r="Q111" s="11"/>
      <c r="R111" s="38">
        <f t="shared" si="38"/>
        <v>0</v>
      </c>
      <c r="S111" s="38">
        <f t="shared" si="39"/>
        <v>0</v>
      </c>
      <c r="Y111" s="38">
        <f t="shared" si="40"/>
        <v>1</v>
      </c>
      <c r="Z111" s="37">
        <f t="shared" si="41"/>
        <v>0</v>
      </c>
    </row>
    <row r="112" spans="1:26" ht="15" x14ac:dyDescent="0.2">
      <c r="A112" s="14">
        <v>6021800</v>
      </c>
      <c r="B112" s="15" t="s">
        <v>164</v>
      </c>
      <c r="C112" s="16"/>
      <c r="D112" s="11"/>
      <c r="E112" s="11"/>
      <c r="F112" s="11">
        <v>187.03</v>
      </c>
      <c r="G112" s="11">
        <v>0</v>
      </c>
      <c r="H112" s="11">
        <v>0</v>
      </c>
      <c r="I112" s="3"/>
      <c r="J112" s="11"/>
      <c r="K112" s="11">
        <v>0</v>
      </c>
      <c r="L112" s="3"/>
      <c r="M112" s="11"/>
      <c r="N112" s="3"/>
      <c r="O112" s="11"/>
      <c r="P112" s="11"/>
      <c r="Q112" s="11"/>
      <c r="R112" s="11"/>
      <c r="Z112" s="37">
        <f t="shared" si="41"/>
        <v>0</v>
      </c>
    </row>
    <row r="113" spans="1:26" ht="15" x14ac:dyDescent="0.2">
      <c r="A113" s="14"/>
      <c r="B113" s="15"/>
      <c r="C113" s="16"/>
      <c r="D113" s="11"/>
      <c r="E113" s="11"/>
      <c r="F113" s="11"/>
      <c r="G113" s="11"/>
      <c r="H113" s="11"/>
      <c r="I113" s="3"/>
      <c r="J113" s="11"/>
      <c r="K113" s="11"/>
      <c r="L113" s="3"/>
      <c r="M113" s="11"/>
      <c r="N113" s="3"/>
      <c r="O113" s="11"/>
      <c r="P113" s="11"/>
      <c r="Q113" s="11"/>
      <c r="R113" s="11"/>
    </row>
    <row r="114" spans="1:26" ht="15" x14ac:dyDescent="0.25">
      <c r="A114" s="29"/>
      <c r="B114" s="30" t="s">
        <v>408</v>
      </c>
      <c r="C114" s="59">
        <f t="shared" ref="C114" si="43">SUM(C84:C112)</f>
        <v>992787</v>
      </c>
      <c r="D114" s="44">
        <f>SUM(D95:D113)+D91</f>
        <v>764610.26</v>
      </c>
      <c r="E114" s="44">
        <f>SUM(E95:E113)+E91</f>
        <v>765663.12000000011</v>
      </c>
      <c r="F114" s="44">
        <f>SUM(F95:F113)+F91</f>
        <v>846957.77599999995</v>
      </c>
      <c r="G114" s="44">
        <f>SUM(G95:G113)+G91</f>
        <v>892394.48</v>
      </c>
      <c r="H114" s="44">
        <f>SUM(H95:H113)+H91</f>
        <v>762108.61</v>
      </c>
      <c r="I114" s="3"/>
      <c r="J114" s="44">
        <f>SUM(J95:J113)+J91</f>
        <v>899923</v>
      </c>
      <c r="K114" s="44">
        <f>SUM(K95:K113)+K91</f>
        <v>957840</v>
      </c>
      <c r="L114" s="3"/>
      <c r="M114" s="44">
        <f>SUM(M95:M113)+M91</f>
        <v>1010618</v>
      </c>
      <c r="N114" s="3"/>
      <c r="O114" s="44"/>
      <c r="P114" s="44">
        <f>SUM(P95:P113)+P91</f>
        <v>1010618</v>
      </c>
      <c r="Q114" s="11"/>
      <c r="R114" s="38">
        <f t="shared" ref="R114" si="44">+M114/J114-1</f>
        <v>0.12300496820283513</v>
      </c>
      <c r="S114" s="38">
        <f>+M114/K114-1</f>
        <v>5.5101060719953132E-2</v>
      </c>
      <c r="Y114" s="38">
        <f>+M114/J114</f>
        <v>1.1230049682028351</v>
      </c>
      <c r="Z114" s="37">
        <f>+M114-J114</f>
        <v>110695</v>
      </c>
    </row>
    <row r="115" spans="1:26" ht="15" x14ac:dyDescent="0.25">
      <c r="A115" s="29"/>
      <c r="B115" s="30"/>
      <c r="C115" s="16"/>
      <c r="D115" s="11"/>
      <c r="E115" s="11"/>
      <c r="F115" s="11"/>
      <c r="G115" s="11"/>
      <c r="H115" s="11"/>
      <c r="I115" s="3"/>
      <c r="J115" s="11"/>
      <c r="K115" s="11"/>
      <c r="L115" s="3"/>
      <c r="M115" s="11"/>
      <c r="N115" s="3"/>
      <c r="O115" s="11"/>
      <c r="P115" s="11"/>
      <c r="Q115" s="11"/>
      <c r="R115" s="11"/>
    </row>
    <row r="116" spans="1:26" ht="15" x14ac:dyDescent="0.25">
      <c r="A116" s="70"/>
      <c r="B116" s="10" t="s">
        <v>409</v>
      </c>
      <c r="C116" s="16"/>
      <c r="D116" s="11"/>
      <c r="E116" s="11"/>
      <c r="F116" s="11"/>
      <c r="G116" s="11"/>
      <c r="H116" s="11"/>
      <c r="I116" s="3"/>
      <c r="J116" s="11"/>
      <c r="K116" s="11"/>
      <c r="L116" s="3"/>
      <c r="M116" s="11"/>
      <c r="N116" s="3"/>
      <c r="O116" s="11"/>
      <c r="P116" s="11"/>
      <c r="Q116" s="11"/>
      <c r="R116" s="11"/>
    </row>
    <row r="117" spans="1:26" ht="15" x14ac:dyDescent="0.2">
      <c r="A117" s="14" t="s">
        <v>166</v>
      </c>
      <c r="B117" s="15" t="s">
        <v>124</v>
      </c>
      <c r="C117" s="16">
        <v>76083</v>
      </c>
      <c r="D117" s="11">
        <v>79040.23</v>
      </c>
      <c r="E117" s="11">
        <v>43912.42</v>
      </c>
      <c r="F117" s="11">
        <v>78104.09</v>
      </c>
      <c r="G117" s="11">
        <v>74794.91</v>
      </c>
      <c r="H117" s="11">
        <v>62746.95</v>
      </c>
      <c r="I117" s="3"/>
      <c r="J117" s="11">
        <v>76871</v>
      </c>
      <c r="K117" s="11">
        <v>80000</v>
      </c>
      <c r="L117" s="3"/>
      <c r="M117" s="11">
        <v>72662</v>
      </c>
      <c r="N117" s="3"/>
      <c r="O117" s="11"/>
      <c r="P117" s="11">
        <f t="shared" ref="P117:P120" si="45">+O117+M117</f>
        <v>72662</v>
      </c>
      <c r="Q117" s="11"/>
      <c r="R117" s="38">
        <f t="shared" ref="R117:R141" si="46">+M117/J117-1</f>
        <v>-5.4754068504377473E-2</v>
      </c>
      <c r="S117" s="38">
        <f t="shared" ref="S117:S120" si="47">+M117/K117-1</f>
        <v>-9.1724999999999945E-2</v>
      </c>
      <c r="T117" s="54" t="s">
        <v>376</v>
      </c>
      <c r="Y117" s="38">
        <f t="shared" ref="Y117:Y119" si="48">+M117/J117</f>
        <v>0.94524593149562253</v>
      </c>
      <c r="Z117" s="37">
        <f t="shared" ref="Z117:Z119" si="49">+M117-J117</f>
        <v>-4209</v>
      </c>
    </row>
    <row r="118" spans="1:26" ht="15" x14ac:dyDescent="0.2">
      <c r="A118" s="14">
        <v>6050101</v>
      </c>
      <c r="B118" s="15" t="s">
        <v>347</v>
      </c>
      <c r="C118" s="16"/>
      <c r="D118" s="11"/>
      <c r="E118" s="11"/>
      <c r="F118" s="11"/>
      <c r="G118" s="11">
        <v>0</v>
      </c>
      <c r="H118" s="11">
        <v>7856.37</v>
      </c>
      <c r="I118" s="3"/>
      <c r="J118" s="11"/>
      <c r="K118" s="11"/>
      <c r="L118" s="3"/>
      <c r="M118" s="11">
        <v>7291</v>
      </c>
      <c r="N118" s="3"/>
      <c r="O118" s="11"/>
      <c r="P118" s="11">
        <f t="shared" si="45"/>
        <v>7291</v>
      </c>
      <c r="Q118" s="11"/>
      <c r="R118" s="38"/>
      <c r="T118" s="54"/>
      <c r="Z118" s="37">
        <f t="shared" si="49"/>
        <v>7291</v>
      </c>
    </row>
    <row r="119" spans="1:26" ht="15" x14ac:dyDescent="0.2">
      <c r="A119" s="14" t="s">
        <v>167</v>
      </c>
      <c r="B119" s="15" t="s">
        <v>126</v>
      </c>
      <c r="C119" s="16">
        <v>6414</v>
      </c>
      <c r="D119" s="11">
        <v>6815.97</v>
      </c>
      <c r="E119" s="11">
        <v>3560.42</v>
      </c>
      <c r="F119" s="11">
        <v>6311.4</v>
      </c>
      <c r="G119" s="11">
        <v>6016.05</v>
      </c>
      <c r="H119" s="11">
        <v>5278.95</v>
      </c>
      <c r="I119" s="3"/>
      <c r="J119" s="11">
        <v>6150</v>
      </c>
      <c r="K119" s="11">
        <v>6200</v>
      </c>
      <c r="L119" s="3"/>
      <c r="M119" s="11">
        <v>6756</v>
      </c>
      <c r="N119" s="3"/>
      <c r="O119" s="11"/>
      <c r="P119" s="11">
        <f t="shared" si="45"/>
        <v>6756</v>
      </c>
      <c r="Q119" s="11"/>
      <c r="R119" s="38">
        <f t="shared" si="46"/>
        <v>9.8536585365853746E-2</v>
      </c>
      <c r="S119" s="38">
        <f t="shared" si="47"/>
        <v>8.9677419354838639E-2</v>
      </c>
      <c r="Y119" s="38">
        <f t="shared" si="48"/>
        <v>1.0985365853658537</v>
      </c>
      <c r="Z119" s="37">
        <f t="shared" si="49"/>
        <v>606</v>
      </c>
    </row>
    <row r="120" spans="1:26" ht="15" x14ac:dyDescent="0.2">
      <c r="A120" s="14" t="s">
        <v>168</v>
      </c>
      <c r="B120" s="15" t="s">
        <v>128</v>
      </c>
      <c r="C120" s="16">
        <v>33023</v>
      </c>
      <c r="D120" s="11">
        <v>43423.3</v>
      </c>
      <c r="E120" s="11">
        <v>24854.54</v>
      </c>
      <c r="F120" s="11">
        <v>32649.040000000001</v>
      </c>
      <c r="G120" s="11">
        <v>39475.56</v>
      </c>
      <c r="H120" s="11">
        <v>32038.68</v>
      </c>
      <c r="I120" s="3"/>
      <c r="J120" s="11">
        <v>45470</v>
      </c>
      <c r="K120" s="11">
        <v>45000</v>
      </c>
      <c r="L120" s="3"/>
      <c r="M120" s="11">
        <v>47865</v>
      </c>
      <c r="N120" s="3"/>
      <c r="O120" s="11"/>
      <c r="P120" s="11">
        <f t="shared" si="45"/>
        <v>47865</v>
      </c>
      <c r="Q120" s="11"/>
      <c r="R120" s="38">
        <f t="shared" si="46"/>
        <v>5.2672091488893846E-2</v>
      </c>
      <c r="S120" s="38">
        <f t="shared" si="47"/>
        <v>6.366666666666676E-2</v>
      </c>
    </row>
    <row r="121" spans="1:26" ht="15" x14ac:dyDescent="0.2">
      <c r="A121" s="14" t="s">
        <v>169</v>
      </c>
      <c r="B121" s="15" t="s">
        <v>130</v>
      </c>
      <c r="C121" s="16">
        <v>1206</v>
      </c>
      <c r="D121" s="11">
        <v>1242.4000000000001</v>
      </c>
      <c r="E121" s="11">
        <v>0</v>
      </c>
      <c r="F121" s="11">
        <v>0</v>
      </c>
      <c r="G121" s="11">
        <v>0</v>
      </c>
      <c r="H121" s="11">
        <v>0</v>
      </c>
      <c r="I121" s="3"/>
      <c r="J121" s="11"/>
      <c r="K121" s="11">
        <v>0</v>
      </c>
      <c r="L121" s="3"/>
      <c r="M121" s="11"/>
      <c r="N121" s="3"/>
      <c r="O121" s="11"/>
      <c r="P121" s="11"/>
      <c r="Q121" s="11"/>
      <c r="R121" s="38"/>
    </row>
    <row r="122" spans="1:26" ht="15" x14ac:dyDescent="0.2">
      <c r="A122" s="14" t="s">
        <v>170</v>
      </c>
      <c r="B122" s="15" t="s">
        <v>171</v>
      </c>
      <c r="C122" s="16">
        <v>1435</v>
      </c>
      <c r="D122" s="11">
        <v>-158.06</v>
      </c>
      <c r="E122" s="11">
        <v>0</v>
      </c>
      <c r="F122" s="11">
        <v>0</v>
      </c>
      <c r="G122" s="11">
        <v>284.5</v>
      </c>
      <c r="H122" s="11">
        <v>0</v>
      </c>
      <c r="I122" s="3"/>
      <c r="J122" s="11">
        <v>500</v>
      </c>
      <c r="K122" s="11">
        <v>0</v>
      </c>
      <c r="L122" s="3"/>
      <c r="M122" s="11">
        <v>500</v>
      </c>
      <c r="N122" s="3"/>
      <c r="O122" s="11"/>
      <c r="P122" s="11">
        <f t="shared" ref="P122:P135" si="50">+O122+M122</f>
        <v>500</v>
      </c>
      <c r="Q122" s="11"/>
      <c r="R122" s="38">
        <f t="shared" si="46"/>
        <v>0</v>
      </c>
      <c r="Y122" s="38">
        <f t="shared" ref="Y122:Y141" si="51">+M122/J122</f>
        <v>1</v>
      </c>
      <c r="Z122" s="37">
        <f t="shared" ref="Z122:Z141" si="52">+M122-J122</f>
        <v>0</v>
      </c>
    </row>
    <row r="123" spans="1:26" ht="15" x14ac:dyDescent="0.2">
      <c r="A123" s="14" t="s">
        <v>172</v>
      </c>
      <c r="B123" s="15" t="s">
        <v>132</v>
      </c>
      <c r="C123" s="16">
        <v>391</v>
      </c>
      <c r="D123" s="11">
        <v>321.33999999999997</v>
      </c>
      <c r="E123" s="11">
        <v>1026.3</v>
      </c>
      <c r="F123" s="11">
        <v>1301.3599999999999</v>
      </c>
      <c r="G123" s="11">
        <v>884.38</v>
      </c>
      <c r="H123" s="11">
        <v>301.51</v>
      </c>
      <c r="I123" s="3"/>
      <c r="J123" s="11">
        <v>339</v>
      </c>
      <c r="K123" s="11">
        <v>350</v>
      </c>
      <c r="L123" s="3"/>
      <c r="M123" s="11">
        <f>321+32</f>
        <v>353</v>
      </c>
      <c r="N123" s="3"/>
      <c r="O123" s="11"/>
      <c r="P123" s="11">
        <f t="shared" si="50"/>
        <v>353</v>
      </c>
      <c r="Q123" s="11"/>
      <c r="R123" s="38">
        <f t="shared" si="46"/>
        <v>4.1297935103244754E-2</v>
      </c>
      <c r="S123" s="38">
        <f t="shared" ref="S123:S129" si="53">+M123/K123-1</f>
        <v>8.5714285714286742E-3</v>
      </c>
      <c r="Y123" s="38">
        <f t="shared" si="51"/>
        <v>1.0412979351032448</v>
      </c>
      <c r="Z123" s="37">
        <f t="shared" si="52"/>
        <v>14</v>
      </c>
    </row>
    <row r="124" spans="1:26" ht="15" x14ac:dyDescent="0.25">
      <c r="A124" s="14"/>
      <c r="B124" s="30" t="s">
        <v>395</v>
      </c>
      <c r="C124" s="59">
        <f>SUM(C117:C123)</f>
        <v>118552</v>
      </c>
      <c r="D124" s="59">
        <f>SUM(D117:D123)</f>
        <v>130685.18</v>
      </c>
      <c r="E124" s="59">
        <f>SUM(E117:E123)</f>
        <v>73353.680000000008</v>
      </c>
      <c r="F124" s="59">
        <f>SUM(F117:F123)</f>
        <v>118365.89</v>
      </c>
      <c r="G124" s="59">
        <f>SUM(G117:G123)</f>
        <v>121455.40000000001</v>
      </c>
      <c r="H124" s="59">
        <f>SUM(H117:H123)</f>
        <v>108222.45999999998</v>
      </c>
      <c r="I124" s="3"/>
      <c r="J124" s="59">
        <f>SUM(J117:J123)</f>
        <v>129330</v>
      </c>
      <c r="K124" s="59">
        <f>SUM(K117:K123)</f>
        <v>131550</v>
      </c>
      <c r="L124" s="3"/>
      <c r="M124" s="59">
        <f>SUM(M117:M123)</f>
        <v>135427</v>
      </c>
      <c r="N124" s="3"/>
      <c r="O124" s="44"/>
      <c r="P124" s="59">
        <f>SUM(P117:P123)</f>
        <v>135427</v>
      </c>
      <c r="Q124" s="11"/>
      <c r="R124" s="38"/>
      <c r="Z124" s="37"/>
    </row>
    <row r="125" spans="1:26" ht="15" x14ac:dyDescent="0.2">
      <c r="A125" s="14" t="s">
        <v>173</v>
      </c>
      <c r="B125" s="15" t="s">
        <v>134</v>
      </c>
      <c r="C125" s="16">
        <v>16553</v>
      </c>
      <c r="D125" s="11">
        <v>57169.25</v>
      </c>
      <c r="E125" s="11">
        <v>81223.45</v>
      </c>
      <c r="F125" s="11">
        <v>80574.27</v>
      </c>
      <c r="G125" s="11">
        <v>91053.41</v>
      </c>
      <c r="H125" s="11">
        <v>110285.89</v>
      </c>
      <c r="I125" s="3"/>
      <c r="J125" s="11">
        <v>94825</v>
      </c>
      <c r="K125" s="11">
        <v>111000</v>
      </c>
      <c r="L125" s="3"/>
      <c r="M125" s="11">
        <v>108725</v>
      </c>
      <c r="N125" s="3"/>
      <c r="O125" s="11"/>
      <c r="P125" s="11">
        <f t="shared" si="50"/>
        <v>108725</v>
      </c>
      <c r="Q125" s="11"/>
      <c r="R125" s="38">
        <f t="shared" si="46"/>
        <v>0.14658581597679943</v>
      </c>
      <c r="S125" s="38">
        <f t="shared" si="53"/>
        <v>-2.0495495495495453E-2</v>
      </c>
      <c r="T125" s="54" t="s">
        <v>376</v>
      </c>
      <c r="Y125" s="38">
        <f t="shared" si="51"/>
        <v>1.1465858159767994</v>
      </c>
      <c r="Z125" s="37">
        <f t="shared" si="52"/>
        <v>13900</v>
      </c>
    </row>
    <row r="126" spans="1:26" ht="15" x14ac:dyDescent="0.2">
      <c r="A126" s="14">
        <v>6050301</v>
      </c>
      <c r="B126" s="15" t="s">
        <v>348</v>
      </c>
      <c r="C126" s="16"/>
      <c r="D126" s="11"/>
      <c r="E126" s="11"/>
      <c r="F126" s="11"/>
      <c r="G126" s="11">
        <v>0</v>
      </c>
      <c r="H126" s="11">
        <v>614.58000000000004</v>
      </c>
      <c r="I126" s="3"/>
      <c r="J126" s="11"/>
      <c r="K126" s="11"/>
      <c r="L126" s="3"/>
      <c r="M126" s="11">
        <v>400</v>
      </c>
      <c r="N126" s="3"/>
      <c r="O126" s="11"/>
      <c r="P126" s="11">
        <f t="shared" si="50"/>
        <v>400</v>
      </c>
      <c r="Q126" s="11"/>
      <c r="R126" s="38"/>
      <c r="T126" s="54"/>
      <c r="Z126" s="37">
        <f t="shared" si="52"/>
        <v>400</v>
      </c>
    </row>
    <row r="127" spans="1:26" ht="15" x14ac:dyDescent="0.2">
      <c r="A127" s="14" t="s">
        <v>174</v>
      </c>
      <c r="B127" s="15" t="s">
        <v>136</v>
      </c>
      <c r="C127" s="16">
        <v>2648</v>
      </c>
      <c r="D127" s="11">
        <v>4799.67</v>
      </c>
      <c r="E127" s="11">
        <f>4917.14+80.26</f>
        <v>4997.4000000000005</v>
      </c>
      <c r="F127" s="11">
        <v>5512.81</v>
      </c>
      <c r="G127" s="11">
        <v>6809.54</v>
      </c>
      <c r="H127" s="11">
        <v>5790.28</v>
      </c>
      <c r="I127" s="3"/>
      <c r="J127" s="11">
        <v>9450</v>
      </c>
      <c r="K127" s="11">
        <v>6000</v>
      </c>
      <c r="L127" s="3"/>
      <c r="M127" s="11">
        <v>9900</v>
      </c>
      <c r="N127" s="3"/>
      <c r="O127" s="11"/>
      <c r="P127" s="11">
        <f t="shared" si="50"/>
        <v>9900</v>
      </c>
      <c r="Q127" s="11"/>
      <c r="R127" s="38">
        <f t="shared" si="46"/>
        <v>4.7619047619047672E-2</v>
      </c>
      <c r="S127" s="38">
        <f t="shared" si="53"/>
        <v>0.64999999999999991</v>
      </c>
      <c r="T127" s="50" t="s">
        <v>378</v>
      </c>
      <c r="Y127" s="38">
        <f t="shared" si="51"/>
        <v>1.0476190476190477</v>
      </c>
      <c r="Z127" s="37">
        <f t="shared" si="52"/>
        <v>450</v>
      </c>
    </row>
    <row r="128" spans="1:26" ht="15" x14ac:dyDescent="0.2">
      <c r="A128" s="14" t="s">
        <v>175</v>
      </c>
      <c r="B128" s="15" t="s">
        <v>176</v>
      </c>
      <c r="C128" s="16">
        <v>0</v>
      </c>
      <c r="D128" s="11">
        <v>1173.17</v>
      </c>
      <c r="E128" s="11">
        <v>1248.1099999999999</v>
      </c>
      <c r="F128" s="11">
        <v>2017.2</v>
      </c>
      <c r="G128" s="11">
        <v>2958.49</v>
      </c>
      <c r="H128" s="11">
        <v>3102.32</v>
      </c>
      <c r="I128" s="3"/>
      <c r="J128" s="11">
        <v>3000</v>
      </c>
      <c r="K128" s="11">
        <v>3200</v>
      </c>
      <c r="L128" s="3"/>
      <c r="M128" s="11">
        <v>4000</v>
      </c>
      <c r="N128" s="3"/>
      <c r="O128" s="11"/>
      <c r="P128" s="11">
        <f t="shared" si="50"/>
        <v>4000</v>
      </c>
      <c r="Q128" s="11"/>
      <c r="R128" s="38">
        <f t="shared" si="46"/>
        <v>0.33333333333333326</v>
      </c>
      <c r="S128" s="38">
        <f t="shared" si="53"/>
        <v>0.25</v>
      </c>
      <c r="T128" s="50" t="s">
        <v>379</v>
      </c>
      <c r="Y128" s="38">
        <f t="shared" si="51"/>
        <v>1.3333333333333333</v>
      </c>
      <c r="Z128" s="37">
        <f t="shared" si="52"/>
        <v>1000</v>
      </c>
    </row>
    <row r="129" spans="1:26" ht="15" x14ac:dyDescent="0.2">
      <c r="A129" s="14" t="s">
        <v>177</v>
      </c>
      <c r="B129" s="15" t="s">
        <v>138</v>
      </c>
      <c r="C129" s="16">
        <v>401</v>
      </c>
      <c r="D129" s="11">
        <v>362.49</v>
      </c>
      <c r="E129" s="11">
        <v>717.5</v>
      </c>
      <c r="F129" s="11">
        <v>8095.98</v>
      </c>
      <c r="G129" s="11">
        <v>5087.01</v>
      </c>
      <c r="H129" s="11">
        <v>350.62</v>
      </c>
      <c r="I129" s="3"/>
      <c r="J129" s="11">
        <v>420</v>
      </c>
      <c r="K129" s="11">
        <v>425</v>
      </c>
      <c r="L129" s="3"/>
      <c r="M129" s="11">
        <v>500</v>
      </c>
      <c r="N129" s="3"/>
      <c r="O129" s="11"/>
      <c r="P129" s="11">
        <f t="shared" si="50"/>
        <v>500</v>
      </c>
      <c r="Q129" s="11"/>
      <c r="R129" s="38">
        <f t="shared" si="46"/>
        <v>0.19047619047619047</v>
      </c>
      <c r="S129" s="38">
        <f t="shared" si="53"/>
        <v>0.17647058823529416</v>
      </c>
      <c r="Y129" s="38">
        <f t="shared" si="51"/>
        <v>1.1904761904761905</v>
      </c>
      <c r="Z129" s="37">
        <f t="shared" si="52"/>
        <v>80</v>
      </c>
    </row>
    <row r="130" spans="1:26" ht="15" x14ac:dyDescent="0.25">
      <c r="A130" s="14"/>
      <c r="B130" s="30" t="s">
        <v>396</v>
      </c>
      <c r="C130" s="59">
        <f>SUM(C125:C129)</f>
        <v>19602</v>
      </c>
      <c r="D130" s="59">
        <f>SUM(D125:D129)</f>
        <v>63504.579999999994</v>
      </c>
      <c r="E130" s="59">
        <f>SUM(E125:E129)</f>
        <v>88186.459999999992</v>
      </c>
      <c r="F130" s="59">
        <f>SUM(F125:F129)</f>
        <v>96200.26</v>
      </c>
      <c r="G130" s="59">
        <f>SUM(G125:G129)</f>
        <v>105908.45</v>
      </c>
      <c r="H130" s="59">
        <f>SUM(H125:H129)</f>
        <v>120143.69</v>
      </c>
      <c r="I130" s="3"/>
      <c r="J130" s="59">
        <f>SUM(J125:J129)</f>
        <v>107695</v>
      </c>
      <c r="K130" s="59">
        <f>SUM(K125:K129)</f>
        <v>120625</v>
      </c>
      <c r="L130" s="3"/>
      <c r="M130" s="59">
        <f>SUM(M125:M129)</f>
        <v>123525</v>
      </c>
      <c r="N130" s="3"/>
      <c r="O130" s="44"/>
      <c r="P130" s="59">
        <f>SUM(P125:P129)</f>
        <v>123525</v>
      </c>
      <c r="Q130" s="11"/>
      <c r="R130" s="38"/>
      <c r="Z130" s="37"/>
    </row>
    <row r="131" spans="1:26" ht="15" x14ac:dyDescent="0.2">
      <c r="A131" s="14" t="s">
        <v>178</v>
      </c>
      <c r="B131" s="15" t="s">
        <v>140</v>
      </c>
      <c r="C131" s="16"/>
      <c r="D131" s="11"/>
      <c r="E131" s="11"/>
      <c r="F131" s="11"/>
      <c r="G131" s="11"/>
      <c r="H131" s="11"/>
      <c r="I131" s="3"/>
      <c r="J131" s="11"/>
      <c r="K131" s="11"/>
      <c r="L131" s="3"/>
      <c r="M131" s="11"/>
      <c r="N131" s="3"/>
      <c r="O131" s="11"/>
      <c r="P131" s="11">
        <f t="shared" si="50"/>
        <v>0</v>
      </c>
      <c r="Q131" s="11"/>
      <c r="R131" s="38"/>
      <c r="T131" s="50" t="s">
        <v>380</v>
      </c>
      <c r="Y131" s="38" t="e">
        <f t="shared" si="51"/>
        <v>#DIV/0!</v>
      </c>
      <c r="Z131" s="37">
        <f t="shared" si="52"/>
        <v>0</v>
      </c>
    </row>
    <row r="132" spans="1:26" ht="15" x14ac:dyDescent="0.2">
      <c r="A132" s="14" t="s">
        <v>179</v>
      </c>
      <c r="B132" s="15" t="s">
        <v>142</v>
      </c>
      <c r="C132" s="16"/>
      <c r="D132" s="11"/>
      <c r="E132" s="11"/>
      <c r="F132" s="11"/>
      <c r="G132" s="11"/>
      <c r="H132" s="11"/>
      <c r="I132" s="3"/>
      <c r="J132" s="11"/>
      <c r="K132" s="11"/>
      <c r="L132" s="3"/>
      <c r="M132" s="11"/>
      <c r="N132" s="3"/>
      <c r="O132" s="11"/>
      <c r="P132" s="11">
        <f t="shared" si="50"/>
        <v>0</v>
      </c>
      <c r="Q132" s="11"/>
      <c r="R132" s="38"/>
      <c r="T132" s="50" t="s">
        <v>380</v>
      </c>
      <c r="Y132" s="38" t="e">
        <f t="shared" si="51"/>
        <v>#DIV/0!</v>
      </c>
      <c r="Z132" s="37">
        <f t="shared" si="52"/>
        <v>0</v>
      </c>
    </row>
    <row r="133" spans="1:26" ht="15" x14ac:dyDescent="0.2">
      <c r="A133" s="14" t="s">
        <v>180</v>
      </c>
      <c r="B133" s="15" t="s">
        <v>146</v>
      </c>
      <c r="C133" s="16"/>
      <c r="D133" s="11"/>
      <c r="E133" s="11"/>
      <c r="F133" s="11"/>
      <c r="G133" s="11"/>
      <c r="H133" s="11"/>
      <c r="I133" s="3"/>
      <c r="J133" s="11"/>
      <c r="K133" s="11"/>
      <c r="L133" s="3"/>
      <c r="M133" s="11"/>
      <c r="N133" s="3"/>
      <c r="O133" s="11"/>
      <c r="P133" s="11">
        <f t="shared" si="50"/>
        <v>0</v>
      </c>
      <c r="Q133" s="11"/>
      <c r="R133" s="38"/>
      <c r="Z133" s="37">
        <f t="shared" si="52"/>
        <v>0</v>
      </c>
    </row>
    <row r="134" spans="1:26" ht="15" x14ac:dyDescent="0.2">
      <c r="A134" s="14" t="s">
        <v>181</v>
      </c>
      <c r="B134" s="15" t="s">
        <v>182</v>
      </c>
      <c r="C134" s="16"/>
      <c r="D134" s="11"/>
      <c r="E134" s="11"/>
      <c r="F134" s="11"/>
      <c r="G134" s="11"/>
      <c r="H134" s="11"/>
      <c r="I134" s="3"/>
      <c r="J134" s="11"/>
      <c r="K134" s="11"/>
      <c r="L134" s="3"/>
      <c r="M134" s="11"/>
      <c r="N134" s="3"/>
      <c r="O134" s="11"/>
      <c r="P134" s="11">
        <f t="shared" si="50"/>
        <v>0</v>
      </c>
      <c r="Q134" s="11"/>
      <c r="R134" s="38"/>
      <c r="T134" s="50" t="s">
        <v>380</v>
      </c>
      <c r="Y134" s="38" t="e">
        <f t="shared" si="51"/>
        <v>#DIV/0!</v>
      </c>
      <c r="Z134" s="37">
        <f t="shared" si="52"/>
        <v>0</v>
      </c>
    </row>
    <row r="135" spans="1:26" ht="15" x14ac:dyDescent="0.2">
      <c r="A135" s="14" t="s">
        <v>183</v>
      </c>
      <c r="B135" s="15" t="s">
        <v>184</v>
      </c>
      <c r="C135" s="16"/>
      <c r="D135" s="11"/>
      <c r="E135" s="11"/>
      <c r="F135" s="11"/>
      <c r="G135" s="11"/>
      <c r="H135" s="11"/>
      <c r="I135" s="3"/>
      <c r="J135" s="11"/>
      <c r="K135" s="11"/>
      <c r="L135" s="3"/>
      <c r="M135" s="11"/>
      <c r="N135" s="3"/>
      <c r="O135" s="11"/>
      <c r="P135" s="11">
        <f t="shared" si="50"/>
        <v>0</v>
      </c>
      <c r="Q135" s="11"/>
      <c r="R135" s="38"/>
      <c r="T135" s="50" t="s">
        <v>380</v>
      </c>
      <c r="Y135" s="38" t="e">
        <f t="shared" si="51"/>
        <v>#DIV/0!</v>
      </c>
      <c r="Z135" s="37">
        <f t="shared" si="52"/>
        <v>0</v>
      </c>
    </row>
    <row r="136" spans="1:26" ht="15" x14ac:dyDescent="0.2">
      <c r="A136" s="14" t="s">
        <v>185</v>
      </c>
      <c r="B136" s="15" t="s">
        <v>152</v>
      </c>
      <c r="C136" s="16">
        <v>274</v>
      </c>
      <c r="D136" s="11">
        <v>278.35000000000002</v>
      </c>
      <c r="E136" s="11">
        <v>188.23</v>
      </c>
      <c r="F136" s="11">
        <v>295.79000000000002</v>
      </c>
      <c r="G136" s="11">
        <v>574.57000000000005</v>
      </c>
      <c r="H136" s="11">
        <v>215.12</v>
      </c>
      <c r="I136" s="3"/>
      <c r="J136" s="11">
        <v>500</v>
      </c>
      <c r="K136" s="11">
        <v>300</v>
      </c>
      <c r="L136" s="3"/>
      <c r="M136" s="11"/>
      <c r="N136" s="3"/>
      <c r="O136" s="11"/>
      <c r="P136" s="11"/>
      <c r="Q136" s="11"/>
      <c r="R136" s="38">
        <f t="shared" si="46"/>
        <v>-1</v>
      </c>
      <c r="S136" s="38">
        <f t="shared" ref="S136" si="54">+M136/K136-1</f>
        <v>-1</v>
      </c>
      <c r="T136" s="50" t="s">
        <v>380</v>
      </c>
      <c r="Y136" s="38">
        <f t="shared" si="51"/>
        <v>0</v>
      </c>
      <c r="Z136" s="37">
        <f t="shared" si="52"/>
        <v>-500</v>
      </c>
    </row>
    <row r="137" spans="1:26" ht="15" x14ac:dyDescent="0.2">
      <c r="A137" s="14" t="s">
        <v>186</v>
      </c>
      <c r="B137" s="15" t="s">
        <v>156</v>
      </c>
      <c r="C137" s="16">
        <v>0</v>
      </c>
      <c r="D137" s="11">
        <v>849.2</v>
      </c>
      <c r="E137" s="11"/>
      <c r="F137" s="11">
        <v>0</v>
      </c>
      <c r="G137" s="11">
        <v>0</v>
      </c>
      <c r="H137" s="11">
        <v>0</v>
      </c>
      <c r="I137" s="3"/>
      <c r="J137" s="11"/>
      <c r="K137" s="11">
        <v>0</v>
      </c>
      <c r="L137" s="3"/>
      <c r="M137" s="11"/>
      <c r="N137" s="3"/>
      <c r="O137" s="11"/>
      <c r="P137" s="11"/>
      <c r="Q137" s="11"/>
      <c r="R137" s="38"/>
      <c r="Z137" s="37">
        <f t="shared" si="52"/>
        <v>0</v>
      </c>
    </row>
    <row r="138" spans="1:26" ht="15" x14ac:dyDescent="0.2">
      <c r="A138" s="14" t="s">
        <v>187</v>
      </c>
      <c r="B138" s="15" t="s">
        <v>158</v>
      </c>
      <c r="C138" s="16">
        <v>156</v>
      </c>
      <c r="D138" s="11">
        <v>0</v>
      </c>
      <c r="E138" s="11">
        <v>0</v>
      </c>
      <c r="F138" s="11">
        <v>0</v>
      </c>
      <c r="G138" s="11">
        <v>0</v>
      </c>
      <c r="H138" s="11">
        <v>0</v>
      </c>
      <c r="I138" s="3"/>
      <c r="J138" s="11">
        <v>1000</v>
      </c>
      <c r="K138" s="11">
        <v>0</v>
      </c>
      <c r="L138" s="3"/>
      <c r="M138" s="11">
        <v>0</v>
      </c>
      <c r="N138" s="3"/>
      <c r="O138" s="11"/>
      <c r="P138" s="11">
        <f t="shared" ref="P138:P141" si="55">+O138+M138</f>
        <v>0</v>
      </c>
      <c r="Q138" s="11"/>
      <c r="R138" s="38">
        <f t="shared" si="46"/>
        <v>-1</v>
      </c>
      <c r="Y138" s="38">
        <f t="shared" si="51"/>
        <v>0</v>
      </c>
      <c r="Z138" s="37">
        <f t="shared" si="52"/>
        <v>-1000</v>
      </c>
    </row>
    <row r="139" spans="1:26" ht="15" x14ac:dyDescent="0.2">
      <c r="A139" s="14" t="s">
        <v>188</v>
      </c>
      <c r="B139" s="15" t="s">
        <v>160</v>
      </c>
      <c r="C139" s="16">
        <v>3361</v>
      </c>
      <c r="D139" s="11">
        <v>5796.52</v>
      </c>
      <c r="E139" s="11">
        <v>2531.19</v>
      </c>
      <c r="F139" s="11">
        <v>4850.5600000000004</v>
      </c>
      <c r="G139" s="11">
        <v>1825.9</v>
      </c>
      <c r="H139" s="11">
        <v>1774.89</v>
      </c>
      <c r="I139" s="3"/>
      <c r="J139" s="11">
        <v>2500</v>
      </c>
      <c r="K139" s="11">
        <v>2500</v>
      </c>
      <c r="L139" s="3"/>
      <c r="M139" s="11">
        <v>2500</v>
      </c>
      <c r="N139" s="3"/>
      <c r="O139" s="11"/>
      <c r="P139" s="11">
        <f t="shared" si="55"/>
        <v>2500</v>
      </c>
      <c r="Q139" s="11"/>
      <c r="R139" s="38">
        <f t="shared" si="46"/>
        <v>0</v>
      </c>
      <c r="S139" s="38">
        <f t="shared" ref="S139:S141" si="56">+M139/K139-1</f>
        <v>0</v>
      </c>
      <c r="Y139" s="38">
        <f t="shared" si="51"/>
        <v>1</v>
      </c>
      <c r="Z139" s="37">
        <f t="shared" si="52"/>
        <v>0</v>
      </c>
    </row>
    <row r="140" spans="1:26" ht="15" x14ac:dyDescent="0.2">
      <c r="A140" s="14" t="s">
        <v>189</v>
      </c>
      <c r="B140" s="15" t="s">
        <v>80</v>
      </c>
      <c r="C140" s="16"/>
      <c r="D140" s="11"/>
      <c r="E140" s="11"/>
      <c r="F140" s="11"/>
      <c r="G140" s="11"/>
      <c r="H140" s="11"/>
      <c r="I140" s="3"/>
      <c r="J140" s="11"/>
      <c r="K140" s="11"/>
      <c r="L140" s="3"/>
      <c r="M140" s="11"/>
      <c r="N140" s="3"/>
      <c r="O140" s="11"/>
      <c r="P140" s="11">
        <f t="shared" si="55"/>
        <v>0</v>
      </c>
      <c r="Q140" s="11"/>
      <c r="R140" s="38"/>
      <c r="Y140" s="38" t="e">
        <f t="shared" si="51"/>
        <v>#DIV/0!</v>
      </c>
      <c r="Z140" s="37">
        <f t="shared" si="52"/>
        <v>0</v>
      </c>
    </row>
    <row r="141" spans="1:26" ht="15" x14ac:dyDescent="0.2">
      <c r="A141" s="14" t="s">
        <v>190</v>
      </c>
      <c r="B141" s="15" t="s">
        <v>164</v>
      </c>
      <c r="C141" s="16">
        <v>1185</v>
      </c>
      <c r="D141" s="11">
        <v>1175.76</v>
      </c>
      <c r="E141" s="11">
        <v>220</v>
      </c>
      <c r="F141" s="11">
        <v>883.97</v>
      </c>
      <c r="G141" s="11">
        <v>703</v>
      </c>
      <c r="H141" s="11">
        <v>32.909999999999997</v>
      </c>
      <c r="I141" s="3"/>
      <c r="J141" s="11">
        <v>1500</v>
      </c>
      <c r="K141" s="11">
        <v>100</v>
      </c>
      <c r="L141" s="3"/>
      <c r="M141" s="11">
        <v>500</v>
      </c>
      <c r="N141" s="3"/>
      <c r="O141" s="11"/>
      <c r="P141" s="11">
        <f t="shared" si="55"/>
        <v>500</v>
      </c>
      <c r="Q141" s="11"/>
      <c r="R141" s="38">
        <f t="shared" si="46"/>
        <v>-0.66666666666666674</v>
      </c>
      <c r="S141" s="38">
        <f t="shared" si="56"/>
        <v>4</v>
      </c>
      <c r="Y141" s="38">
        <f t="shared" si="51"/>
        <v>0.33333333333333331</v>
      </c>
      <c r="Z141" s="37">
        <f t="shared" si="52"/>
        <v>-1000</v>
      </c>
    </row>
    <row r="142" spans="1:26" ht="15" x14ac:dyDescent="0.2">
      <c r="A142" s="14">
        <v>6052000</v>
      </c>
      <c r="B142" s="15" t="s">
        <v>191</v>
      </c>
      <c r="C142" s="16"/>
      <c r="D142" s="11"/>
      <c r="E142" s="11"/>
      <c r="F142" s="11">
        <v>0</v>
      </c>
      <c r="G142" s="11">
        <v>0</v>
      </c>
      <c r="H142" s="11">
        <v>0</v>
      </c>
      <c r="I142" s="3"/>
      <c r="J142" s="11"/>
      <c r="K142" s="11">
        <v>0</v>
      </c>
      <c r="L142" s="3"/>
      <c r="M142" s="11"/>
      <c r="N142" s="3"/>
      <c r="O142" s="11"/>
      <c r="P142" s="11"/>
      <c r="Q142" s="11"/>
      <c r="R142" s="11"/>
    </row>
    <row r="143" spans="1:26" ht="15" x14ac:dyDescent="0.2">
      <c r="A143" s="14"/>
      <c r="B143" s="15"/>
      <c r="C143" s="16"/>
      <c r="D143" s="11"/>
      <c r="E143" s="11"/>
      <c r="F143" s="11"/>
      <c r="G143" s="11"/>
      <c r="H143" s="11"/>
      <c r="I143" s="3"/>
      <c r="J143" s="11"/>
      <c r="K143" s="11"/>
      <c r="L143" s="3"/>
      <c r="M143" s="11"/>
      <c r="N143" s="3"/>
      <c r="O143" s="11"/>
      <c r="P143" s="11"/>
      <c r="Q143" s="11"/>
      <c r="R143" s="11"/>
    </row>
    <row r="144" spans="1:26" ht="15" x14ac:dyDescent="0.25">
      <c r="A144" s="29"/>
      <c r="B144" s="30" t="s">
        <v>410</v>
      </c>
      <c r="C144" s="44">
        <f>+C124+C130+SUM(C131:C143)</f>
        <v>143130</v>
      </c>
      <c r="D144" s="44">
        <f>+D124+D130+SUM(D131:D143)</f>
        <v>202289.58999999997</v>
      </c>
      <c r="E144" s="44">
        <f>+E124+E130+SUM(E131:E143)</f>
        <v>164479.56000000003</v>
      </c>
      <c r="F144" s="44">
        <f>+F124+F130+SUM(F131:F143)</f>
        <v>220596.47</v>
      </c>
      <c r="G144" s="44">
        <f>+G124+G130+SUM(G131:G143)</f>
        <v>230467.32</v>
      </c>
      <c r="H144" s="44">
        <f>+H124+H130+SUM(H131:H143)</f>
        <v>230389.06999999998</v>
      </c>
      <c r="I144" s="3"/>
      <c r="J144" s="44">
        <f>+J124+J130+SUM(J131:J143)</f>
        <v>242525</v>
      </c>
      <c r="K144" s="44">
        <f>+K124+K130+SUM(K131:K143)</f>
        <v>255075</v>
      </c>
      <c r="L144" s="3"/>
      <c r="M144" s="44">
        <f>+M124+M130+SUM(M131:M143)</f>
        <v>261952</v>
      </c>
      <c r="N144" s="3"/>
      <c r="O144" s="44"/>
      <c r="P144" s="44">
        <f>+P124+P130+SUM(P131:P143)</f>
        <v>261952</v>
      </c>
      <c r="Q144" s="11"/>
      <c r="R144" s="38">
        <f t="shared" ref="R144" si="57">+M144/J144-1</f>
        <v>8.0103082156478767E-2</v>
      </c>
      <c r="S144" s="38">
        <f>+M144/K144-1</f>
        <v>2.6960697833970482E-2</v>
      </c>
      <c r="Y144" s="38">
        <f>+M144/J144</f>
        <v>1.0801030821564788</v>
      </c>
      <c r="Z144" s="37">
        <f>+M144-J144</f>
        <v>19427</v>
      </c>
    </row>
    <row r="145" spans="1:26" ht="15" x14ac:dyDescent="0.25">
      <c r="A145" s="29"/>
      <c r="B145" s="30"/>
      <c r="C145" s="16"/>
      <c r="D145" s="11"/>
      <c r="E145" s="11"/>
      <c r="F145" s="11"/>
      <c r="G145" s="11"/>
      <c r="H145" s="11"/>
      <c r="I145" s="3"/>
      <c r="J145" s="11"/>
      <c r="K145" s="11"/>
      <c r="L145" s="3"/>
      <c r="M145" s="11"/>
      <c r="N145" s="3"/>
      <c r="O145" s="11"/>
      <c r="P145" s="11"/>
      <c r="Q145" s="11"/>
      <c r="R145" s="11"/>
    </row>
    <row r="146" spans="1:26" ht="15" x14ac:dyDescent="0.25">
      <c r="A146" s="70"/>
      <c r="B146" s="10" t="s">
        <v>411</v>
      </c>
      <c r="C146" s="16"/>
      <c r="D146" s="11"/>
      <c r="E146" s="11"/>
      <c r="F146" s="11"/>
      <c r="G146" s="11"/>
      <c r="H146" s="11"/>
      <c r="I146" s="3"/>
      <c r="J146" s="11"/>
      <c r="K146" s="11"/>
      <c r="L146" s="3"/>
      <c r="M146" s="11"/>
      <c r="N146" s="3"/>
      <c r="O146" s="11"/>
      <c r="P146" s="11"/>
      <c r="Q146" s="11"/>
      <c r="R146" s="11"/>
    </row>
    <row r="147" spans="1:26" ht="15" x14ac:dyDescent="0.2">
      <c r="A147" s="14" t="s">
        <v>193</v>
      </c>
      <c r="B147" s="15" t="s">
        <v>124</v>
      </c>
      <c r="C147" s="16">
        <v>51980</v>
      </c>
      <c r="D147" s="11">
        <v>54667.360000000001</v>
      </c>
      <c r="E147" s="11">
        <v>55705.91</v>
      </c>
      <c r="F147" s="11">
        <v>77351.539999999994</v>
      </c>
      <c r="G147" s="11">
        <v>100133.1</v>
      </c>
      <c r="H147" s="11">
        <v>68052.25</v>
      </c>
      <c r="I147" s="3"/>
      <c r="J147" s="11">
        <v>115017</v>
      </c>
      <c r="K147" s="11">
        <v>115000</v>
      </c>
      <c r="L147" s="3"/>
      <c r="M147" s="11">
        <v>116369</v>
      </c>
      <c r="N147" s="3"/>
      <c r="O147" s="11"/>
      <c r="P147" s="11">
        <f t="shared" ref="P147:P152" si="58">+O147+M147</f>
        <v>116369</v>
      </c>
      <c r="Q147" s="11"/>
      <c r="R147" s="38">
        <f t="shared" ref="R147:R160" si="59">+M147/J147-1</f>
        <v>1.175478407539754E-2</v>
      </c>
      <c r="S147" s="38">
        <f t="shared" ref="S147:S152" si="60">+M147/K147-1</f>
        <v>1.1904347826086958E-2</v>
      </c>
      <c r="Y147" s="38">
        <f t="shared" ref="Y147:Y160" si="61">+M147/J147</f>
        <v>1.0117547840753975</v>
      </c>
      <c r="Z147" s="37">
        <f t="shared" ref="Z147:Z160" si="62">+M147-J147</f>
        <v>1352</v>
      </c>
    </row>
    <row r="148" spans="1:26" ht="15" x14ac:dyDescent="0.2">
      <c r="A148" s="14" t="s">
        <v>194</v>
      </c>
      <c r="B148" s="15" t="s">
        <v>126</v>
      </c>
      <c r="C148" s="16">
        <v>4106</v>
      </c>
      <c r="D148" s="11">
        <v>4775.8500000000004</v>
      </c>
      <c r="E148" s="11">
        <v>4564.83</v>
      </c>
      <c r="F148" s="11">
        <v>6504.31</v>
      </c>
      <c r="G148" s="11">
        <v>7356.22</v>
      </c>
      <c r="H148" s="11">
        <v>7924.75</v>
      </c>
      <c r="I148" s="3"/>
      <c r="J148" s="11">
        <v>9201</v>
      </c>
      <c r="K148" s="11">
        <v>10000</v>
      </c>
      <c r="L148" s="3"/>
      <c r="M148" s="11">
        <f>9310+524</f>
        <v>9834</v>
      </c>
      <c r="N148" s="3"/>
      <c r="O148" s="11"/>
      <c r="P148" s="11">
        <f t="shared" si="58"/>
        <v>9834</v>
      </c>
      <c r="Q148" s="11"/>
      <c r="R148" s="38">
        <f t="shared" si="59"/>
        <v>6.8796869905445091E-2</v>
      </c>
      <c r="S148" s="38">
        <f t="shared" si="60"/>
        <v>-1.6599999999999948E-2</v>
      </c>
      <c r="Y148" s="38">
        <f t="shared" si="61"/>
        <v>1.0687968699054451</v>
      </c>
      <c r="Z148" s="37">
        <f t="shared" si="62"/>
        <v>633</v>
      </c>
    </row>
    <row r="149" spans="1:26" ht="42.75" x14ac:dyDescent="0.2">
      <c r="A149" s="14" t="s">
        <v>195</v>
      </c>
      <c r="B149" s="15" t="s">
        <v>128</v>
      </c>
      <c r="C149" s="16">
        <v>10250</v>
      </c>
      <c r="D149" s="11">
        <v>10725.34</v>
      </c>
      <c r="E149" s="11">
        <v>11006.55</v>
      </c>
      <c r="F149" s="11">
        <v>14335.23</v>
      </c>
      <c r="G149" s="11">
        <v>16951.580000000002</v>
      </c>
      <c r="H149" s="11">
        <v>13661.88</v>
      </c>
      <c r="I149" s="3"/>
      <c r="J149" s="11">
        <v>19272</v>
      </c>
      <c r="K149" s="11">
        <v>19000</v>
      </c>
      <c r="L149" s="3"/>
      <c r="M149" s="11">
        <v>48655</v>
      </c>
      <c r="N149" s="3"/>
      <c r="O149" s="11"/>
      <c r="P149" s="11">
        <f t="shared" si="58"/>
        <v>48655</v>
      </c>
      <c r="Q149" s="11"/>
      <c r="R149" s="38">
        <f t="shared" si="59"/>
        <v>1.5246471564964716</v>
      </c>
      <c r="S149" s="38">
        <f t="shared" si="60"/>
        <v>1.5607894736842107</v>
      </c>
      <c r="T149" s="50" t="s">
        <v>381</v>
      </c>
      <c r="Y149" s="38">
        <f t="shared" si="61"/>
        <v>2.5246471564964716</v>
      </c>
      <c r="Z149" s="37">
        <f t="shared" si="62"/>
        <v>29383</v>
      </c>
    </row>
    <row r="150" spans="1:26" ht="15" x14ac:dyDescent="0.2">
      <c r="A150" s="14" t="s">
        <v>196</v>
      </c>
      <c r="B150" s="15" t="s">
        <v>130</v>
      </c>
      <c r="C150" s="16">
        <v>1422</v>
      </c>
      <c r="D150" s="11">
        <v>1599.68</v>
      </c>
      <c r="E150" s="11">
        <v>2038.87</v>
      </c>
      <c r="F150" s="11">
        <v>1812.72</v>
      </c>
      <c r="G150" s="11">
        <v>1947.36</v>
      </c>
      <c r="H150" s="11">
        <v>2100.38</v>
      </c>
      <c r="I150" s="3"/>
      <c r="J150" s="11">
        <v>2028</v>
      </c>
      <c r="K150" s="11">
        <v>2200</v>
      </c>
      <c r="L150" s="3"/>
      <c r="M150" s="11">
        <v>2040</v>
      </c>
      <c r="N150" s="3"/>
      <c r="O150" s="11"/>
      <c r="P150" s="11">
        <f t="shared" si="58"/>
        <v>2040</v>
      </c>
      <c r="Q150" s="11"/>
      <c r="R150" s="38">
        <f t="shared" si="59"/>
        <v>5.9171597633136397E-3</v>
      </c>
      <c r="S150" s="38">
        <f t="shared" si="60"/>
        <v>-7.2727272727272751E-2</v>
      </c>
      <c r="T150" s="50" t="s">
        <v>382</v>
      </c>
      <c r="Y150" s="38">
        <f t="shared" si="61"/>
        <v>1.0059171597633136</v>
      </c>
      <c r="Z150" s="37">
        <f t="shared" si="62"/>
        <v>12</v>
      </c>
    </row>
    <row r="151" spans="1:26" ht="15" x14ac:dyDescent="0.2">
      <c r="A151" s="14" t="s">
        <v>197</v>
      </c>
      <c r="B151" s="15" t="s">
        <v>171</v>
      </c>
      <c r="C151" s="16">
        <v>0</v>
      </c>
      <c r="D151" s="11">
        <v>42</v>
      </c>
      <c r="E151" s="11">
        <v>20</v>
      </c>
      <c r="F151" s="11">
        <v>0</v>
      </c>
      <c r="G151" s="11">
        <v>291.39</v>
      </c>
      <c r="H151" s="11">
        <v>122.5</v>
      </c>
      <c r="I151" s="3"/>
      <c r="J151" s="11">
        <v>200</v>
      </c>
      <c r="K151" s="11">
        <v>125</v>
      </c>
      <c r="L151" s="3"/>
      <c r="M151" s="11">
        <v>200</v>
      </c>
      <c r="N151" s="3"/>
      <c r="O151" s="11"/>
      <c r="P151" s="11">
        <f t="shared" si="58"/>
        <v>200</v>
      </c>
      <c r="Q151" s="11"/>
      <c r="R151" s="38">
        <f t="shared" si="59"/>
        <v>0</v>
      </c>
      <c r="S151" s="38">
        <f t="shared" si="60"/>
        <v>0.60000000000000009</v>
      </c>
      <c r="T151" s="50" t="s">
        <v>383</v>
      </c>
      <c r="Y151" s="38">
        <f t="shared" si="61"/>
        <v>1</v>
      </c>
      <c r="Z151" s="37">
        <f t="shared" si="62"/>
        <v>0</v>
      </c>
    </row>
    <row r="152" spans="1:26" ht="15" x14ac:dyDescent="0.2">
      <c r="A152" s="14" t="s">
        <v>198</v>
      </c>
      <c r="B152" s="15" t="s">
        <v>132</v>
      </c>
      <c r="C152" s="16">
        <v>270</v>
      </c>
      <c r="D152" s="11"/>
      <c r="E152" s="11">
        <v>661.55</v>
      </c>
      <c r="F152" s="11">
        <v>1301.17</v>
      </c>
      <c r="G152" s="11">
        <v>921.62</v>
      </c>
      <c r="H152" s="11">
        <v>514.33000000000004</v>
      </c>
      <c r="I152" s="3"/>
      <c r="J152" s="11">
        <v>506</v>
      </c>
      <c r="K152" s="11">
        <v>700</v>
      </c>
      <c r="L152" s="3"/>
      <c r="M152" s="11">
        <v>512</v>
      </c>
      <c r="N152" s="3"/>
      <c r="O152" s="11"/>
      <c r="P152" s="11">
        <f t="shared" si="58"/>
        <v>512</v>
      </c>
      <c r="Q152" s="11"/>
      <c r="R152" s="38">
        <f t="shared" si="59"/>
        <v>1.1857707509881354E-2</v>
      </c>
      <c r="S152" s="38">
        <f t="shared" si="60"/>
        <v>-0.26857142857142857</v>
      </c>
      <c r="Y152" s="38">
        <f t="shared" si="61"/>
        <v>1.0118577075098814</v>
      </c>
      <c r="Z152" s="37">
        <f t="shared" si="62"/>
        <v>6</v>
      </c>
    </row>
    <row r="153" spans="1:26" ht="15" x14ac:dyDescent="0.25">
      <c r="A153" s="14"/>
      <c r="B153" s="30" t="s">
        <v>395</v>
      </c>
      <c r="C153" s="44">
        <f>SUM(C147:C152)</f>
        <v>68028</v>
      </c>
      <c r="D153" s="44">
        <f>SUM(D147:D152)</f>
        <v>71810.23</v>
      </c>
      <c r="E153" s="44">
        <f>SUM(E147:E152)</f>
        <v>73997.710000000006</v>
      </c>
      <c r="F153" s="44">
        <f>SUM(F147:F152)</f>
        <v>101304.96999999999</v>
      </c>
      <c r="G153" s="44">
        <f>SUM(G147:G152)</f>
        <v>127601.27</v>
      </c>
      <c r="H153" s="44">
        <f>SUM(H147:H152)</f>
        <v>92376.090000000011</v>
      </c>
      <c r="I153" s="3"/>
      <c r="J153" s="44">
        <f>SUM(J147:J152)</f>
        <v>146224</v>
      </c>
      <c r="K153" s="44">
        <f>SUM(K147:K152)</f>
        <v>147025</v>
      </c>
      <c r="L153" s="3"/>
      <c r="M153" s="44">
        <f>SUM(M147:M152)</f>
        <v>177610</v>
      </c>
      <c r="N153" s="3"/>
      <c r="O153" s="44"/>
      <c r="P153" s="44">
        <f>SUM(P147:P152)</f>
        <v>177610</v>
      </c>
      <c r="Q153" s="11"/>
      <c r="R153" s="38"/>
      <c r="Z153" s="37"/>
    </row>
    <row r="154" spans="1:26" ht="15" x14ac:dyDescent="0.2">
      <c r="A154" s="14" t="s">
        <v>199</v>
      </c>
      <c r="B154" s="15" t="s">
        <v>200</v>
      </c>
      <c r="C154" s="16"/>
      <c r="D154" s="11"/>
      <c r="E154" s="11"/>
      <c r="F154" s="11"/>
      <c r="G154" s="11"/>
      <c r="H154" s="11"/>
      <c r="I154" s="3"/>
      <c r="J154" s="11"/>
      <c r="K154" s="11"/>
      <c r="L154" s="3"/>
      <c r="M154" s="11"/>
      <c r="N154" s="3"/>
      <c r="O154" s="11"/>
      <c r="P154" s="11"/>
      <c r="Q154" s="11"/>
      <c r="R154" s="38"/>
      <c r="Y154" s="38" t="e">
        <f t="shared" si="61"/>
        <v>#DIV/0!</v>
      </c>
      <c r="Z154" s="37">
        <f t="shared" si="62"/>
        <v>0</v>
      </c>
    </row>
    <row r="155" spans="1:26" ht="15" x14ac:dyDescent="0.2">
      <c r="A155" s="14" t="s">
        <v>201</v>
      </c>
      <c r="B155" s="15" t="s">
        <v>182</v>
      </c>
      <c r="C155" s="16"/>
      <c r="D155" s="11"/>
      <c r="E155" s="11"/>
      <c r="F155" s="11"/>
      <c r="G155" s="11"/>
      <c r="H155" s="11"/>
      <c r="I155" s="3"/>
      <c r="J155" s="11"/>
      <c r="K155" s="11"/>
      <c r="L155" s="3"/>
      <c r="M155" s="11"/>
      <c r="N155" s="3"/>
      <c r="O155" s="11"/>
      <c r="P155" s="11"/>
      <c r="Q155" s="11"/>
      <c r="R155" s="38"/>
      <c r="T155" s="50" t="s">
        <v>380</v>
      </c>
      <c r="Y155" s="38" t="e">
        <f t="shared" si="61"/>
        <v>#DIV/0!</v>
      </c>
      <c r="Z155" s="37">
        <f t="shared" si="62"/>
        <v>0</v>
      </c>
    </row>
    <row r="156" spans="1:26" ht="15" x14ac:dyDescent="0.2">
      <c r="A156" s="14">
        <v>6060610</v>
      </c>
      <c r="B156" s="15" t="s">
        <v>184</v>
      </c>
      <c r="C156" s="16"/>
      <c r="D156" s="11"/>
      <c r="E156" s="11"/>
      <c r="F156" s="11"/>
      <c r="G156" s="11"/>
      <c r="H156" s="11"/>
      <c r="I156" s="3"/>
      <c r="J156" s="11"/>
      <c r="K156" s="11"/>
      <c r="L156" s="3"/>
      <c r="M156" s="11"/>
      <c r="N156" s="3"/>
      <c r="O156" s="11"/>
      <c r="P156" s="11"/>
      <c r="Q156" s="11"/>
      <c r="R156" s="38"/>
      <c r="T156" s="50" t="s">
        <v>380</v>
      </c>
      <c r="Z156" s="37">
        <f t="shared" si="62"/>
        <v>0</v>
      </c>
    </row>
    <row r="157" spans="1:26" ht="15" x14ac:dyDescent="0.2">
      <c r="A157" s="14" t="s">
        <v>202</v>
      </c>
      <c r="B157" s="15" t="s">
        <v>156</v>
      </c>
      <c r="C157" s="16">
        <v>145</v>
      </c>
      <c r="D157" s="11">
        <v>200.74</v>
      </c>
      <c r="E157" s="11">
        <v>0</v>
      </c>
      <c r="F157" s="11"/>
      <c r="G157" s="11">
        <v>485</v>
      </c>
      <c r="H157" s="11">
        <v>0</v>
      </c>
      <c r="I157" s="3"/>
      <c r="J157" s="11">
        <v>500</v>
      </c>
      <c r="K157" s="11">
        <v>0</v>
      </c>
      <c r="L157" s="3"/>
      <c r="M157" s="11"/>
      <c r="N157" s="3"/>
      <c r="O157" s="11"/>
      <c r="P157" s="11"/>
      <c r="Q157" s="11"/>
      <c r="R157" s="38">
        <f t="shared" si="59"/>
        <v>-1</v>
      </c>
      <c r="T157" s="50" t="s">
        <v>380</v>
      </c>
      <c r="Y157" s="38">
        <f t="shared" si="61"/>
        <v>0</v>
      </c>
      <c r="Z157" s="37">
        <f t="shared" si="62"/>
        <v>-500</v>
      </c>
    </row>
    <row r="158" spans="1:26" ht="15" x14ac:dyDescent="0.2">
      <c r="A158" s="14" t="s">
        <v>203</v>
      </c>
      <c r="B158" s="15" t="s">
        <v>158</v>
      </c>
      <c r="C158" s="16">
        <v>155</v>
      </c>
      <c r="D158" s="11">
        <v>165</v>
      </c>
      <c r="E158" s="11">
        <v>165</v>
      </c>
      <c r="F158" s="11">
        <v>903.91</v>
      </c>
      <c r="G158" s="11">
        <v>70</v>
      </c>
      <c r="H158" s="11">
        <v>0</v>
      </c>
      <c r="I158" s="3"/>
      <c r="J158" s="11">
        <v>500</v>
      </c>
      <c r="K158" s="11">
        <v>0</v>
      </c>
      <c r="L158" s="3"/>
      <c r="M158" s="11">
        <v>500</v>
      </c>
      <c r="N158" s="3"/>
      <c r="O158" s="11"/>
      <c r="P158" s="11">
        <f t="shared" ref="P158:P160" si="63">+O158+M158</f>
        <v>500</v>
      </c>
      <c r="Q158" s="11"/>
      <c r="R158" s="38">
        <f t="shared" si="59"/>
        <v>0</v>
      </c>
      <c r="Y158" s="38">
        <f t="shared" si="61"/>
        <v>1</v>
      </c>
      <c r="Z158" s="37">
        <f t="shared" si="62"/>
        <v>0</v>
      </c>
    </row>
    <row r="159" spans="1:26" ht="15" x14ac:dyDescent="0.2">
      <c r="A159" s="14" t="s">
        <v>204</v>
      </c>
      <c r="B159" s="15" t="s">
        <v>160</v>
      </c>
      <c r="C159" s="16"/>
      <c r="D159" s="11"/>
      <c r="E159" s="11"/>
      <c r="F159" s="11"/>
      <c r="G159" s="11"/>
      <c r="H159" s="11"/>
      <c r="I159" s="3"/>
      <c r="J159" s="11"/>
      <c r="K159" s="11"/>
      <c r="L159" s="3"/>
      <c r="M159" s="11"/>
      <c r="N159" s="3"/>
      <c r="O159" s="11"/>
      <c r="P159" s="11">
        <f t="shared" si="63"/>
        <v>0</v>
      </c>
      <c r="Q159" s="11"/>
      <c r="R159" s="38"/>
      <c r="T159" s="50" t="s">
        <v>380</v>
      </c>
      <c r="Y159" s="38" t="e">
        <f t="shared" si="61"/>
        <v>#DIV/0!</v>
      </c>
      <c r="Z159" s="37">
        <f t="shared" si="62"/>
        <v>0</v>
      </c>
    </row>
    <row r="160" spans="1:26" ht="15" x14ac:dyDescent="0.2">
      <c r="A160" s="14" t="s">
        <v>205</v>
      </c>
      <c r="B160" s="15" t="s">
        <v>80</v>
      </c>
      <c r="C160" s="16">
        <v>99</v>
      </c>
      <c r="D160" s="11">
        <v>53.38</v>
      </c>
      <c r="E160" s="11">
        <v>52</v>
      </c>
      <c r="F160" s="11">
        <v>75.03</v>
      </c>
      <c r="G160" s="11">
        <v>0</v>
      </c>
      <c r="H160" s="11">
        <v>0</v>
      </c>
      <c r="I160" s="3"/>
      <c r="J160" s="11">
        <v>250</v>
      </c>
      <c r="K160" s="11">
        <v>0</v>
      </c>
      <c r="L160" s="3"/>
      <c r="M160" s="11">
        <v>0</v>
      </c>
      <c r="N160" s="3"/>
      <c r="O160" s="11"/>
      <c r="P160" s="11">
        <f t="shared" si="63"/>
        <v>0</v>
      </c>
      <c r="Q160" s="11"/>
      <c r="R160" s="38">
        <f t="shared" si="59"/>
        <v>-1</v>
      </c>
      <c r="Y160" s="38">
        <f t="shared" si="61"/>
        <v>0</v>
      </c>
      <c r="Z160" s="37">
        <f t="shared" si="62"/>
        <v>-250</v>
      </c>
    </row>
    <row r="161" spans="1:27" ht="15" x14ac:dyDescent="0.2">
      <c r="A161" s="14"/>
      <c r="B161" s="15"/>
      <c r="C161" s="16"/>
      <c r="D161" s="11"/>
      <c r="E161" s="11"/>
      <c r="F161" s="11"/>
      <c r="G161" s="11"/>
      <c r="H161" s="11"/>
      <c r="I161" s="3"/>
      <c r="J161" s="11"/>
      <c r="K161" s="11"/>
      <c r="L161" s="3"/>
      <c r="M161" s="11"/>
      <c r="N161" s="3"/>
      <c r="O161" s="11"/>
      <c r="P161" s="11"/>
      <c r="Q161" s="11"/>
      <c r="R161" s="11"/>
    </row>
    <row r="162" spans="1:27" ht="15" x14ac:dyDescent="0.25">
      <c r="A162" s="29"/>
      <c r="B162" s="30" t="s">
        <v>412</v>
      </c>
      <c r="C162" s="44">
        <f>SUM(C153:C161)</f>
        <v>68427</v>
      </c>
      <c r="D162" s="44">
        <f>SUM(D153:D161)</f>
        <v>72229.350000000006</v>
      </c>
      <c r="E162" s="44">
        <f>SUM(E153:E161)</f>
        <v>74214.710000000006</v>
      </c>
      <c r="F162" s="44">
        <f>SUM(F153:F161)</f>
        <v>102283.90999999999</v>
      </c>
      <c r="G162" s="44">
        <f>SUM(G153:G161)</f>
        <v>128156.27</v>
      </c>
      <c r="H162" s="44">
        <f>SUM(H153:H161)</f>
        <v>92376.090000000011</v>
      </c>
      <c r="I162" s="3"/>
      <c r="J162" s="44">
        <f>SUM(J153:J161)</f>
        <v>147474</v>
      </c>
      <c r="K162" s="44">
        <f>SUM(K153:K161)</f>
        <v>147025</v>
      </c>
      <c r="L162" s="3"/>
      <c r="M162" s="44">
        <f>SUM(M153:M161)</f>
        <v>178110</v>
      </c>
      <c r="N162" s="3"/>
      <c r="O162" s="44"/>
      <c r="P162" s="44">
        <f>SUM(P153:P161)</f>
        <v>178110</v>
      </c>
      <c r="Q162" s="11"/>
      <c r="R162" s="38">
        <f t="shared" ref="R162" si="64">+M162/J162-1</f>
        <v>0.20773831319419012</v>
      </c>
      <c r="S162" s="38">
        <f>+M162/K162-1</f>
        <v>0.21142662812446855</v>
      </c>
      <c r="Y162" s="38">
        <f>+M162/J162</f>
        <v>1.2077383131941901</v>
      </c>
      <c r="Z162" s="37">
        <f>+M162-J162</f>
        <v>30636</v>
      </c>
    </row>
    <row r="163" spans="1:27" ht="15" x14ac:dyDescent="0.25">
      <c r="A163" s="29"/>
      <c r="B163" s="30"/>
      <c r="C163" s="16"/>
      <c r="D163" s="11"/>
      <c r="E163" s="11"/>
      <c r="F163" s="11"/>
      <c r="G163" s="11"/>
      <c r="H163" s="11"/>
      <c r="I163" s="3"/>
      <c r="J163" s="11"/>
      <c r="K163" s="11"/>
      <c r="L163" s="3"/>
      <c r="M163" s="11"/>
      <c r="N163" s="3"/>
      <c r="O163" s="11"/>
      <c r="P163" s="11"/>
      <c r="Q163" s="11"/>
      <c r="R163" s="11"/>
    </row>
    <row r="164" spans="1:27" ht="15" x14ac:dyDescent="0.25">
      <c r="A164" s="70"/>
      <c r="B164" s="10" t="s">
        <v>413</v>
      </c>
      <c r="C164" s="16"/>
      <c r="D164" s="11"/>
      <c r="E164" s="11"/>
      <c r="F164" s="11"/>
      <c r="G164" s="11"/>
      <c r="H164" s="11"/>
      <c r="I164" s="3"/>
      <c r="J164" s="11"/>
      <c r="K164" s="11"/>
      <c r="L164" s="3"/>
      <c r="M164" s="11"/>
      <c r="N164" s="3"/>
      <c r="O164" s="11"/>
      <c r="P164" s="11"/>
      <c r="Q164" s="11"/>
      <c r="R164" s="11"/>
    </row>
    <row r="165" spans="1:27" ht="15" x14ac:dyDescent="0.2">
      <c r="A165" s="14" t="s">
        <v>207</v>
      </c>
      <c r="B165" s="15" t="s">
        <v>124</v>
      </c>
      <c r="C165" s="16">
        <v>41240</v>
      </c>
      <c r="D165" s="11">
        <v>60236.07</v>
      </c>
      <c r="E165" s="11">
        <v>33683.4</v>
      </c>
      <c r="F165" s="11">
        <v>39820.85</v>
      </c>
      <c r="G165" s="11">
        <v>37777.5</v>
      </c>
      <c r="H165" s="11">
        <v>30815.61</v>
      </c>
      <c r="I165" s="3"/>
      <c r="J165" s="11">
        <v>29203</v>
      </c>
      <c r="K165" s="11">
        <v>35000</v>
      </c>
      <c r="L165" s="3"/>
      <c r="M165" s="11">
        <v>30371</v>
      </c>
      <c r="N165" s="3"/>
      <c r="O165" s="11"/>
      <c r="P165" s="11">
        <f t="shared" ref="P165:P172" si="65">+O165+M165</f>
        <v>30371</v>
      </c>
      <c r="Q165" s="11"/>
      <c r="R165" s="38">
        <f t="shared" ref="R165:R172" si="66">+M165/J165-1</f>
        <v>3.9995890833133485E-2</v>
      </c>
      <c r="S165" s="38">
        <f>+M165/K165-1</f>
        <v>-0.13225714285714285</v>
      </c>
      <c r="T165" s="50" t="s">
        <v>384</v>
      </c>
    </row>
    <row r="166" spans="1:27" ht="15" x14ac:dyDescent="0.2">
      <c r="A166" s="14" t="s">
        <v>208</v>
      </c>
      <c r="B166" s="15" t="s">
        <v>126</v>
      </c>
      <c r="C166" s="16">
        <v>3874</v>
      </c>
      <c r="D166" s="11">
        <v>5318.45</v>
      </c>
      <c r="E166" s="11">
        <v>2923.34</v>
      </c>
      <c r="F166" s="11">
        <v>3373.75</v>
      </c>
      <c r="G166" s="11">
        <v>2958.07</v>
      </c>
      <c r="H166" s="11">
        <v>2384.4499999999998</v>
      </c>
      <c r="I166" s="3"/>
      <c r="J166" s="11">
        <v>2336</v>
      </c>
      <c r="K166" s="11">
        <v>3500</v>
      </c>
      <c r="L166" s="3"/>
      <c r="M166" s="11">
        <v>2566</v>
      </c>
      <c r="N166" s="3"/>
      <c r="O166" s="11"/>
      <c r="P166" s="11">
        <f t="shared" si="65"/>
        <v>2566</v>
      </c>
      <c r="Q166" s="11"/>
      <c r="R166" s="38">
        <f t="shared" si="66"/>
        <v>9.8458904109589129E-2</v>
      </c>
      <c r="S166" s="38">
        <f>+M166/K166-1</f>
        <v>-0.2668571428571429</v>
      </c>
    </row>
    <row r="167" spans="1:27" ht="15" x14ac:dyDescent="0.2">
      <c r="A167" s="14" t="s">
        <v>209</v>
      </c>
      <c r="B167" s="15" t="s">
        <v>171</v>
      </c>
      <c r="C167" s="16">
        <v>18</v>
      </c>
      <c r="D167" s="11">
        <v>11.7</v>
      </c>
      <c r="E167" s="11">
        <v>0</v>
      </c>
      <c r="F167" s="11"/>
      <c r="G167" s="11">
        <v>147.13</v>
      </c>
      <c r="H167" s="11">
        <v>0</v>
      </c>
      <c r="I167" s="3"/>
      <c r="J167" s="11">
        <v>0</v>
      </c>
      <c r="K167" s="11">
        <v>250</v>
      </c>
      <c r="L167" s="3"/>
      <c r="M167" s="11">
        <v>0</v>
      </c>
      <c r="N167" s="3"/>
      <c r="O167" s="11"/>
      <c r="P167" s="11">
        <f t="shared" si="65"/>
        <v>0</v>
      </c>
      <c r="Q167" s="11"/>
      <c r="R167" s="38"/>
    </row>
    <row r="168" spans="1:27" ht="15" x14ac:dyDescent="0.2">
      <c r="A168" s="14" t="s">
        <v>210</v>
      </c>
      <c r="B168" s="15" t="s">
        <v>132</v>
      </c>
      <c r="C168" s="16">
        <v>111</v>
      </c>
      <c r="D168" s="11">
        <v>87.01</v>
      </c>
      <c r="E168" s="11">
        <v>647.65</v>
      </c>
      <c r="F168" s="11">
        <v>1301.17</v>
      </c>
      <c r="G168" s="11">
        <v>845.35</v>
      </c>
      <c r="H168" s="11">
        <v>36.07</v>
      </c>
      <c r="I168" s="3"/>
      <c r="J168" s="11">
        <v>38</v>
      </c>
      <c r="K168" s="11">
        <v>38</v>
      </c>
      <c r="L168" s="3"/>
      <c r="M168" s="11">
        <v>40</v>
      </c>
      <c r="N168" s="3"/>
      <c r="O168" s="11"/>
      <c r="P168" s="11">
        <f t="shared" si="65"/>
        <v>40</v>
      </c>
      <c r="Q168" s="11"/>
      <c r="R168" s="38">
        <f t="shared" si="66"/>
        <v>5.2631578947368363E-2</v>
      </c>
      <c r="S168" s="38">
        <f>+M168/K168-1</f>
        <v>5.2631578947368363E-2</v>
      </c>
    </row>
    <row r="169" spans="1:27" ht="15" x14ac:dyDescent="0.25">
      <c r="A169" s="14"/>
      <c r="B169" s="30" t="s">
        <v>395</v>
      </c>
      <c r="C169" s="59">
        <f>SUM(C165:C168)</f>
        <v>45243</v>
      </c>
      <c r="D169" s="59">
        <f>SUM(D165:D168)</f>
        <v>65653.23</v>
      </c>
      <c r="E169" s="59">
        <f>SUM(E165:E168)</f>
        <v>37254.390000000007</v>
      </c>
      <c r="F169" s="59">
        <f>SUM(F165:F168)</f>
        <v>44495.77</v>
      </c>
      <c r="G169" s="59">
        <f>SUM(G165:G168)</f>
        <v>41728.049999999996</v>
      </c>
      <c r="H169" s="59">
        <f>SUM(H165:H168)</f>
        <v>33236.129999999997</v>
      </c>
      <c r="I169" s="3"/>
      <c r="J169" s="59">
        <f>SUM(J165:J168)</f>
        <v>31577</v>
      </c>
      <c r="K169" s="59">
        <f>SUM(K165:K168)</f>
        <v>38788</v>
      </c>
      <c r="L169" s="3"/>
      <c r="M169" s="59">
        <f>SUM(M165:M168)</f>
        <v>32977</v>
      </c>
      <c r="N169" s="3"/>
      <c r="O169" s="44"/>
      <c r="P169" s="59">
        <f>SUM(P165:P168)</f>
        <v>32977</v>
      </c>
      <c r="Q169" s="11"/>
      <c r="R169" s="38"/>
    </row>
    <row r="170" spans="1:27" ht="15" x14ac:dyDescent="0.2">
      <c r="A170" s="14">
        <v>6071300</v>
      </c>
      <c r="B170" s="15" t="s">
        <v>211</v>
      </c>
      <c r="C170" s="16">
        <v>0</v>
      </c>
      <c r="D170" s="11">
        <v>421.17</v>
      </c>
      <c r="E170" s="11">
        <v>188.65</v>
      </c>
      <c r="F170" s="11"/>
      <c r="G170" s="11">
        <v>0</v>
      </c>
      <c r="H170" s="11">
        <v>0</v>
      </c>
      <c r="I170" s="3"/>
      <c r="J170" s="11">
        <v>250</v>
      </c>
      <c r="K170" s="11">
        <v>0</v>
      </c>
      <c r="L170" s="3"/>
      <c r="M170" s="11">
        <v>50</v>
      </c>
      <c r="N170" s="3"/>
      <c r="O170" s="11"/>
      <c r="P170" s="11">
        <f t="shared" si="65"/>
        <v>50</v>
      </c>
      <c r="Q170" s="11"/>
      <c r="R170" s="38">
        <f t="shared" si="66"/>
        <v>-0.8</v>
      </c>
    </row>
    <row r="171" spans="1:27" ht="15" x14ac:dyDescent="0.2">
      <c r="A171" s="14" t="s">
        <v>212</v>
      </c>
      <c r="B171" s="15" t="s">
        <v>160</v>
      </c>
      <c r="C171" s="16"/>
      <c r="D171" s="11"/>
      <c r="E171" s="11"/>
      <c r="F171" s="11"/>
      <c r="G171" s="11"/>
      <c r="H171" s="11"/>
      <c r="I171" s="3"/>
      <c r="J171" s="11"/>
      <c r="K171" s="11"/>
      <c r="L171" s="3"/>
      <c r="M171" s="11"/>
      <c r="N171" s="3"/>
      <c r="O171" s="11"/>
      <c r="P171" s="11">
        <f t="shared" si="65"/>
        <v>0</v>
      </c>
      <c r="Q171" s="11"/>
      <c r="R171" s="38"/>
      <c r="T171" s="50" t="s">
        <v>380</v>
      </c>
    </row>
    <row r="172" spans="1:27" ht="15" x14ac:dyDescent="0.2">
      <c r="A172" s="14" t="s">
        <v>213</v>
      </c>
      <c r="B172" s="15" t="s">
        <v>80</v>
      </c>
      <c r="C172" s="16">
        <v>444</v>
      </c>
      <c r="D172" s="11">
        <v>1106.8800000000001</v>
      </c>
      <c r="E172" s="11">
        <v>0</v>
      </c>
      <c r="F172" s="11"/>
      <c r="G172" s="11">
        <v>0</v>
      </c>
      <c r="H172" s="11">
        <v>0</v>
      </c>
      <c r="I172" s="3"/>
      <c r="J172" s="11">
        <v>250</v>
      </c>
      <c r="K172" s="11">
        <v>0</v>
      </c>
      <c r="L172" s="3"/>
      <c r="M172" s="11">
        <v>0</v>
      </c>
      <c r="N172" s="3"/>
      <c r="O172" s="11"/>
      <c r="P172" s="11">
        <f t="shared" si="65"/>
        <v>0</v>
      </c>
      <c r="Q172" s="11"/>
      <c r="R172" s="38">
        <f t="shared" si="66"/>
        <v>-1</v>
      </c>
    </row>
    <row r="173" spans="1:27" ht="15" x14ac:dyDescent="0.2">
      <c r="A173" s="14"/>
      <c r="B173" s="15"/>
      <c r="C173" s="16"/>
      <c r="D173" s="11"/>
      <c r="E173" s="11"/>
      <c r="F173" s="11"/>
      <c r="G173" s="11"/>
      <c r="H173" s="11"/>
      <c r="I173" s="3"/>
      <c r="J173" s="11"/>
      <c r="K173" s="11"/>
      <c r="L173" s="3"/>
      <c r="M173" s="11"/>
      <c r="N173" s="3"/>
      <c r="O173" s="11"/>
      <c r="P173" s="11"/>
      <c r="Q173" s="11"/>
      <c r="R173" s="11"/>
    </row>
    <row r="174" spans="1:27" s="20" customFormat="1" ht="15" x14ac:dyDescent="0.25">
      <c r="A174" s="29"/>
      <c r="B174" s="30" t="s">
        <v>414</v>
      </c>
      <c r="C174" s="59">
        <f>SUM(C169:C173)</f>
        <v>45687</v>
      </c>
      <c r="D174" s="59">
        <f>SUM(D169:D173)</f>
        <v>67181.279999999999</v>
      </c>
      <c r="E174" s="59">
        <f>SUM(E169:E173)</f>
        <v>37443.040000000008</v>
      </c>
      <c r="F174" s="59">
        <f>SUM(F169:F173)</f>
        <v>44495.77</v>
      </c>
      <c r="G174" s="59">
        <f>SUM(G169:G173)</f>
        <v>41728.049999999996</v>
      </c>
      <c r="H174" s="59">
        <f>SUM(H169:H173)</f>
        <v>33236.129999999997</v>
      </c>
      <c r="I174" s="3"/>
      <c r="J174" s="59">
        <f>SUM(J169:J173)</f>
        <v>32077</v>
      </c>
      <c r="K174" s="59">
        <f>SUM(K169:K173)</f>
        <v>38788</v>
      </c>
      <c r="L174" s="3"/>
      <c r="M174" s="59">
        <f>SUM(M169:M173)</f>
        <v>33027</v>
      </c>
      <c r="N174" s="3"/>
      <c r="O174" s="44"/>
      <c r="P174" s="59">
        <f>SUM(P169:P173)</f>
        <v>33027</v>
      </c>
      <c r="Q174" s="11"/>
      <c r="R174" s="38">
        <f t="shared" ref="R174" si="67">+M174/J174-1</f>
        <v>2.9616235932288015E-2</v>
      </c>
      <c r="S174" s="38">
        <f>+M174/K174-1</f>
        <v>-0.14852531710838401</v>
      </c>
      <c r="T174" s="50"/>
      <c r="U174" s="38"/>
      <c r="V174" s="38"/>
      <c r="W174" s="38"/>
      <c r="X174" s="38"/>
      <c r="Y174" s="38">
        <f>+M174/J174</f>
        <v>1.029616235932288</v>
      </c>
      <c r="Z174" s="37">
        <f>+M174-J174</f>
        <v>950</v>
      </c>
      <c r="AA174" s="44"/>
    </row>
    <row r="175" spans="1:27" s="20" customFormat="1" ht="15" x14ac:dyDescent="0.25">
      <c r="A175" s="29"/>
      <c r="B175" s="30"/>
      <c r="C175" s="16"/>
      <c r="D175" s="11"/>
      <c r="E175" s="11"/>
      <c r="F175" s="11"/>
      <c r="G175" s="11"/>
      <c r="H175" s="11"/>
      <c r="I175" s="3"/>
      <c r="J175" s="11"/>
      <c r="K175" s="11"/>
      <c r="L175" s="3"/>
      <c r="M175" s="11"/>
      <c r="N175" s="3"/>
      <c r="O175" s="11"/>
      <c r="P175" s="11"/>
      <c r="Q175" s="11"/>
      <c r="R175" s="11"/>
      <c r="S175" s="38"/>
      <c r="T175" s="50"/>
      <c r="U175" s="38"/>
      <c r="V175" s="38"/>
      <c r="W175" s="38"/>
      <c r="X175" s="38"/>
      <c r="Y175" s="38"/>
      <c r="AA175" s="44"/>
    </row>
    <row r="176" spans="1:27" ht="15" x14ac:dyDescent="0.25">
      <c r="A176" s="17"/>
      <c r="B176" s="71" t="s">
        <v>415</v>
      </c>
      <c r="C176" s="72">
        <f t="shared" ref="C176:H176" si="68">+C174+C162+C144+C114+C81</f>
        <v>1559019</v>
      </c>
      <c r="D176" s="72">
        <f t="shared" si="68"/>
        <v>1457944.62</v>
      </c>
      <c r="E176" s="72">
        <f t="shared" si="68"/>
        <v>1317102.4500000002</v>
      </c>
      <c r="F176" s="72">
        <f t="shared" si="68"/>
        <v>1692721.3059999999</v>
      </c>
      <c r="G176" s="72">
        <f t="shared" si="68"/>
        <v>1769719.4100000001</v>
      </c>
      <c r="H176" s="72">
        <f t="shared" si="68"/>
        <v>1516140.3599999999</v>
      </c>
      <c r="I176" s="73"/>
      <c r="J176" s="72">
        <f>+J174+J162+J144+J114+J81</f>
        <v>1704999</v>
      </c>
      <c r="K176" s="72">
        <f>+K174+K162+K144+K114+K81</f>
        <v>1879849</v>
      </c>
      <c r="L176" s="73"/>
      <c r="M176" s="72">
        <f>+M174+M162+M144+M114+M81</f>
        <v>1962207</v>
      </c>
      <c r="N176" s="73"/>
      <c r="O176" s="72"/>
      <c r="P176" s="72">
        <f>+P174+P162+P144+P114+P81</f>
        <v>1932207</v>
      </c>
      <c r="Q176" s="11"/>
      <c r="R176" s="38">
        <f t="shared" ref="R176" si="69">+M176/J176-1</f>
        <v>0.15085522044294453</v>
      </c>
      <c r="S176" s="38">
        <f>+M176/K176-1</f>
        <v>4.3810965667987256E-2</v>
      </c>
      <c r="Y176" s="38">
        <f>+M176/J176</f>
        <v>1.1508552204429445</v>
      </c>
      <c r="Z176" s="37">
        <f>+M176-J176</f>
        <v>257208</v>
      </c>
    </row>
    <row r="177" spans="1:20" ht="15" x14ac:dyDescent="0.2">
      <c r="D177" s="11"/>
      <c r="E177" s="11"/>
      <c r="F177" s="11"/>
      <c r="G177" s="11"/>
      <c r="H177" s="11"/>
      <c r="I177" s="3"/>
      <c r="J177" s="11"/>
      <c r="K177" s="11"/>
      <c r="L177" s="3"/>
      <c r="M177" s="11"/>
      <c r="N177" s="3"/>
      <c r="O177" s="11"/>
      <c r="P177" s="11"/>
      <c r="Q177" s="11"/>
      <c r="R177" s="11"/>
    </row>
    <row r="178" spans="1:20" ht="15" x14ac:dyDescent="0.25">
      <c r="A178" s="9"/>
      <c r="B178" s="10" t="s">
        <v>423</v>
      </c>
      <c r="D178" s="11"/>
      <c r="E178" s="11"/>
      <c r="F178" s="11"/>
      <c r="G178" s="11"/>
      <c r="H178" s="11"/>
      <c r="I178" s="3"/>
      <c r="J178" s="11"/>
      <c r="K178" s="11"/>
      <c r="L178" s="3"/>
      <c r="M178" s="11"/>
      <c r="N178" s="3"/>
      <c r="O178" s="11"/>
      <c r="P178" s="11"/>
      <c r="Q178" s="11"/>
      <c r="R178" s="11"/>
    </row>
    <row r="179" spans="1:20" ht="15" customHeight="1" x14ac:dyDescent="0.2">
      <c r="A179" s="14" t="s">
        <v>218</v>
      </c>
      <c r="B179" s="15" t="s">
        <v>219</v>
      </c>
      <c r="C179" s="16">
        <v>676230</v>
      </c>
      <c r="D179" s="11">
        <v>793144.54</v>
      </c>
      <c r="E179" s="11">
        <v>725138.85</v>
      </c>
      <c r="F179" s="11">
        <v>1037671.5</v>
      </c>
      <c r="G179" s="11">
        <v>1292895.1200000001</v>
      </c>
      <c r="H179" s="11">
        <v>850082.74</v>
      </c>
      <c r="I179" s="3"/>
      <c r="J179" s="11">
        <v>1347218</v>
      </c>
      <c r="K179" s="11">
        <v>1350212</v>
      </c>
      <c r="L179" s="3"/>
      <c r="M179" s="11">
        <v>1117795</v>
      </c>
      <c r="N179" s="3"/>
      <c r="O179" s="11"/>
      <c r="P179" s="11">
        <f t="shared" ref="P179:P202" si="70">+O179+M179</f>
        <v>1117795</v>
      </c>
      <c r="Q179" s="11"/>
      <c r="R179" s="38">
        <f t="shared" ref="R179:R227" si="71">+M179/J179-1</f>
        <v>-0.17029389452931898</v>
      </c>
      <c r="S179" s="38">
        <f t="shared" ref="S179:S202" si="72">+M179/K179-1</f>
        <v>-0.17213370937304662</v>
      </c>
      <c r="T179" s="53" t="s">
        <v>376</v>
      </c>
    </row>
    <row r="180" spans="1:20" ht="15" x14ac:dyDescent="0.2">
      <c r="A180" s="14">
        <v>6030101</v>
      </c>
      <c r="B180" s="15" t="s">
        <v>352</v>
      </c>
      <c r="C180" s="16"/>
      <c r="D180" s="11"/>
      <c r="E180" s="11"/>
      <c r="F180" s="11"/>
      <c r="G180" s="11">
        <v>0</v>
      </c>
      <c r="H180" s="11">
        <v>162797.51</v>
      </c>
      <c r="I180" s="3"/>
      <c r="J180" s="11"/>
      <c r="K180" s="11"/>
      <c r="L180" s="3"/>
      <c r="M180" s="11">
        <f>150872+14450</f>
        <v>165322</v>
      </c>
      <c r="N180" s="3"/>
      <c r="O180" s="11"/>
      <c r="P180" s="11">
        <f t="shared" si="70"/>
        <v>165322</v>
      </c>
      <c r="Q180" s="11"/>
      <c r="R180" s="38"/>
      <c r="T180" s="53"/>
    </row>
    <row r="181" spans="1:20" ht="15" x14ac:dyDescent="0.2">
      <c r="A181" s="14">
        <v>6030102</v>
      </c>
      <c r="B181" s="15" t="s">
        <v>349</v>
      </c>
      <c r="C181" s="16"/>
      <c r="D181" s="11"/>
      <c r="E181" s="11"/>
      <c r="F181" s="11"/>
      <c r="G181" s="11">
        <v>0</v>
      </c>
      <c r="H181" s="11">
        <v>55875</v>
      </c>
      <c r="I181" s="3"/>
      <c r="J181" s="11"/>
      <c r="K181" s="11"/>
      <c r="L181" s="3"/>
      <c r="M181" s="11">
        <v>80000</v>
      </c>
      <c r="N181" s="3"/>
      <c r="O181" s="11"/>
      <c r="P181" s="11">
        <f t="shared" si="70"/>
        <v>80000</v>
      </c>
      <c r="Q181" s="11"/>
      <c r="R181" s="38"/>
      <c r="T181" s="53"/>
    </row>
    <row r="182" spans="1:20" ht="15" x14ac:dyDescent="0.2">
      <c r="A182" s="14">
        <v>6030103</v>
      </c>
      <c r="B182" s="15" t="s">
        <v>350</v>
      </c>
      <c r="C182" s="16"/>
      <c r="D182" s="11"/>
      <c r="E182" s="11"/>
      <c r="F182" s="11"/>
      <c r="G182" s="11">
        <v>0</v>
      </c>
      <c r="H182" s="11">
        <v>55949.14</v>
      </c>
      <c r="I182" s="3"/>
      <c r="J182" s="11"/>
      <c r="K182" s="11"/>
      <c r="L182" s="3"/>
      <c r="M182" s="11">
        <v>65000</v>
      </c>
      <c r="N182" s="3"/>
      <c r="O182" s="11"/>
      <c r="P182" s="11">
        <f t="shared" si="70"/>
        <v>65000</v>
      </c>
      <c r="Q182" s="11"/>
      <c r="R182" s="38"/>
      <c r="T182" s="53"/>
    </row>
    <row r="183" spans="1:20" ht="15" x14ac:dyDescent="0.2">
      <c r="A183" s="14">
        <v>6030104</v>
      </c>
      <c r="B183" s="15" t="s">
        <v>354</v>
      </c>
      <c r="C183" s="16"/>
      <c r="D183" s="11"/>
      <c r="E183" s="11"/>
      <c r="F183" s="11"/>
      <c r="G183" s="11"/>
      <c r="H183" s="11">
        <v>11606.26</v>
      </c>
      <c r="I183" s="3"/>
      <c r="J183" s="11"/>
      <c r="K183" s="11"/>
      <c r="L183" s="3"/>
      <c r="M183" s="11">
        <v>15000</v>
      </c>
      <c r="N183" s="3"/>
      <c r="O183" s="11"/>
      <c r="P183" s="11">
        <f t="shared" si="70"/>
        <v>15000</v>
      </c>
      <c r="Q183" s="11"/>
      <c r="R183" s="38"/>
      <c r="T183" s="53"/>
    </row>
    <row r="184" spans="1:20" ht="15" x14ac:dyDescent="0.2">
      <c r="A184" s="14" t="s">
        <v>222</v>
      </c>
      <c r="B184" s="15" t="s">
        <v>223</v>
      </c>
      <c r="C184" s="16">
        <v>55881</v>
      </c>
      <c r="D184" s="11">
        <v>57543.17</v>
      </c>
      <c r="E184" s="11">
        <v>55670.48</v>
      </c>
      <c r="F184" s="11">
        <v>82622.080000000002</v>
      </c>
      <c r="G184" s="11">
        <v>92654.55</v>
      </c>
      <c r="H184" s="11">
        <v>90462.8</v>
      </c>
      <c r="I184" s="3"/>
      <c r="J184" s="11">
        <v>107777</v>
      </c>
      <c r="K184" s="11">
        <v>108000</v>
      </c>
      <c r="L184" s="3"/>
      <c r="M184" s="11">
        <f>115449+6313</f>
        <v>121762</v>
      </c>
      <c r="N184" s="3"/>
      <c r="O184" s="11"/>
      <c r="P184" s="11">
        <f t="shared" si="70"/>
        <v>121762</v>
      </c>
      <c r="Q184" s="11"/>
      <c r="R184" s="38">
        <f t="shared" si="71"/>
        <v>0.12975866836152417</v>
      </c>
      <c r="S184" s="38">
        <f t="shared" si="72"/>
        <v>0.12742592592592583</v>
      </c>
    </row>
    <row r="185" spans="1:20" ht="15" x14ac:dyDescent="0.2">
      <c r="A185" s="14" t="s">
        <v>224</v>
      </c>
      <c r="B185" s="15" t="s">
        <v>225</v>
      </c>
      <c r="C185" s="16">
        <v>152064</v>
      </c>
      <c r="D185" s="11">
        <v>142017.5</v>
      </c>
      <c r="E185" s="11">
        <v>140830.78</v>
      </c>
      <c r="F185" s="11">
        <v>192240.68</v>
      </c>
      <c r="G185" s="11">
        <v>291595.26</v>
      </c>
      <c r="H185" s="11">
        <v>255224.67</v>
      </c>
      <c r="I185" s="3"/>
      <c r="J185" s="11">
        <v>353311</v>
      </c>
      <c r="K185" s="11">
        <v>355000</v>
      </c>
      <c r="L185" s="3"/>
      <c r="M185" s="11">
        <v>424305</v>
      </c>
      <c r="N185" s="3"/>
      <c r="O185" s="11"/>
      <c r="P185" s="11">
        <f t="shared" si="70"/>
        <v>424305</v>
      </c>
      <c r="Q185" s="11"/>
      <c r="R185" s="38">
        <f t="shared" si="71"/>
        <v>0.20093911596299008</v>
      </c>
      <c r="S185" s="38">
        <f t="shared" si="72"/>
        <v>0.19522535211267611</v>
      </c>
    </row>
    <row r="186" spans="1:20" ht="15" x14ac:dyDescent="0.2">
      <c r="A186" s="14" t="s">
        <v>226</v>
      </c>
      <c r="B186" s="15" t="s">
        <v>227</v>
      </c>
      <c r="C186" s="16">
        <v>80802</v>
      </c>
      <c r="D186" s="11">
        <v>98566.28</v>
      </c>
      <c r="E186" s="11">
        <v>68124.479999999996</v>
      </c>
      <c r="F186" s="11">
        <v>90168.43</v>
      </c>
      <c r="G186" s="11">
        <v>81364.639999999999</v>
      </c>
      <c r="H186" s="11">
        <v>121637.2</v>
      </c>
      <c r="I186" s="3"/>
      <c r="J186" s="11">
        <v>176982</v>
      </c>
      <c r="K186" s="11">
        <v>180000</v>
      </c>
      <c r="L186" s="3"/>
      <c r="M186" s="11">
        <v>186944</v>
      </c>
      <c r="N186" s="3"/>
      <c r="O186" s="11"/>
      <c r="P186" s="11">
        <f t="shared" si="70"/>
        <v>186944</v>
      </c>
      <c r="Q186" s="11"/>
      <c r="R186" s="38">
        <f t="shared" si="71"/>
        <v>5.6288210100462255E-2</v>
      </c>
      <c r="S186" s="38">
        <f t="shared" si="72"/>
        <v>3.8577777777777822E-2</v>
      </c>
    </row>
    <row r="187" spans="1:20" ht="15" x14ac:dyDescent="0.2">
      <c r="A187" s="14" t="s">
        <v>228</v>
      </c>
      <c r="B187" s="15" t="s">
        <v>229</v>
      </c>
      <c r="C187" s="16">
        <v>10188</v>
      </c>
      <c r="D187" s="11">
        <v>16231.68</v>
      </c>
      <c r="E187" s="11">
        <v>5561.98</v>
      </c>
      <c r="F187" s="11">
        <v>77009.759999999995</v>
      </c>
      <c r="G187" s="11">
        <v>48965.93</v>
      </c>
      <c r="H187" s="11">
        <v>13864.46</v>
      </c>
      <c r="I187" s="3"/>
      <c r="J187" s="11">
        <v>12000</v>
      </c>
      <c r="K187" s="11">
        <v>17500</v>
      </c>
      <c r="L187" s="3"/>
      <c r="M187" s="11">
        <v>15000</v>
      </c>
      <c r="N187" s="3"/>
      <c r="O187" s="11"/>
      <c r="P187" s="11">
        <f t="shared" si="70"/>
        <v>15000</v>
      </c>
      <c r="Q187" s="11"/>
      <c r="R187" s="38">
        <f t="shared" si="71"/>
        <v>0.25</v>
      </c>
      <c r="S187" s="38">
        <f t="shared" si="72"/>
        <v>-0.1428571428571429</v>
      </c>
    </row>
    <row r="188" spans="1:20" ht="15" x14ac:dyDescent="0.2">
      <c r="A188" s="14" t="s">
        <v>230</v>
      </c>
      <c r="B188" s="15" t="s">
        <v>231</v>
      </c>
      <c r="C188" s="16">
        <v>25001</v>
      </c>
      <c r="D188" s="11">
        <v>31230.12</v>
      </c>
      <c r="E188" s="11">
        <v>19763.8</v>
      </c>
      <c r="F188" s="11">
        <v>8095.98</v>
      </c>
      <c r="G188" s="11">
        <v>10263.450000000001</v>
      </c>
      <c r="H188" s="11">
        <v>37870.339999999997</v>
      </c>
      <c r="I188" s="3"/>
      <c r="J188" s="11">
        <v>45940</v>
      </c>
      <c r="K188" s="11">
        <v>46000</v>
      </c>
      <c r="L188" s="3"/>
      <c r="M188" s="11">
        <v>49210</v>
      </c>
      <c r="N188" s="3"/>
      <c r="O188" s="11"/>
      <c r="P188" s="11">
        <f t="shared" si="70"/>
        <v>49210</v>
      </c>
      <c r="Q188" s="11"/>
      <c r="R188" s="38">
        <f t="shared" si="71"/>
        <v>7.117979973878974E-2</v>
      </c>
      <c r="S188" s="38">
        <f t="shared" si="72"/>
        <v>6.9782608695652115E-2</v>
      </c>
    </row>
    <row r="189" spans="1:20" ht="15" x14ac:dyDescent="0.25">
      <c r="A189" s="14"/>
      <c r="B189" s="30" t="s">
        <v>395</v>
      </c>
      <c r="C189" s="59">
        <f>SUM(C179:C188)</f>
        <v>1000166</v>
      </c>
      <c r="D189" s="59">
        <f>SUM(D179:D188)</f>
        <v>1138733.29</v>
      </c>
      <c r="E189" s="59">
        <f>SUM(E179:E188)</f>
        <v>1015090.37</v>
      </c>
      <c r="F189" s="59">
        <f>SUM(F179:F188)</f>
        <v>1487808.43</v>
      </c>
      <c r="G189" s="59">
        <f>SUM(G179:G188)</f>
        <v>1817738.95</v>
      </c>
      <c r="H189" s="59">
        <f>SUM(H179:H188)</f>
        <v>1655370.1199999999</v>
      </c>
      <c r="I189" s="3"/>
      <c r="J189" s="59">
        <f>SUM(J179:J188)</f>
        <v>2043228</v>
      </c>
      <c r="K189" s="59">
        <f>SUM(K179:K188)</f>
        <v>2056712</v>
      </c>
      <c r="L189" s="3"/>
      <c r="M189" s="59">
        <f>SUM(M179:M188)</f>
        <v>2240338</v>
      </c>
      <c r="N189" s="3"/>
      <c r="O189" s="44"/>
      <c r="P189" s="59">
        <f>SUM(P179:P188)</f>
        <v>2240338</v>
      </c>
      <c r="Q189" s="11"/>
      <c r="R189" s="38"/>
    </row>
    <row r="190" spans="1:20" ht="15" customHeight="1" x14ac:dyDescent="0.2">
      <c r="A190" s="14" t="s">
        <v>232</v>
      </c>
      <c r="B190" s="15" t="s">
        <v>233</v>
      </c>
      <c r="C190" s="16">
        <v>120533</v>
      </c>
      <c r="D190" s="11">
        <v>128146.94</v>
      </c>
      <c r="E190" s="11">
        <v>101451.3</v>
      </c>
      <c r="F190" s="11">
        <v>223940.33</v>
      </c>
      <c r="G190" s="11">
        <v>332587.27</v>
      </c>
      <c r="H190" s="11">
        <v>268101.71999999997</v>
      </c>
      <c r="I190" s="3"/>
      <c r="J190" s="11">
        <v>354203</v>
      </c>
      <c r="K190" s="11">
        <f>375000-2100</f>
        <v>372900</v>
      </c>
      <c r="L190" s="3"/>
      <c r="M190" s="11">
        <v>324092</v>
      </c>
      <c r="N190" s="3"/>
      <c r="O190" s="11"/>
      <c r="P190" s="11">
        <f t="shared" si="70"/>
        <v>324092</v>
      </c>
      <c r="Q190" s="11"/>
      <c r="R190" s="38">
        <f t="shared" si="71"/>
        <v>-8.5010573032978209E-2</v>
      </c>
      <c r="S190" s="38">
        <f t="shared" si="72"/>
        <v>-0.13088763743631004</v>
      </c>
      <c r="T190" s="53" t="s">
        <v>376</v>
      </c>
    </row>
    <row r="191" spans="1:20" ht="15" x14ac:dyDescent="0.2">
      <c r="A191" s="14">
        <v>6030201</v>
      </c>
      <c r="B191" s="15" t="s">
        <v>351</v>
      </c>
      <c r="C191" s="16"/>
      <c r="D191" s="11"/>
      <c r="E191" s="11"/>
      <c r="F191" s="11"/>
      <c r="G191" s="11">
        <v>0</v>
      </c>
      <c r="H191" s="11">
        <v>33242.03</v>
      </c>
      <c r="I191" s="3"/>
      <c r="J191" s="11"/>
      <c r="K191" s="11"/>
      <c r="L191" s="3"/>
      <c r="M191" s="11">
        <v>49827</v>
      </c>
      <c r="N191" s="3"/>
      <c r="O191" s="11"/>
      <c r="P191" s="11">
        <f t="shared" si="70"/>
        <v>49827</v>
      </c>
      <c r="Q191" s="11"/>
      <c r="R191" s="38"/>
      <c r="T191" s="53"/>
    </row>
    <row r="192" spans="1:20" ht="15" x14ac:dyDescent="0.2">
      <c r="A192" s="14" t="s">
        <v>234</v>
      </c>
      <c r="B192" s="15" t="s">
        <v>235</v>
      </c>
      <c r="C192" s="16">
        <v>10228</v>
      </c>
      <c r="D192" s="11">
        <v>11300.56</v>
      </c>
      <c r="E192" s="11">
        <v>8147.5</v>
      </c>
      <c r="F192" s="11">
        <v>17331.79</v>
      </c>
      <c r="G192" s="11">
        <v>15072.02</v>
      </c>
      <c r="H192" s="11">
        <v>24368.400000000001</v>
      </c>
      <c r="I192" s="3"/>
      <c r="J192" s="11">
        <v>28336</v>
      </c>
      <c r="K192" s="11">
        <v>29000</v>
      </c>
      <c r="L192" s="3"/>
      <c r="M192" s="11">
        <f>39914+1683</f>
        <v>41597</v>
      </c>
      <c r="N192" s="3"/>
      <c r="O192" s="11"/>
      <c r="P192" s="11">
        <f t="shared" si="70"/>
        <v>41597</v>
      </c>
      <c r="Q192" s="11"/>
      <c r="R192" s="38">
        <f t="shared" si="71"/>
        <v>0.46799124788255231</v>
      </c>
      <c r="S192" s="38">
        <f t="shared" si="72"/>
        <v>0.43437931034482768</v>
      </c>
      <c r="T192" s="48"/>
    </row>
    <row r="193" spans="1:20" ht="15" x14ac:dyDescent="0.2">
      <c r="A193" s="14" t="s">
        <v>236</v>
      </c>
      <c r="B193" s="15" t="s">
        <v>237</v>
      </c>
      <c r="C193" s="16">
        <v>41198</v>
      </c>
      <c r="D193" s="11">
        <v>39635.67</v>
      </c>
      <c r="E193" s="11">
        <v>23581.19</v>
      </c>
      <c r="F193" s="11">
        <v>78593.440000000002</v>
      </c>
      <c r="G193" s="11">
        <v>111380.21</v>
      </c>
      <c r="H193" s="11">
        <v>111988.75</v>
      </c>
      <c r="I193" s="3"/>
      <c r="J193" s="11">
        <v>151734</v>
      </c>
      <c r="K193" s="11">
        <v>152000</v>
      </c>
      <c r="L193" s="3"/>
      <c r="M193" s="11">
        <v>168962</v>
      </c>
      <c r="N193" s="3"/>
      <c r="O193" s="11"/>
      <c r="P193" s="11">
        <f t="shared" si="70"/>
        <v>168962</v>
      </c>
      <c r="Q193" s="11"/>
      <c r="R193" s="38">
        <f t="shared" si="71"/>
        <v>0.1135408016660735</v>
      </c>
      <c r="S193" s="38">
        <f t="shared" si="72"/>
        <v>0.11159210526315788</v>
      </c>
      <c r="T193" s="48"/>
    </row>
    <row r="194" spans="1:20" ht="15" x14ac:dyDescent="0.2">
      <c r="A194" s="14" t="s">
        <v>238</v>
      </c>
      <c r="B194" s="15" t="s">
        <v>239</v>
      </c>
      <c r="C194" s="16">
        <v>1799</v>
      </c>
      <c r="D194" s="11">
        <v>2200.7800000000002</v>
      </c>
      <c r="E194" s="11">
        <v>3043.2</v>
      </c>
      <c r="F194" s="11">
        <v>1929.9</v>
      </c>
      <c r="G194" s="11">
        <v>2959.1</v>
      </c>
      <c r="H194" s="11">
        <v>4469.29</v>
      </c>
      <c r="I194" s="3"/>
      <c r="J194" s="11">
        <v>3224</v>
      </c>
      <c r="K194" s="11">
        <v>5000</v>
      </c>
      <c r="L194" s="3"/>
      <c r="M194" s="11">
        <f>7298+1176</f>
        <v>8474</v>
      </c>
      <c r="N194" s="3"/>
      <c r="O194" s="11"/>
      <c r="P194" s="11">
        <f t="shared" si="70"/>
        <v>8474</v>
      </c>
      <c r="Q194" s="11"/>
      <c r="R194" s="38">
        <f t="shared" si="71"/>
        <v>1.6284119106699753</v>
      </c>
      <c r="S194" s="38">
        <f t="shared" si="72"/>
        <v>0.69480000000000008</v>
      </c>
      <c r="T194" s="48" t="s">
        <v>386</v>
      </c>
    </row>
    <row r="195" spans="1:20" ht="15" x14ac:dyDescent="0.2">
      <c r="A195" s="14">
        <v>6030250</v>
      </c>
      <c r="B195" s="15" t="s">
        <v>240</v>
      </c>
      <c r="C195" s="16"/>
      <c r="D195" s="11"/>
      <c r="E195" s="11"/>
      <c r="F195" s="11">
        <v>218.25</v>
      </c>
      <c r="G195" s="11">
        <v>2954.61</v>
      </c>
      <c r="H195" s="11">
        <v>4070.39</v>
      </c>
      <c r="I195" s="3"/>
      <c r="J195" s="11">
        <v>1500</v>
      </c>
      <c r="K195" s="11">
        <v>5000</v>
      </c>
      <c r="L195" s="3"/>
      <c r="M195" s="11">
        <v>2000</v>
      </c>
      <c r="N195" s="3"/>
      <c r="O195" s="11"/>
      <c r="P195" s="11">
        <f t="shared" si="70"/>
        <v>2000</v>
      </c>
      <c r="Q195" s="11"/>
      <c r="R195" s="38">
        <f t="shared" si="71"/>
        <v>0.33333333333333326</v>
      </c>
      <c r="S195" s="38">
        <f t="shared" si="72"/>
        <v>-0.6</v>
      </c>
    </row>
    <row r="196" spans="1:20" ht="15" x14ac:dyDescent="0.2">
      <c r="A196" s="14" t="s">
        <v>241</v>
      </c>
      <c r="B196" s="15" t="s">
        <v>242</v>
      </c>
      <c r="C196" s="16">
        <v>226</v>
      </c>
      <c r="D196" s="11">
        <v>161.86000000000001</v>
      </c>
      <c r="E196" s="11">
        <v>1384.45</v>
      </c>
      <c r="F196" s="11">
        <v>2698.66</v>
      </c>
      <c r="G196" s="11">
        <v>1736.48</v>
      </c>
      <c r="H196" s="11">
        <v>375.83</v>
      </c>
      <c r="I196" s="3"/>
      <c r="J196" s="11">
        <v>460</v>
      </c>
      <c r="K196" s="11">
        <v>500</v>
      </c>
      <c r="L196" s="3"/>
      <c r="M196" s="11">
        <f>421+65</f>
        <v>486</v>
      </c>
      <c r="N196" s="3"/>
      <c r="O196" s="11"/>
      <c r="P196" s="11">
        <f t="shared" si="70"/>
        <v>486</v>
      </c>
      <c r="Q196" s="11"/>
      <c r="R196" s="38">
        <f t="shared" si="71"/>
        <v>5.6521739130434678E-2</v>
      </c>
      <c r="S196" s="38">
        <f t="shared" si="72"/>
        <v>-2.8000000000000025E-2</v>
      </c>
    </row>
    <row r="197" spans="1:20" ht="15" x14ac:dyDescent="0.25">
      <c r="A197" s="14"/>
      <c r="B197" s="30" t="s">
        <v>424</v>
      </c>
      <c r="C197" s="59">
        <f>SUM(C190:C196)</f>
        <v>173984</v>
      </c>
      <c r="D197" s="59">
        <f>SUM(D190:D196)</f>
        <v>181445.80999999997</v>
      </c>
      <c r="E197" s="59">
        <f>SUM(E190:E196)</f>
        <v>137607.64000000001</v>
      </c>
      <c r="F197" s="59">
        <f>SUM(F190:F196)</f>
        <v>324712.37</v>
      </c>
      <c r="G197" s="59">
        <f>SUM(G190:G196)</f>
        <v>466689.69</v>
      </c>
      <c r="H197" s="59">
        <f>SUM(H190:H196)</f>
        <v>446616.41000000003</v>
      </c>
      <c r="I197" s="3"/>
      <c r="J197" s="59">
        <f>SUM(J190:J196)</f>
        <v>539457</v>
      </c>
      <c r="K197" s="59">
        <f>SUM(K190:K196)</f>
        <v>564400</v>
      </c>
      <c r="L197" s="3"/>
      <c r="M197" s="59">
        <f>SUM(M190:M196)</f>
        <v>595438</v>
      </c>
      <c r="N197" s="3"/>
      <c r="O197" s="44"/>
      <c r="P197" s="59">
        <f>SUM(P190:P196)</f>
        <v>595438</v>
      </c>
      <c r="Q197" s="11"/>
      <c r="R197" s="38"/>
    </row>
    <row r="198" spans="1:20" ht="15" x14ac:dyDescent="0.2">
      <c r="A198" s="14" t="s">
        <v>243</v>
      </c>
      <c r="B198" s="15" t="s">
        <v>134</v>
      </c>
      <c r="C198" s="16">
        <v>157168</v>
      </c>
      <c r="D198" s="11">
        <v>166288.71</v>
      </c>
      <c r="E198" s="11">
        <v>205211.96</v>
      </c>
      <c r="F198" s="11">
        <v>202842.41</v>
      </c>
      <c r="G198" s="11">
        <v>179439.55</v>
      </c>
      <c r="H198" s="11">
        <v>167274.65</v>
      </c>
      <c r="I198" s="3"/>
      <c r="J198" s="11">
        <v>196737</v>
      </c>
      <c r="K198" s="11">
        <v>190000</v>
      </c>
      <c r="L198" s="3"/>
      <c r="M198" s="11">
        <v>171500</v>
      </c>
      <c r="N198" s="3"/>
      <c r="O198" s="11"/>
      <c r="P198" s="11">
        <f t="shared" si="70"/>
        <v>171500</v>
      </c>
      <c r="Q198" s="11"/>
      <c r="R198" s="38">
        <f t="shared" si="71"/>
        <v>-0.12827785317454266</v>
      </c>
      <c r="S198" s="38">
        <f t="shared" si="72"/>
        <v>-9.7368421052631549E-2</v>
      </c>
      <c r="T198" s="53" t="s">
        <v>376</v>
      </c>
    </row>
    <row r="199" spans="1:20" ht="15" x14ac:dyDescent="0.2">
      <c r="A199" s="14">
        <v>6030301</v>
      </c>
      <c r="B199" s="15" t="s">
        <v>348</v>
      </c>
      <c r="C199" s="16"/>
      <c r="D199" s="11"/>
      <c r="E199" s="11"/>
      <c r="F199" s="11"/>
      <c r="G199" s="11"/>
      <c r="H199" s="11">
        <v>6798.08</v>
      </c>
      <c r="I199" s="3"/>
      <c r="J199" s="11"/>
      <c r="K199" s="11"/>
      <c r="L199" s="3"/>
      <c r="M199" s="11">
        <v>7000</v>
      </c>
      <c r="N199" s="3"/>
      <c r="O199" s="11"/>
      <c r="P199" s="11">
        <f t="shared" si="70"/>
        <v>7000</v>
      </c>
      <c r="Q199" s="11"/>
      <c r="R199" s="38"/>
      <c r="T199" s="53"/>
    </row>
    <row r="200" spans="1:20" ht="15" x14ac:dyDescent="0.2">
      <c r="A200" s="14" t="s">
        <v>244</v>
      </c>
      <c r="B200" s="15" t="s">
        <v>136</v>
      </c>
      <c r="C200" s="16">
        <v>13223</v>
      </c>
      <c r="D200" s="11">
        <v>20974.02</v>
      </c>
      <c r="E200" s="11">
        <v>19302.919999999998</v>
      </c>
      <c r="F200" s="11">
        <v>17279.099999999999</v>
      </c>
      <c r="G200" s="11">
        <v>15072.02</v>
      </c>
      <c r="H200" s="11">
        <v>13699.18</v>
      </c>
      <c r="I200" s="3"/>
      <c r="J200" s="11">
        <v>19680</v>
      </c>
      <c r="K200" s="11">
        <v>20000</v>
      </c>
      <c r="L200" s="3"/>
      <c r="M200" s="11">
        <v>16065</v>
      </c>
      <c r="N200" s="3"/>
      <c r="O200" s="11"/>
      <c r="P200" s="11">
        <f t="shared" si="70"/>
        <v>16065</v>
      </c>
      <c r="Q200" s="11"/>
      <c r="R200" s="38">
        <f t="shared" si="71"/>
        <v>-0.18368902439024393</v>
      </c>
      <c r="S200" s="38">
        <f t="shared" si="72"/>
        <v>-0.19674999999999998</v>
      </c>
    </row>
    <row r="201" spans="1:20" ht="15" x14ac:dyDescent="0.2">
      <c r="A201" s="14" t="s">
        <v>245</v>
      </c>
      <c r="B201" s="15" t="s">
        <v>176</v>
      </c>
      <c r="C201" s="16">
        <v>3513</v>
      </c>
      <c r="D201" s="11">
        <v>3147.89</v>
      </c>
      <c r="E201" s="11">
        <v>2830.45</v>
      </c>
      <c r="F201" s="11">
        <v>11016.29</v>
      </c>
      <c r="G201" s="11">
        <v>17254.490000000002</v>
      </c>
      <c r="H201" s="11">
        <v>6060.08</v>
      </c>
      <c r="I201" s="3"/>
      <c r="J201" s="11">
        <v>10000</v>
      </c>
      <c r="K201" s="11">
        <v>10000</v>
      </c>
      <c r="L201" s="3"/>
      <c r="M201" s="11">
        <v>9000</v>
      </c>
      <c r="N201" s="3"/>
      <c r="O201" s="11"/>
      <c r="P201" s="11">
        <f t="shared" si="70"/>
        <v>9000</v>
      </c>
      <c r="Q201" s="11"/>
      <c r="R201" s="38">
        <f t="shared" si="71"/>
        <v>-9.9999999999999978E-2</v>
      </c>
      <c r="S201" s="38">
        <f t="shared" si="72"/>
        <v>-9.9999999999999978E-2</v>
      </c>
    </row>
    <row r="202" spans="1:20" ht="15" x14ac:dyDescent="0.2">
      <c r="A202" s="14" t="s">
        <v>246</v>
      </c>
      <c r="B202" s="15" t="s">
        <v>138</v>
      </c>
      <c r="C202" s="16">
        <v>7876</v>
      </c>
      <c r="D202" s="11">
        <v>8659.57</v>
      </c>
      <c r="E202" s="11">
        <v>4580.3500000000004</v>
      </c>
      <c r="F202" s="11">
        <v>5397.32</v>
      </c>
      <c r="G202" s="11">
        <v>4252.72</v>
      </c>
      <c r="H202" s="11">
        <v>6098.89</v>
      </c>
      <c r="I202" s="3"/>
      <c r="J202" s="11">
        <v>6710</v>
      </c>
      <c r="K202" s="11">
        <v>6700</v>
      </c>
      <c r="L202" s="3"/>
      <c r="M202" s="11">
        <v>6100</v>
      </c>
      <c r="N202" s="3"/>
      <c r="O202" s="11"/>
      <c r="P202" s="11">
        <f t="shared" si="70"/>
        <v>6100</v>
      </c>
      <c r="Q202" s="11"/>
      <c r="R202" s="38">
        <f t="shared" si="71"/>
        <v>-9.0909090909090939E-2</v>
      </c>
      <c r="S202" s="38">
        <f t="shared" si="72"/>
        <v>-8.9552238805970186E-2</v>
      </c>
    </row>
    <row r="203" spans="1:20" ht="15" x14ac:dyDescent="0.25">
      <c r="A203" s="14"/>
      <c r="B203" s="30" t="s">
        <v>396</v>
      </c>
      <c r="C203" s="59">
        <f>SUM(C198:C202)</f>
        <v>181780</v>
      </c>
      <c r="D203" s="59">
        <f>SUM(D198:D202)</f>
        <v>199070.19</v>
      </c>
      <c r="E203" s="59">
        <f>SUM(E198:E202)</f>
        <v>231925.68000000002</v>
      </c>
      <c r="F203" s="59">
        <f>SUM(F198:F202)</f>
        <v>236535.12000000002</v>
      </c>
      <c r="G203" s="59">
        <f>SUM(G198:G202)</f>
        <v>216018.77999999997</v>
      </c>
      <c r="H203" s="59">
        <f>SUM(H198:H202)</f>
        <v>199930.87999999998</v>
      </c>
      <c r="I203" s="3"/>
      <c r="J203" s="59">
        <f>SUM(J198:J202)</f>
        <v>233127</v>
      </c>
      <c r="K203" s="59">
        <f>SUM(K198:K202)</f>
        <v>226700</v>
      </c>
      <c r="L203" s="3"/>
      <c r="M203" s="59">
        <f>SUM(M198:M202)</f>
        <v>209665</v>
      </c>
      <c r="N203" s="3"/>
      <c r="O203" s="44"/>
      <c r="P203" s="59">
        <f>SUM(P198:P202)</f>
        <v>209665</v>
      </c>
      <c r="Q203" s="11"/>
      <c r="R203" s="38"/>
    </row>
    <row r="204" spans="1:20" ht="15" x14ac:dyDescent="0.2">
      <c r="A204" s="14" t="s">
        <v>220</v>
      </c>
      <c r="B204" s="15" t="s">
        <v>221</v>
      </c>
      <c r="C204" s="16">
        <v>0</v>
      </c>
      <c r="D204" s="11">
        <v>2250</v>
      </c>
      <c r="E204" s="11">
        <v>9570</v>
      </c>
      <c r="F204" s="11">
        <v>50469.64</v>
      </c>
      <c r="G204" s="11">
        <v>31345</v>
      </c>
      <c r="H204" s="11">
        <v>20995</v>
      </c>
      <c r="I204" s="3"/>
      <c r="J204" s="11">
        <v>50000</v>
      </c>
      <c r="K204" s="11">
        <v>50000</v>
      </c>
      <c r="L204" s="3"/>
      <c r="M204" s="11">
        <v>25000</v>
      </c>
      <c r="N204" s="3"/>
      <c r="O204" s="11"/>
      <c r="P204" s="11">
        <f>+O204+M204</f>
        <v>25000</v>
      </c>
      <c r="Q204" s="11"/>
      <c r="R204" s="38">
        <f>+M204/J204-1</f>
        <v>-0.5</v>
      </c>
      <c r="S204" s="38">
        <f>+M204/K204-1</f>
        <v>-0.5</v>
      </c>
      <c r="T204" s="50" t="s">
        <v>385</v>
      </c>
    </row>
    <row r="205" spans="1:20" ht="15" x14ac:dyDescent="0.2">
      <c r="A205" s="14" t="s">
        <v>247</v>
      </c>
      <c r="B205" s="15" t="s">
        <v>140</v>
      </c>
      <c r="C205" s="16"/>
      <c r="D205" s="11"/>
      <c r="E205" s="11"/>
      <c r="F205" s="11"/>
      <c r="G205" s="11"/>
      <c r="H205" s="11"/>
      <c r="I205" s="3"/>
      <c r="J205" s="11"/>
      <c r="K205" s="11"/>
      <c r="L205" s="3"/>
      <c r="M205" s="11"/>
      <c r="N205" s="3"/>
      <c r="O205" s="11"/>
      <c r="P205" s="11"/>
      <c r="Q205" s="11"/>
      <c r="R205" s="38"/>
      <c r="T205" s="50" t="s">
        <v>380</v>
      </c>
    </row>
    <row r="206" spans="1:20" ht="15" x14ac:dyDescent="0.2">
      <c r="A206" s="14" t="s">
        <v>248</v>
      </c>
      <c r="B206" s="15" t="s">
        <v>142</v>
      </c>
      <c r="C206" s="16"/>
      <c r="D206" s="11"/>
      <c r="E206" s="11"/>
      <c r="F206" s="11"/>
      <c r="G206" s="11"/>
      <c r="H206" s="11"/>
      <c r="I206" s="3"/>
      <c r="J206" s="11"/>
      <c r="K206" s="11"/>
      <c r="L206" s="3"/>
      <c r="M206" s="11"/>
      <c r="N206" s="3"/>
      <c r="O206" s="11"/>
      <c r="P206" s="11"/>
      <c r="Q206" s="11"/>
      <c r="R206" s="38"/>
      <c r="T206" s="50" t="s">
        <v>380</v>
      </c>
    </row>
    <row r="207" spans="1:20" ht="15" x14ac:dyDescent="0.2">
      <c r="A207" s="14" t="s">
        <v>249</v>
      </c>
      <c r="B207" s="15" t="s">
        <v>144</v>
      </c>
      <c r="C207" s="16"/>
      <c r="D207" s="11"/>
      <c r="E207" s="11"/>
      <c r="F207" s="11"/>
      <c r="G207" s="11"/>
      <c r="H207" s="11"/>
      <c r="I207" s="3"/>
      <c r="J207" s="11"/>
      <c r="K207" s="11"/>
      <c r="L207" s="3"/>
      <c r="M207" s="11"/>
      <c r="N207" s="3"/>
      <c r="O207" s="11"/>
      <c r="P207" s="11"/>
      <c r="Q207" s="11"/>
      <c r="R207" s="38"/>
      <c r="T207" s="50" t="s">
        <v>380</v>
      </c>
    </row>
    <row r="208" spans="1:20" ht="15" x14ac:dyDescent="0.2">
      <c r="A208" s="14" t="s">
        <v>250</v>
      </c>
      <c r="B208" s="15" t="s">
        <v>146</v>
      </c>
      <c r="C208" s="16"/>
      <c r="D208" s="11"/>
      <c r="E208" s="11"/>
      <c r="F208" s="11"/>
      <c r="G208" s="11"/>
      <c r="H208" s="11"/>
      <c r="I208" s="3"/>
      <c r="J208" s="11"/>
      <c r="K208" s="11"/>
      <c r="L208" s="3"/>
      <c r="M208" s="11"/>
      <c r="N208" s="3"/>
      <c r="O208" s="11"/>
      <c r="P208" s="11"/>
      <c r="Q208" s="11"/>
      <c r="R208" s="38"/>
      <c r="T208" s="50" t="s">
        <v>380</v>
      </c>
    </row>
    <row r="209" spans="1:20" ht="15" x14ac:dyDescent="0.2">
      <c r="A209" s="14" t="s">
        <v>251</v>
      </c>
      <c r="B209" s="15" t="s">
        <v>182</v>
      </c>
      <c r="C209" s="16"/>
      <c r="D209" s="11"/>
      <c r="E209" s="11"/>
      <c r="F209" s="11"/>
      <c r="G209" s="11"/>
      <c r="H209" s="11"/>
      <c r="I209" s="3"/>
      <c r="J209" s="11"/>
      <c r="K209" s="11"/>
      <c r="L209" s="3"/>
      <c r="M209" s="11"/>
      <c r="N209" s="3"/>
      <c r="O209" s="11"/>
      <c r="P209" s="11"/>
      <c r="Q209" s="11"/>
      <c r="R209" s="38"/>
      <c r="T209" s="50" t="s">
        <v>380</v>
      </c>
    </row>
    <row r="210" spans="1:20" ht="15" x14ac:dyDescent="0.2">
      <c r="A210" s="14">
        <v>6030603</v>
      </c>
      <c r="B210" s="15" t="s">
        <v>252</v>
      </c>
      <c r="C210" s="16"/>
      <c r="D210" s="11"/>
      <c r="E210" s="11"/>
      <c r="F210" s="11"/>
      <c r="G210" s="11"/>
      <c r="H210" s="11"/>
      <c r="I210" s="3"/>
      <c r="J210" s="11"/>
      <c r="K210" s="11"/>
      <c r="L210" s="3"/>
      <c r="M210" s="11"/>
      <c r="N210" s="3"/>
      <c r="O210" s="11"/>
      <c r="P210" s="11"/>
      <c r="Q210" s="11"/>
      <c r="R210" s="38"/>
      <c r="T210" s="50" t="s">
        <v>380</v>
      </c>
    </row>
    <row r="211" spans="1:20" ht="15" x14ac:dyDescent="0.2">
      <c r="A211" s="14">
        <v>6030605</v>
      </c>
      <c r="B211" s="15" t="s">
        <v>148</v>
      </c>
      <c r="C211" s="16"/>
      <c r="D211" s="11"/>
      <c r="E211" s="11"/>
      <c r="F211" s="11"/>
      <c r="G211" s="11"/>
      <c r="H211" s="11"/>
      <c r="I211" s="3"/>
      <c r="J211" s="11"/>
      <c r="K211" s="11"/>
      <c r="L211" s="3"/>
      <c r="M211" s="11"/>
      <c r="N211" s="3"/>
      <c r="O211" s="11"/>
      <c r="P211" s="11"/>
      <c r="Q211" s="11"/>
      <c r="R211" s="38"/>
      <c r="T211" s="50" t="s">
        <v>380</v>
      </c>
    </row>
    <row r="212" spans="1:20" ht="15" x14ac:dyDescent="0.2">
      <c r="A212" s="14" t="s">
        <v>253</v>
      </c>
      <c r="B212" s="15" t="s">
        <v>254</v>
      </c>
      <c r="C212" s="16"/>
      <c r="D212" s="11"/>
      <c r="E212" s="11"/>
      <c r="F212" s="11"/>
      <c r="G212" s="11"/>
      <c r="H212" s="11"/>
      <c r="I212" s="3"/>
      <c r="J212" s="11"/>
      <c r="K212" s="11"/>
      <c r="L212" s="3"/>
      <c r="M212" s="11"/>
      <c r="N212" s="3"/>
      <c r="O212" s="11"/>
      <c r="P212" s="11"/>
      <c r="Q212" s="11"/>
      <c r="R212" s="38"/>
      <c r="T212" s="50" t="s">
        <v>380</v>
      </c>
    </row>
    <row r="213" spans="1:20" ht="15" x14ac:dyDescent="0.2">
      <c r="A213" s="14" t="s">
        <v>255</v>
      </c>
      <c r="B213" s="15" t="s">
        <v>152</v>
      </c>
      <c r="C213" s="16">
        <v>10778</v>
      </c>
      <c r="D213" s="11">
        <v>10367.9</v>
      </c>
      <c r="E213" s="11">
        <v>12796.5</v>
      </c>
      <c r="F213" s="11">
        <v>5873</v>
      </c>
      <c r="G213" s="11">
        <v>1834</v>
      </c>
      <c r="H213" s="11">
        <v>168.96</v>
      </c>
      <c r="I213" s="3"/>
      <c r="J213" s="11">
        <v>5000</v>
      </c>
      <c r="K213" s="11">
        <v>500</v>
      </c>
      <c r="L213" s="3"/>
      <c r="M213" s="11">
        <v>5000</v>
      </c>
      <c r="N213" s="3"/>
      <c r="O213" s="11"/>
      <c r="P213" s="11">
        <f t="shared" ref="P213:P222" si="73">+O213+M213</f>
        <v>5000</v>
      </c>
      <c r="Q213" s="11"/>
      <c r="R213" s="38">
        <f t="shared" si="71"/>
        <v>0</v>
      </c>
      <c r="S213" s="38">
        <f t="shared" ref="S213:S227" si="74">+M213/K213-1</f>
        <v>9</v>
      </c>
    </row>
    <row r="214" spans="1:20" ht="15" x14ac:dyDescent="0.2">
      <c r="A214" s="14">
        <v>6031125</v>
      </c>
      <c r="B214" s="15" t="s">
        <v>256</v>
      </c>
      <c r="C214" s="16"/>
      <c r="D214" s="11"/>
      <c r="E214" s="11"/>
      <c r="F214" s="11"/>
      <c r="G214" s="11">
        <v>3693</v>
      </c>
      <c r="H214" s="11">
        <v>1200</v>
      </c>
      <c r="I214" s="3"/>
      <c r="J214" s="11">
        <v>5000</v>
      </c>
      <c r="K214" s="11">
        <v>5000</v>
      </c>
      <c r="L214" s="3"/>
      <c r="M214" s="11">
        <v>5000</v>
      </c>
      <c r="N214" s="3"/>
      <c r="O214" s="11"/>
      <c r="P214" s="11">
        <f t="shared" si="73"/>
        <v>5000</v>
      </c>
      <c r="Q214" s="11"/>
      <c r="R214" s="38">
        <f t="shared" si="71"/>
        <v>0</v>
      </c>
      <c r="S214" s="38">
        <f t="shared" si="74"/>
        <v>0</v>
      </c>
    </row>
    <row r="215" spans="1:20" ht="15" x14ac:dyDescent="0.2">
      <c r="A215" s="14" t="s">
        <v>257</v>
      </c>
      <c r="B215" s="15" t="s">
        <v>154</v>
      </c>
      <c r="C215" s="16">
        <v>79702</v>
      </c>
      <c r="D215" s="11">
        <v>130573.42</v>
      </c>
      <c r="E215" s="11">
        <v>122123.95</v>
      </c>
      <c r="F215" s="11">
        <v>133717.14000000001</v>
      </c>
      <c r="G215" s="11">
        <v>164528.35999999999</v>
      </c>
      <c r="H215" s="11">
        <v>112465.79</v>
      </c>
      <c r="I215" s="3"/>
      <c r="J215" s="11">
        <v>150000</v>
      </c>
      <c r="K215" s="11">
        <v>150000</v>
      </c>
      <c r="L215" s="3"/>
      <c r="M215" s="11">
        <v>150000</v>
      </c>
      <c r="N215" s="3"/>
      <c r="O215" s="11"/>
      <c r="P215" s="11">
        <f t="shared" si="73"/>
        <v>150000</v>
      </c>
      <c r="Q215" s="11"/>
      <c r="R215" s="38">
        <f t="shared" si="71"/>
        <v>0</v>
      </c>
      <c r="S215" s="38">
        <f t="shared" si="74"/>
        <v>0</v>
      </c>
    </row>
    <row r="216" spans="1:20" ht="15" x14ac:dyDescent="0.2">
      <c r="A216" s="14" t="s">
        <v>258</v>
      </c>
      <c r="B216" s="15" t="s">
        <v>156</v>
      </c>
      <c r="C216" s="16">
        <v>1251</v>
      </c>
      <c r="D216" s="11">
        <v>1205.47</v>
      </c>
      <c r="E216" s="11">
        <v>676.74</v>
      </c>
      <c r="F216" s="11">
        <v>26669.61</v>
      </c>
      <c r="G216" s="11">
        <v>26608.71</v>
      </c>
      <c r="H216" s="11">
        <v>108689.9</v>
      </c>
      <c r="I216" s="3"/>
      <c r="J216" s="11">
        <v>80000</v>
      </c>
      <c r="K216" s="11">
        <v>125000</v>
      </c>
      <c r="L216" s="3"/>
      <c r="M216" s="11">
        <v>110000</v>
      </c>
      <c r="N216" s="3"/>
      <c r="O216" s="11"/>
      <c r="P216" s="11">
        <f t="shared" si="73"/>
        <v>110000</v>
      </c>
      <c r="Q216" s="11"/>
      <c r="R216" s="38">
        <f t="shared" si="71"/>
        <v>0.375</v>
      </c>
      <c r="S216" s="38">
        <f t="shared" si="74"/>
        <v>-0.12</v>
      </c>
      <c r="T216" s="50" t="s">
        <v>387</v>
      </c>
    </row>
    <row r="217" spans="1:20" ht="15" x14ac:dyDescent="0.2">
      <c r="A217" s="14" t="s">
        <v>259</v>
      </c>
      <c r="B217" s="15" t="s">
        <v>260</v>
      </c>
      <c r="C217" s="16">
        <v>12089</v>
      </c>
      <c r="D217" s="11">
        <v>7365.48</v>
      </c>
      <c r="E217" s="11">
        <v>12852.77</v>
      </c>
      <c r="F217" s="11">
        <v>30031.31</v>
      </c>
      <c r="G217" s="11">
        <v>16513.04</v>
      </c>
      <c r="H217" s="11">
        <v>9873.4599999999991</v>
      </c>
      <c r="I217" s="3"/>
      <c r="J217" s="11">
        <v>12000</v>
      </c>
      <c r="K217" s="11">
        <v>20000</v>
      </c>
      <c r="L217" s="3"/>
      <c r="M217" s="11">
        <v>20000</v>
      </c>
      <c r="N217" s="3"/>
      <c r="O217" s="11"/>
      <c r="P217" s="11">
        <f t="shared" si="73"/>
        <v>20000</v>
      </c>
      <c r="Q217" s="11"/>
      <c r="R217" s="38">
        <f t="shared" si="71"/>
        <v>0.66666666666666674</v>
      </c>
      <c r="S217" s="38">
        <f t="shared" si="74"/>
        <v>0</v>
      </c>
    </row>
    <row r="218" spans="1:20" ht="15" x14ac:dyDescent="0.2">
      <c r="A218" s="14">
        <v>6031425</v>
      </c>
      <c r="B218" s="15" t="s">
        <v>261</v>
      </c>
      <c r="C218" s="16">
        <v>0</v>
      </c>
      <c r="D218" s="11"/>
      <c r="E218" s="11"/>
      <c r="F218" s="11">
        <v>95</v>
      </c>
      <c r="G218" s="11">
        <v>896.3</v>
      </c>
      <c r="H218" s="11">
        <v>135</v>
      </c>
      <c r="I218" s="3"/>
      <c r="J218" s="11">
        <v>2000</v>
      </c>
      <c r="K218" s="11">
        <v>2000</v>
      </c>
      <c r="L218" s="3"/>
      <c r="M218" s="11">
        <v>2000</v>
      </c>
      <c r="N218" s="3"/>
      <c r="O218" s="11"/>
      <c r="P218" s="11">
        <f t="shared" si="73"/>
        <v>2000</v>
      </c>
      <c r="Q218" s="11"/>
      <c r="R218" s="38">
        <f t="shared" si="71"/>
        <v>0</v>
      </c>
      <c r="S218" s="38">
        <f t="shared" si="74"/>
        <v>0</v>
      </c>
    </row>
    <row r="219" spans="1:20" ht="15" x14ac:dyDescent="0.2">
      <c r="A219" s="14">
        <v>6031450</v>
      </c>
      <c r="B219" s="15" t="s">
        <v>262</v>
      </c>
      <c r="C219" s="16">
        <v>0</v>
      </c>
      <c r="D219" s="11"/>
      <c r="E219" s="11"/>
      <c r="F219" s="11">
        <v>3769.13</v>
      </c>
      <c r="G219" s="11">
        <v>950</v>
      </c>
      <c r="H219" s="11">
        <v>1329</v>
      </c>
      <c r="I219" s="3"/>
      <c r="J219" s="11">
        <v>2000</v>
      </c>
      <c r="K219" s="11">
        <v>2000</v>
      </c>
      <c r="L219" s="3"/>
      <c r="M219" s="11">
        <v>2000</v>
      </c>
      <c r="N219" s="3"/>
      <c r="O219" s="11"/>
      <c r="P219" s="11">
        <f t="shared" si="73"/>
        <v>2000</v>
      </c>
      <c r="Q219" s="11"/>
      <c r="R219" s="38">
        <f t="shared" si="71"/>
        <v>0</v>
      </c>
      <c r="S219" s="38">
        <f t="shared" si="74"/>
        <v>0</v>
      </c>
    </row>
    <row r="220" spans="1:20" ht="15" x14ac:dyDescent="0.2">
      <c r="A220" s="14">
        <v>6031475</v>
      </c>
      <c r="B220" s="15" t="s">
        <v>263</v>
      </c>
      <c r="C220" s="16">
        <v>0</v>
      </c>
      <c r="D220" s="11"/>
      <c r="E220" s="11"/>
      <c r="F220" s="11">
        <v>24300.38</v>
      </c>
      <c r="G220" s="11">
        <v>27364.85</v>
      </c>
      <c r="H220" s="11">
        <v>9863</v>
      </c>
      <c r="I220" s="3"/>
      <c r="J220" s="11">
        <v>25000</v>
      </c>
      <c r="K220" s="11">
        <v>25000</v>
      </c>
      <c r="L220" s="3"/>
      <c r="M220" s="11">
        <v>20000</v>
      </c>
      <c r="N220" s="3"/>
      <c r="O220" s="11"/>
      <c r="P220" s="11">
        <f t="shared" si="73"/>
        <v>20000</v>
      </c>
      <c r="Q220" s="11"/>
      <c r="R220" s="38">
        <f t="shared" si="71"/>
        <v>-0.19999999999999996</v>
      </c>
      <c r="S220" s="38">
        <f t="shared" si="74"/>
        <v>-0.19999999999999996</v>
      </c>
    </row>
    <row r="221" spans="1:20" ht="15" x14ac:dyDescent="0.2">
      <c r="A221" s="14" t="s">
        <v>264</v>
      </c>
      <c r="B221" s="15" t="s">
        <v>160</v>
      </c>
      <c r="C221" s="16"/>
      <c r="D221" s="11"/>
      <c r="E221" s="11"/>
      <c r="F221" s="11"/>
      <c r="G221" s="11"/>
      <c r="H221" s="11"/>
      <c r="I221" s="3"/>
      <c r="J221" s="11"/>
      <c r="K221" s="11"/>
      <c r="L221" s="3"/>
      <c r="M221" s="11"/>
      <c r="N221" s="3"/>
      <c r="O221" s="11"/>
      <c r="P221" s="11">
        <f t="shared" si="73"/>
        <v>0</v>
      </c>
      <c r="Q221" s="11"/>
      <c r="R221" s="38"/>
      <c r="T221" s="50" t="s">
        <v>380</v>
      </c>
    </row>
    <row r="222" spans="1:20" ht="15" x14ac:dyDescent="0.2">
      <c r="A222" s="14">
        <v>6031550</v>
      </c>
      <c r="B222" s="15" t="s">
        <v>265</v>
      </c>
      <c r="C222" s="16">
        <v>0</v>
      </c>
      <c r="D222" s="11"/>
      <c r="E222" s="11"/>
      <c r="F222" s="11">
        <v>38652.86</v>
      </c>
      <c r="G222" s="11">
        <v>23090.28</v>
      </c>
      <c r="H222" s="11">
        <v>6561.2</v>
      </c>
      <c r="I222" s="3"/>
      <c r="J222" s="11">
        <v>12000</v>
      </c>
      <c r="K222" s="11">
        <v>12000</v>
      </c>
      <c r="L222" s="3"/>
      <c r="M222" s="11">
        <v>10000</v>
      </c>
      <c r="N222" s="3"/>
      <c r="O222" s="11"/>
      <c r="P222" s="11">
        <f t="shared" si="73"/>
        <v>10000</v>
      </c>
      <c r="Q222" s="11"/>
      <c r="R222" s="38">
        <f t="shared" si="71"/>
        <v>-0.16666666666666663</v>
      </c>
      <c r="S222" s="38">
        <f t="shared" si="74"/>
        <v>-0.16666666666666663</v>
      </c>
    </row>
    <row r="223" spans="1:20" ht="15" x14ac:dyDescent="0.2">
      <c r="A223" s="14">
        <v>6031600</v>
      </c>
      <c r="B223" s="15" t="s">
        <v>162</v>
      </c>
      <c r="C223" s="16">
        <v>0</v>
      </c>
      <c r="D223" s="11"/>
      <c r="E223" s="11"/>
      <c r="F223" s="11">
        <v>127.5</v>
      </c>
      <c r="G223" s="11">
        <v>0</v>
      </c>
      <c r="H223" s="11">
        <v>0</v>
      </c>
      <c r="I223" s="3"/>
      <c r="J223" s="11"/>
      <c r="K223" s="11"/>
      <c r="L223" s="3"/>
      <c r="M223" s="11"/>
      <c r="N223" s="3"/>
      <c r="O223" s="11"/>
      <c r="P223" s="11"/>
      <c r="Q223" s="11"/>
      <c r="R223" s="38"/>
    </row>
    <row r="224" spans="1:20" ht="15" x14ac:dyDescent="0.2">
      <c r="A224" s="14" t="s">
        <v>266</v>
      </c>
      <c r="B224" s="15" t="s">
        <v>80</v>
      </c>
      <c r="C224" s="16">
        <v>7736</v>
      </c>
      <c r="D224" s="11">
        <v>5581.8</v>
      </c>
      <c r="E224" s="11">
        <v>2006.93</v>
      </c>
      <c r="F224" s="11">
        <v>9088.06</v>
      </c>
      <c r="G224" s="11">
        <v>14869.83</v>
      </c>
      <c r="H224" s="11">
        <v>14390.62</v>
      </c>
      <c r="I224" s="3"/>
      <c r="J224" s="11">
        <v>10000</v>
      </c>
      <c r="K224" s="11">
        <v>17500</v>
      </c>
      <c r="L224" s="3"/>
      <c r="M224" s="11">
        <v>15000</v>
      </c>
      <c r="N224" s="3"/>
      <c r="O224" s="11"/>
      <c r="P224" s="11">
        <f t="shared" ref="P224:P227" si="75">+O224+M224</f>
        <v>15000</v>
      </c>
      <c r="Q224" s="11"/>
      <c r="R224" s="38">
        <f t="shared" si="71"/>
        <v>0.5</v>
      </c>
      <c r="S224" s="38">
        <f t="shared" si="74"/>
        <v>-0.1428571428571429</v>
      </c>
    </row>
    <row r="225" spans="1:26" ht="15" x14ac:dyDescent="0.2">
      <c r="A225" s="14" t="s">
        <v>267</v>
      </c>
      <c r="B225" s="15" t="s">
        <v>164</v>
      </c>
      <c r="C225" s="16">
        <v>22395</v>
      </c>
      <c r="D225" s="11">
        <v>13233.24</v>
      </c>
      <c r="E225" s="11">
        <v>6173.44</v>
      </c>
      <c r="F225" s="11">
        <v>18739.400000000001</v>
      </c>
      <c r="G225" s="11">
        <v>51377.85</v>
      </c>
      <c r="H225" s="11">
        <v>2030</v>
      </c>
      <c r="I225" s="3"/>
      <c r="J225" s="11">
        <v>1000</v>
      </c>
      <c r="K225" s="11">
        <v>2500</v>
      </c>
      <c r="L225" s="3"/>
      <c r="M225" s="11">
        <v>2500</v>
      </c>
      <c r="N225" s="3"/>
      <c r="O225" s="11"/>
      <c r="P225" s="11">
        <f t="shared" si="75"/>
        <v>2500</v>
      </c>
      <c r="Q225" s="11"/>
      <c r="R225" s="38">
        <f t="shared" si="71"/>
        <v>1.5</v>
      </c>
      <c r="S225" s="38">
        <f t="shared" si="74"/>
        <v>0</v>
      </c>
    </row>
    <row r="226" spans="1:26" ht="15" x14ac:dyDescent="0.2">
      <c r="A226" s="14" t="s">
        <v>268</v>
      </c>
      <c r="B226" s="15" t="s">
        <v>269</v>
      </c>
      <c r="C226" s="16">
        <v>0</v>
      </c>
      <c r="D226" s="11">
        <v>1016.49</v>
      </c>
      <c r="E226" s="11">
        <v>746.03</v>
      </c>
      <c r="F226" s="11">
        <v>3306.25</v>
      </c>
      <c r="G226" s="11">
        <v>1580.17</v>
      </c>
      <c r="H226" s="11">
        <v>3474.94</v>
      </c>
      <c r="I226" s="3"/>
      <c r="J226" s="11">
        <v>1500</v>
      </c>
      <c r="K226" s="11">
        <v>4000</v>
      </c>
      <c r="L226" s="3"/>
      <c r="M226" s="11">
        <v>3000</v>
      </c>
      <c r="N226" s="3"/>
      <c r="O226" s="11"/>
      <c r="P226" s="11">
        <f t="shared" si="75"/>
        <v>3000</v>
      </c>
      <c r="Q226" s="11"/>
      <c r="R226" s="38">
        <f t="shared" si="71"/>
        <v>1</v>
      </c>
      <c r="S226" s="38">
        <f t="shared" si="74"/>
        <v>-0.25</v>
      </c>
    </row>
    <row r="227" spans="1:26" ht="15" x14ac:dyDescent="0.2">
      <c r="A227" s="14" t="s">
        <v>270</v>
      </c>
      <c r="B227" s="15" t="s">
        <v>191</v>
      </c>
      <c r="C227" s="16">
        <v>69</v>
      </c>
      <c r="D227" s="11">
        <v>141252</v>
      </c>
      <c r="E227" s="11">
        <v>86987.44</v>
      </c>
      <c r="F227" s="11">
        <v>13770.45</v>
      </c>
      <c r="G227" s="11">
        <v>28536.19</v>
      </c>
      <c r="H227" s="11">
        <v>24958.5</v>
      </c>
      <c r="I227" s="3"/>
      <c r="J227" s="11">
        <v>12000</v>
      </c>
      <c r="K227" s="11">
        <v>30000</v>
      </c>
      <c r="L227" s="3"/>
      <c r="M227" s="11">
        <v>20000</v>
      </c>
      <c r="N227" s="3"/>
      <c r="O227" s="11"/>
      <c r="P227" s="11">
        <f t="shared" si="75"/>
        <v>20000</v>
      </c>
      <c r="Q227" s="11"/>
      <c r="R227" s="38">
        <f t="shared" si="71"/>
        <v>0.66666666666666674</v>
      </c>
      <c r="S227" s="38">
        <f t="shared" si="74"/>
        <v>-0.33333333333333337</v>
      </c>
    </row>
    <row r="228" spans="1:26" ht="15" x14ac:dyDescent="0.2">
      <c r="A228" s="21"/>
      <c r="B228" s="22"/>
      <c r="C228" s="16"/>
      <c r="D228" s="11"/>
      <c r="E228" s="11"/>
      <c r="F228" s="11"/>
      <c r="G228" s="11"/>
      <c r="H228" s="11"/>
      <c r="I228" s="3"/>
      <c r="J228" s="11"/>
      <c r="K228" s="11"/>
      <c r="L228" s="3"/>
      <c r="M228" s="11"/>
      <c r="N228" s="3"/>
      <c r="O228" s="11"/>
      <c r="P228" s="11"/>
      <c r="Q228" s="11"/>
      <c r="R228" s="11"/>
    </row>
    <row r="229" spans="1:26" ht="15" x14ac:dyDescent="0.25">
      <c r="A229" s="17"/>
      <c r="B229" s="71" t="s">
        <v>425</v>
      </c>
      <c r="C229" s="74">
        <f>SUM(C203:C228)+C197+C189</f>
        <v>1489950</v>
      </c>
      <c r="D229" s="74">
        <f>SUM(D203:D228)+D197+D189</f>
        <v>1832095.0899999999</v>
      </c>
      <c r="E229" s="74">
        <f>SUM(E203:E228)+E197+E189</f>
        <v>1638557.4900000002</v>
      </c>
      <c r="F229" s="74">
        <f>SUM(F203:F228)+F197+F189</f>
        <v>2407665.65</v>
      </c>
      <c r="G229" s="74">
        <f>SUM(G203:G228)+G197+G189</f>
        <v>2893635</v>
      </c>
      <c r="H229" s="74">
        <f>SUM(H203:H228)+H197+H189</f>
        <v>2618052.7799999998</v>
      </c>
      <c r="I229" s="73"/>
      <c r="J229" s="74">
        <f>SUM(J203:J228)+J197+J189</f>
        <v>3183312</v>
      </c>
      <c r="K229" s="74">
        <f>SUM(K203:K228)+K197+K189</f>
        <v>3293312</v>
      </c>
      <c r="L229" s="73"/>
      <c r="M229" s="74">
        <f>SUM(M203:M228)+M197+M189</f>
        <v>3434941</v>
      </c>
      <c r="N229" s="73"/>
      <c r="O229" s="72"/>
      <c r="P229" s="74">
        <f>SUM(P203:P228)+P197+P189</f>
        <v>3434941</v>
      </c>
      <c r="Q229" s="11"/>
      <c r="R229" s="38">
        <f t="shared" ref="R229" si="76">+M229/J229-1</f>
        <v>7.9046288896595707E-2</v>
      </c>
      <c r="S229" s="38">
        <f>+M229/K229-1</f>
        <v>4.3005035660150126E-2</v>
      </c>
      <c r="Y229" s="38">
        <f>+M229/J229</f>
        <v>1.0790462888965957</v>
      </c>
      <c r="Z229" s="37">
        <f>+M229-J229</f>
        <v>251629</v>
      </c>
    </row>
    <row r="230" spans="1:26" ht="15" x14ac:dyDescent="0.2">
      <c r="D230" s="11"/>
      <c r="E230" s="11"/>
      <c r="F230" s="11"/>
      <c r="G230" s="11"/>
      <c r="H230" s="11"/>
      <c r="I230" s="3"/>
      <c r="J230" s="11"/>
      <c r="K230" s="11"/>
      <c r="L230" s="3"/>
      <c r="M230" s="11"/>
      <c r="N230" s="3"/>
      <c r="O230" s="11"/>
      <c r="P230" s="11"/>
      <c r="Q230" s="11"/>
      <c r="R230" s="11"/>
    </row>
    <row r="231" spans="1:26" ht="15" x14ac:dyDescent="0.25">
      <c r="A231" s="9"/>
      <c r="B231" s="10" t="s">
        <v>426</v>
      </c>
      <c r="D231" s="11"/>
      <c r="E231" s="11"/>
      <c r="F231" s="11"/>
      <c r="G231" s="11"/>
      <c r="H231" s="11"/>
      <c r="I231" s="3"/>
      <c r="J231" s="11"/>
      <c r="K231" s="11"/>
      <c r="L231" s="3"/>
      <c r="M231" s="11"/>
      <c r="N231" s="3"/>
      <c r="O231" s="11"/>
      <c r="P231" s="11"/>
      <c r="Q231" s="11"/>
      <c r="R231" s="11"/>
    </row>
    <row r="232" spans="1:26" ht="15" x14ac:dyDescent="0.25">
      <c r="A232" s="9"/>
      <c r="B232" s="10" t="s">
        <v>407</v>
      </c>
      <c r="D232" s="11"/>
      <c r="E232" s="11"/>
      <c r="F232" s="11"/>
      <c r="G232" s="11"/>
      <c r="H232" s="11"/>
      <c r="I232" s="3"/>
      <c r="J232" s="11"/>
      <c r="K232" s="11"/>
      <c r="L232" s="3"/>
      <c r="M232" s="11"/>
      <c r="N232" s="3"/>
      <c r="O232" s="11"/>
      <c r="P232" s="11"/>
      <c r="Q232" s="11"/>
      <c r="R232" s="11"/>
    </row>
    <row r="233" spans="1:26" ht="15" x14ac:dyDescent="0.2">
      <c r="A233" s="14" t="s">
        <v>274</v>
      </c>
      <c r="B233" s="15" t="s">
        <v>275</v>
      </c>
      <c r="C233" s="16">
        <v>9277</v>
      </c>
      <c r="D233" s="11">
        <v>5577.97</v>
      </c>
      <c r="E233" s="11">
        <v>4875.72</v>
      </c>
      <c r="F233" s="11">
        <v>9487.18</v>
      </c>
      <c r="G233" s="11">
        <v>7716.2</v>
      </c>
      <c r="H233" s="11">
        <v>10985.83</v>
      </c>
      <c r="I233" s="3"/>
      <c r="J233" s="11">
        <v>7500</v>
      </c>
      <c r="K233" s="11">
        <v>12000</v>
      </c>
      <c r="L233" s="3"/>
      <c r="M233" s="11">
        <v>7500</v>
      </c>
      <c r="N233" s="3"/>
      <c r="O233" s="11"/>
      <c r="P233" s="11">
        <f t="shared" ref="P233:P236" si="77">+O233+M233</f>
        <v>7500</v>
      </c>
      <c r="Q233" s="11"/>
      <c r="R233" s="38">
        <f t="shared" ref="R233:R262" si="78">+M233/J233-1</f>
        <v>0</v>
      </c>
      <c r="S233" s="38">
        <f t="shared" ref="S233:S238" si="79">+M233/K233-1</f>
        <v>-0.375</v>
      </c>
    </row>
    <row r="234" spans="1:26" ht="15" x14ac:dyDescent="0.2">
      <c r="A234" s="14" t="s">
        <v>276</v>
      </c>
      <c r="B234" s="15" t="s">
        <v>277</v>
      </c>
      <c r="C234" s="16">
        <v>27128</v>
      </c>
      <c r="D234" s="11">
        <v>25347.39</v>
      </c>
      <c r="E234" s="11">
        <v>24004.85</v>
      </c>
      <c r="F234" s="11">
        <v>50514.7</v>
      </c>
      <c r="G234" s="11">
        <v>55137.31</v>
      </c>
      <c r="H234" s="11">
        <v>50866.19</v>
      </c>
      <c r="I234" s="3"/>
      <c r="J234" s="11">
        <v>60000</v>
      </c>
      <c r="K234" s="11">
        <v>60000</v>
      </c>
      <c r="L234" s="3"/>
      <c r="M234" s="11">
        <v>60000</v>
      </c>
      <c r="N234" s="3"/>
      <c r="O234" s="11"/>
      <c r="P234" s="11">
        <f t="shared" si="77"/>
        <v>60000</v>
      </c>
      <c r="Q234" s="11"/>
      <c r="R234" s="38">
        <f t="shared" si="78"/>
        <v>0</v>
      </c>
      <c r="S234" s="38">
        <f t="shared" si="79"/>
        <v>0</v>
      </c>
    </row>
    <row r="235" spans="1:26" ht="15" x14ac:dyDescent="0.2">
      <c r="A235" s="14" t="s">
        <v>278</v>
      </c>
      <c r="B235" s="15" t="s">
        <v>279</v>
      </c>
      <c r="C235" s="16">
        <v>14531</v>
      </c>
      <c r="D235" s="11">
        <v>19867.900000000001</v>
      </c>
      <c r="E235" s="11">
        <v>39492.120000000003</v>
      </c>
      <c r="F235" s="11">
        <v>23190.560000000001</v>
      </c>
      <c r="G235" s="11">
        <v>15453.34</v>
      </c>
      <c r="H235" s="11">
        <v>12938.16</v>
      </c>
      <c r="I235" s="3"/>
      <c r="J235" s="11">
        <v>20000</v>
      </c>
      <c r="K235" s="11">
        <v>20000</v>
      </c>
      <c r="L235" s="3"/>
      <c r="M235" s="11">
        <v>20000</v>
      </c>
      <c r="N235" s="3"/>
      <c r="O235" s="11"/>
      <c r="P235" s="11">
        <f t="shared" si="77"/>
        <v>20000</v>
      </c>
      <c r="Q235" s="11"/>
      <c r="R235" s="38">
        <f t="shared" si="78"/>
        <v>0</v>
      </c>
      <c r="S235" s="38">
        <f t="shared" si="79"/>
        <v>0</v>
      </c>
    </row>
    <row r="236" spans="1:26" ht="15" x14ac:dyDescent="0.2">
      <c r="A236" s="14" t="s">
        <v>280</v>
      </c>
      <c r="B236" s="15" t="s">
        <v>281</v>
      </c>
      <c r="C236" s="16">
        <v>11628</v>
      </c>
      <c r="D236" s="11">
        <v>14296.15</v>
      </c>
      <c r="E236" s="11">
        <v>7727.36</v>
      </c>
      <c r="F236" s="11">
        <v>8328.17</v>
      </c>
      <c r="G236" s="11">
        <v>14420.52</v>
      </c>
      <c r="H236" s="11">
        <v>8780.17</v>
      </c>
      <c r="I236" s="3"/>
      <c r="J236" s="11">
        <v>10000</v>
      </c>
      <c r="K236" s="11">
        <v>10000</v>
      </c>
      <c r="L236" s="3"/>
      <c r="M236" s="11">
        <v>10000</v>
      </c>
      <c r="N236" s="3"/>
      <c r="O236" s="11"/>
      <c r="P236" s="11">
        <f t="shared" si="77"/>
        <v>10000</v>
      </c>
      <c r="Q236" s="11"/>
      <c r="R236" s="38">
        <f t="shared" si="78"/>
        <v>0</v>
      </c>
      <c r="S236" s="38">
        <f t="shared" si="79"/>
        <v>0</v>
      </c>
    </row>
    <row r="237" spans="1:26" ht="15" x14ac:dyDescent="0.2">
      <c r="A237" s="14" t="s">
        <v>282</v>
      </c>
      <c r="B237" s="15" t="s">
        <v>283</v>
      </c>
      <c r="C237" s="16">
        <v>0</v>
      </c>
      <c r="D237" s="11">
        <v>368.57</v>
      </c>
      <c r="E237" s="11">
        <v>0</v>
      </c>
      <c r="F237" s="11">
        <v>32.909999999999997</v>
      </c>
      <c r="G237" s="11">
        <v>0</v>
      </c>
      <c r="H237" s="11">
        <v>0</v>
      </c>
      <c r="I237" s="3"/>
      <c r="J237" s="11"/>
      <c r="K237" s="11"/>
      <c r="L237" s="3"/>
      <c r="M237" s="11"/>
      <c r="N237" s="3"/>
      <c r="O237" s="11"/>
      <c r="P237" s="11"/>
      <c r="Q237" s="11"/>
      <c r="R237" s="38"/>
    </row>
    <row r="238" spans="1:26" ht="15" x14ac:dyDescent="0.2">
      <c r="A238" s="14" t="s">
        <v>284</v>
      </c>
      <c r="B238" s="15" t="s">
        <v>285</v>
      </c>
      <c r="C238" s="16">
        <v>758</v>
      </c>
      <c r="D238" s="11">
        <v>1656.96</v>
      </c>
      <c r="E238" s="11">
        <v>-2061</v>
      </c>
      <c r="F238" s="11">
        <v>16859.53</v>
      </c>
      <c r="G238" s="11">
        <v>15071.73</v>
      </c>
      <c r="H238" s="11">
        <v>74959.33</v>
      </c>
      <c r="I238" s="3"/>
      <c r="J238" s="11">
        <v>500</v>
      </c>
      <c r="K238" s="11">
        <v>16458</v>
      </c>
      <c r="L238" s="3"/>
      <c r="M238" s="11"/>
      <c r="N238" s="3"/>
      <c r="O238" s="11"/>
      <c r="P238" s="11"/>
      <c r="Q238" s="11"/>
      <c r="R238" s="38">
        <f t="shared" si="78"/>
        <v>-1</v>
      </c>
      <c r="S238" s="38">
        <f t="shared" si="79"/>
        <v>-1</v>
      </c>
      <c r="T238" s="50" t="s">
        <v>388</v>
      </c>
    </row>
    <row r="239" spans="1:26" ht="15" x14ac:dyDescent="0.2">
      <c r="A239" s="14"/>
      <c r="B239" s="15"/>
      <c r="C239" s="16"/>
      <c r="D239" s="11"/>
      <c r="E239" s="11"/>
      <c r="F239" s="11"/>
      <c r="G239" s="11"/>
      <c r="H239" s="11"/>
      <c r="I239" s="3"/>
      <c r="J239" s="11"/>
      <c r="K239" s="11"/>
      <c r="L239" s="3"/>
      <c r="M239" s="11"/>
      <c r="N239" s="3"/>
      <c r="O239" s="11"/>
      <c r="P239" s="11"/>
      <c r="Q239" s="11"/>
      <c r="R239" s="38"/>
    </row>
    <row r="240" spans="1:26" ht="15" x14ac:dyDescent="0.25">
      <c r="A240" s="29"/>
      <c r="B240" s="30" t="s">
        <v>397</v>
      </c>
      <c r="C240" s="59">
        <f t="shared" ref="C240:H240" si="80">SUM(C233:C238)</f>
        <v>63322</v>
      </c>
      <c r="D240" s="44">
        <f t="shared" si="80"/>
        <v>67114.94</v>
      </c>
      <c r="E240" s="44">
        <f t="shared" si="80"/>
        <v>74039.05</v>
      </c>
      <c r="F240" s="44">
        <f t="shared" si="80"/>
        <v>108413.05</v>
      </c>
      <c r="G240" s="44">
        <f t="shared" si="80"/>
        <v>107799.09999999999</v>
      </c>
      <c r="H240" s="44">
        <f t="shared" si="80"/>
        <v>158529.68</v>
      </c>
      <c r="I240" s="3"/>
      <c r="J240" s="44">
        <f>SUM(J233:J238)</f>
        <v>98000</v>
      </c>
      <c r="K240" s="44">
        <f>SUM(K233:K238)</f>
        <v>118458</v>
      </c>
      <c r="L240" s="3"/>
      <c r="M240" s="44">
        <f>SUM(M233:M238)</f>
        <v>97500</v>
      </c>
      <c r="N240" s="3"/>
      <c r="O240" s="44"/>
      <c r="P240" s="44">
        <f t="shared" ref="P240:P256" si="81">+O240+M240</f>
        <v>97500</v>
      </c>
      <c r="Q240" s="11"/>
      <c r="R240" s="38">
        <f t="shared" si="78"/>
        <v>-5.1020408163264808E-3</v>
      </c>
      <c r="S240" s="38">
        <f>+M240/K240-1</f>
        <v>-0.1769234665451046</v>
      </c>
      <c r="Y240" s="38">
        <f>+M240/J240</f>
        <v>0.99489795918367352</v>
      </c>
      <c r="Z240" s="37">
        <f>+M240-J240</f>
        <v>-500</v>
      </c>
    </row>
    <row r="241" spans="1:27" ht="15" x14ac:dyDescent="0.25">
      <c r="A241" s="29"/>
      <c r="B241" s="30"/>
      <c r="C241" s="16"/>
      <c r="D241" s="11"/>
      <c r="E241" s="11"/>
      <c r="F241" s="11"/>
      <c r="G241" s="11"/>
      <c r="H241" s="11"/>
      <c r="I241" s="3"/>
      <c r="J241" s="11"/>
      <c r="K241" s="11"/>
      <c r="L241" s="3"/>
      <c r="M241" s="11"/>
      <c r="N241" s="3"/>
      <c r="O241" s="11"/>
      <c r="P241" s="11">
        <f t="shared" si="81"/>
        <v>0</v>
      </c>
      <c r="Q241" s="11"/>
      <c r="R241" s="38"/>
    </row>
    <row r="242" spans="1:27" ht="15" x14ac:dyDescent="0.25">
      <c r="A242" s="9"/>
      <c r="B242" s="10" t="s">
        <v>427</v>
      </c>
      <c r="C242" s="16"/>
      <c r="D242" s="11"/>
      <c r="E242" s="11"/>
      <c r="F242" s="11"/>
      <c r="G242" s="11"/>
      <c r="H242" s="11"/>
      <c r="I242" s="3"/>
      <c r="J242" s="11"/>
      <c r="K242" s="11"/>
      <c r="L242" s="3"/>
      <c r="M242" s="11"/>
      <c r="N242" s="3"/>
      <c r="O242" s="11"/>
      <c r="P242" s="11"/>
      <c r="Q242" s="11"/>
      <c r="R242" s="38"/>
    </row>
    <row r="243" spans="1:27" ht="15" x14ac:dyDescent="0.2">
      <c r="A243" s="14" t="s">
        <v>287</v>
      </c>
      <c r="B243" s="15" t="s">
        <v>124</v>
      </c>
      <c r="C243" s="16">
        <v>48451</v>
      </c>
      <c r="D243" s="11">
        <v>88856.51</v>
      </c>
      <c r="E243" s="11">
        <v>74977.039999999994</v>
      </c>
      <c r="F243" s="11">
        <v>104204.26</v>
      </c>
      <c r="G243" s="11">
        <v>103551.06</v>
      </c>
      <c r="H243" s="11">
        <v>80092.41</v>
      </c>
      <c r="I243" s="3"/>
      <c r="J243" s="11">
        <v>108778</v>
      </c>
      <c r="K243" s="11">
        <v>108000</v>
      </c>
      <c r="L243" s="3"/>
      <c r="M243" s="11">
        <v>110085</v>
      </c>
      <c r="N243" s="3"/>
      <c r="O243" s="11"/>
      <c r="P243" s="11">
        <f t="shared" si="81"/>
        <v>110085</v>
      </c>
      <c r="Q243" s="11"/>
      <c r="R243" s="38">
        <f t="shared" si="78"/>
        <v>1.2015297210833165E-2</v>
      </c>
      <c r="S243" s="38">
        <f t="shared" ref="S243:S261" si="82">+M243/K243-1</f>
        <v>1.9305555555555465E-2</v>
      </c>
      <c r="T243" s="53" t="s">
        <v>376</v>
      </c>
    </row>
    <row r="244" spans="1:27" ht="15" x14ac:dyDescent="0.2">
      <c r="A244" s="14">
        <v>6040101</v>
      </c>
      <c r="B244" s="15" t="s">
        <v>347</v>
      </c>
      <c r="C244" s="16"/>
      <c r="D244" s="11"/>
      <c r="E244" s="11"/>
      <c r="F244" s="11"/>
      <c r="G244" s="11">
        <v>0</v>
      </c>
      <c r="H244" s="11">
        <v>2020.98</v>
      </c>
      <c r="I244" s="3"/>
      <c r="J244" s="11"/>
      <c r="K244" s="11"/>
      <c r="L244" s="3"/>
      <c r="M244" s="11">
        <v>2682</v>
      </c>
      <c r="N244" s="3"/>
      <c r="O244" s="11"/>
      <c r="P244" s="11">
        <f t="shared" si="81"/>
        <v>2682</v>
      </c>
      <c r="Q244" s="11"/>
      <c r="R244" s="38"/>
      <c r="T244" s="53"/>
    </row>
    <row r="245" spans="1:27" ht="15" x14ac:dyDescent="0.2">
      <c r="A245" s="14" t="s">
        <v>288</v>
      </c>
      <c r="B245" s="15" t="s">
        <v>126</v>
      </c>
      <c r="C245" s="16">
        <v>3883</v>
      </c>
      <c r="D245" s="11">
        <v>7534.55</v>
      </c>
      <c r="E245" s="11">
        <v>6082.32</v>
      </c>
      <c r="F245" s="11">
        <v>9557.49</v>
      </c>
      <c r="G245" s="11">
        <v>8166.59</v>
      </c>
      <c r="H245" s="11">
        <v>6624.59</v>
      </c>
      <c r="I245" s="3"/>
      <c r="J245" s="11">
        <v>8702</v>
      </c>
      <c r="K245" s="11">
        <v>8700</v>
      </c>
      <c r="L245" s="3"/>
      <c r="M245" s="11">
        <v>9529</v>
      </c>
      <c r="N245" s="3"/>
      <c r="O245" s="11"/>
      <c r="P245" s="11">
        <f t="shared" si="81"/>
        <v>9529</v>
      </c>
      <c r="Q245" s="11"/>
      <c r="R245" s="38">
        <f t="shared" si="78"/>
        <v>9.5035623994484064E-2</v>
      </c>
      <c r="S245" s="38">
        <f t="shared" si="82"/>
        <v>9.5287356321839045E-2</v>
      </c>
    </row>
    <row r="246" spans="1:27" ht="15" x14ac:dyDescent="0.2">
      <c r="A246" s="14" t="s">
        <v>289</v>
      </c>
      <c r="B246" s="15" t="s">
        <v>128</v>
      </c>
      <c r="C246" s="16">
        <v>11397</v>
      </c>
      <c r="D246" s="11">
        <v>11398.2</v>
      </c>
      <c r="E246" s="11">
        <v>12847.24</v>
      </c>
      <c r="F246" s="11">
        <v>36232.839999999997</v>
      </c>
      <c r="G246" s="11">
        <v>68812.41</v>
      </c>
      <c r="H246" s="11">
        <v>58530.81</v>
      </c>
      <c r="I246" s="3"/>
      <c r="J246" s="11">
        <v>83004</v>
      </c>
      <c r="K246" s="11">
        <v>83000</v>
      </c>
      <c r="L246" s="3"/>
      <c r="M246" s="11">
        <v>86782</v>
      </c>
      <c r="N246" s="3"/>
      <c r="O246" s="11"/>
      <c r="P246" s="11">
        <f t="shared" si="81"/>
        <v>86782</v>
      </c>
      <c r="Q246" s="11"/>
      <c r="R246" s="38">
        <f t="shared" si="78"/>
        <v>4.551587875283114E-2</v>
      </c>
      <c r="S246" s="38">
        <f t="shared" si="82"/>
        <v>4.5566265060240863E-2</v>
      </c>
    </row>
    <row r="247" spans="1:27" ht="15" x14ac:dyDescent="0.2">
      <c r="A247" s="14" t="s">
        <v>290</v>
      </c>
      <c r="B247" s="15" t="s">
        <v>130</v>
      </c>
      <c r="C247" s="16">
        <v>1389</v>
      </c>
      <c r="D247" s="11">
        <v>1644.01</v>
      </c>
      <c r="E247" s="11">
        <v>2017.34</v>
      </c>
      <c r="F247" s="11">
        <v>1439.93</v>
      </c>
      <c r="G247" s="11">
        <v>1721.8</v>
      </c>
      <c r="H247" s="11">
        <v>1179.74</v>
      </c>
      <c r="I247" s="3"/>
      <c r="J247" s="11">
        <v>1766</v>
      </c>
      <c r="K247" s="11">
        <v>1700</v>
      </c>
      <c r="L247" s="3"/>
      <c r="M247" s="11">
        <v>1837</v>
      </c>
      <c r="N247" s="3"/>
      <c r="O247" s="11"/>
      <c r="P247" s="11">
        <f t="shared" si="81"/>
        <v>1837</v>
      </c>
      <c r="Q247" s="11"/>
      <c r="R247" s="38">
        <f t="shared" si="78"/>
        <v>4.0203850509626271E-2</v>
      </c>
      <c r="S247" s="38">
        <f t="shared" si="82"/>
        <v>8.0588235294117627E-2</v>
      </c>
    </row>
    <row r="248" spans="1:27" ht="15" x14ac:dyDescent="0.2">
      <c r="A248" s="14" t="s">
        <v>291</v>
      </c>
      <c r="B248" s="15" t="s">
        <v>171</v>
      </c>
      <c r="C248" s="16">
        <v>619</v>
      </c>
      <c r="D248" s="11">
        <v>1144.03</v>
      </c>
      <c r="E248" s="11">
        <v>1059.58</v>
      </c>
      <c r="F248" s="11">
        <v>1475.13</v>
      </c>
      <c r="G248" s="11">
        <v>883.75</v>
      </c>
      <c r="H248" s="11">
        <v>620.94000000000005</v>
      </c>
      <c r="I248" s="3"/>
      <c r="J248" s="11">
        <v>1000</v>
      </c>
      <c r="K248" s="11">
        <v>1000</v>
      </c>
      <c r="L248" s="3"/>
      <c r="M248" s="11">
        <v>1000</v>
      </c>
      <c r="N248" s="3"/>
      <c r="O248" s="11"/>
      <c r="P248" s="11">
        <f t="shared" si="81"/>
        <v>1000</v>
      </c>
      <c r="Q248" s="11"/>
      <c r="R248" s="38">
        <f t="shared" si="78"/>
        <v>0</v>
      </c>
      <c r="S248" s="38">
        <f t="shared" si="82"/>
        <v>0</v>
      </c>
    </row>
    <row r="249" spans="1:27" ht="15" x14ac:dyDescent="0.2">
      <c r="A249" s="14" t="s">
        <v>292</v>
      </c>
      <c r="B249" s="15" t="s">
        <v>132</v>
      </c>
      <c r="C249" s="16">
        <v>2386</v>
      </c>
      <c r="D249" s="11">
        <v>1856.23</v>
      </c>
      <c r="E249" s="11">
        <v>1566.85</v>
      </c>
      <c r="F249" s="11">
        <v>1388.72</v>
      </c>
      <c r="G249" s="11">
        <v>1258.95</v>
      </c>
      <c r="H249" s="11">
        <v>2809.08</v>
      </c>
      <c r="I249" s="3"/>
      <c r="J249" s="11">
        <v>3350</v>
      </c>
      <c r="K249" s="11">
        <v>3350</v>
      </c>
      <c r="L249" s="3"/>
      <c r="M249" s="11">
        <v>3473</v>
      </c>
      <c r="N249" s="3"/>
      <c r="O249" s="11"/>
      <c r="P249" s="11">
        <f t="shared" si="81"/>
        <v>3473</v>
      </c>
      <c r="Q249" s="11"/>
      <c r="R249" s="38">
        <f t="shared" si="78"/>
        <v>3.6716417910447774E-2</v>
      </c>
      <c r="S249" s="38">
        <f t="shared" si="82"/>
        <v>3.6716417910447774E-2</v>
      </c>
    </row>
    <row r="250" spans="1:27" s="20" customFormat="1" ht="15" x14ac:dyDescent="0.25">
      <c r="A250" s="29"/>
      <c r="B250" s="30" t="s">
        <v>395</v>
      </c>
      <c r="C250" s="59">
        <f>SUM(C243:C249)</f>
        <v>68125</v>
      </c>
      <c r="D250" s="59">
        <f>SUM(D243:D249)</f>
        <v>112433.52999999998</v>
      </c>
      <c r="E250" s="59">
        <f>SUM(E243:E249)</f>
        <v>98550.37</v>
      </c>
      <c r="F250" s="59">
        <f>SUM(F243:F249)</f>
        <v>154298.37</v>
      </c>
      <c r="G250" s="59">
        <f>SUM(G243:G249)</f>
        <v>184394.56</v>
      </c>
      <c r="H250" s="59">
        <f>SUM(H243:H249)</f>
        <v>151878.54999999996</v>
      </c>
      <c r="I250" s="3"/>
      <c r="J250" s="59">
        <f>SUM(J243:J249)</f>
        <v>206600</v>
      </c>
      <c r="K250" s="59">
        <f>SUM(K243:K249)</f>
        <v>205750</v>
      </c>
      <c r="L250" s="3"/>
      <c r="M250" s="59">
        <f>SUM(M243:M249)</f>
        <v>215388</v>
      </c>
      <c r="N250" s="3"/>
      <c r="O250" s="44"/>
      <c r="P250" s="59">
        <f>SUM(P243:P249)</f>
        <v>215388</v>
      </c>
      <c r="Q250" s="44"/>
      <c r="R250" s="39"/>
      <c r="S250" s="39"/>
      <c r="T250" s="51"/>
      <c r="U250" s="39"/>
      <c r="V250" s="39"/>
      <c r="W250" s="39"/>
      <c r="X250" s="39"/>
      <c r="Y250" s="39"/>
      <c r="AA250" s="44"/>
    </row>
    <row r="251" spans="1:27" ht="15" x14ac:dyDescent="0.2">
      <c r="A251" s="14">
        <v>6040300</v>
      </c>
      <c r="B251" s="15" t="s">
        <v>134</v>
      </c>
      <c r="C251" s="16">
        <v>0</v>
      </c>
      <c r="D251" s="11">
        <v>0</v>
      </c>
      <c r="E251" s="11">
        <v>8572.33</v>
      </c>
      <c r="F251" s="11">
        <v>8903.25</v>
      </c>
      <c r="G251" s="11">
        <v>12032.64</v>
      </c>
      <c r="H251" s="11">
        <v>9434.2000000000007</v>
      </c>
      <c r="I251" s="3"/>
      <c r="J251" s="11">
        <v>10000</v>
      </c>
      <c r="K251" s="11">
        <v>10000</v>
      </c>
      <c r="L251" s="3"/>
      <c r="M251" s="11">
        <v>10000</v>
      </c>
      <c r="N251" s="3"/>
      <c r="O251" s="11"/>
      <c r="P251" s="11">
        <f t="shared" si="81"/>
        <v>10000</v>
      </c>
      <c r="Q251" s="11"/>
      <c r="R251" s="38">
        <f t="shared" si="78"/>
        <v>0</v>
      </c>
      <c r="S251" s="38">
        <f t="shared" si="82"/>
        <v>0</v>
      </c>
    </row>
    <row r="252" spans="1:27" ht="15" x14ac:dyDescent="0.2">
      <c r="A252" s="14">
        <v>6040310</v>
      </c>
      <c r="B252" s="15" t="s">
        <v>136</v>
      </c>
      <c r="C252" s="16">
        <v>0</v>
      </c>
      <c r="D252" s="11">
        <v>0</v>
      </c>
      <c r="E252" s="11">
        <v>706.65</v>
      </c>
      <c r="F252" s="11">
        <v>830.74</v>
      </c>
      <c r="G252" s="11">
        <v>1028.21</v>
      </c>
      <c r="H252" s="11">
        <v>734.34</v>
      </c>
      <c r="I252" s="3"/>
      <c r="J252" s="11">
        <v>1000</v>
      </c>
      <c r="K252" s="11">
        <v>1000</v>
      </c>
      <c r="L252" s="3"/>
      <c r="M252" s="11">
        <v>900</v>
      </c>
      <c r="N252" s="3"/>
      <c r="O252" s="11"/>
      <c r="P252" s="11">
        <f t="shared" si="81"/>
        <v>900</v>
      </c>
      <c r="Q252" s="11"/>
      <c r="R252" s="38">
        <f t="shared" si="78"/>
        <v>-9.9999999999999978E-2</v>
      </c>
      <c r="S252" s="38">
        <f t="shared" si="82"/>
        <v>-9.9999999999999978E-2</v>
      </c>
    </row>
    <row r="253" spans="1:27" ht="15" x14ac:dyDescent="0.2">
      <c r="A253" s="14">
        <v>6040350</v>
      </c>
      <c r="B253" s="15" t="s">
        <v>138</v>
      </c>
      <c r="C253" s="16"/>
      <c r="D253" s="11"/>
      <c r="E253" s="11"/>
      <c r="F253" s="11">
        <v>563.01</v>
      </c>
      <c r="G253" s="11">
        <v>442.46</v>
      </c>
      <c r="H253" s="11">
        <v>190</v>
      </c>
      <c r="I253" s="3"/>
      <c r="J253" s="11">
        <f>+J251*3.08/100</f>
        <v>308</v>
      </c>
      <c r="K253" s="11">
        <v>250</v>
      </c>
      <c r="L253" s="3"/>
      <c r="M253" s="11">
        <v>300</v>
      </c>
      <c r="N253" s="3"/>
      <c r="O253" s="11"/>
      <c r="P253" s="11">
        <f t="shared" si="81"/>
        <v>300</v>
      </c>
      <c r="Q253" s="11"/>
      <c r="R253" s="38">
        <f t="shared" si="78"/>
        <v>-2.5974025974025983E-2</v>
      </c>
      <c r="S253" s="38">
        <f t="shared" si="82"/>
        <v>0.19999999999999996</v>
      </c>
    </row>
    <row r="254" spans="1:27" s="20" customFormat="1" ht="15" x14ac:dyDescent="0.25">
      <c r="A254" s="29"/>
      <c r="B254" s="30" t="s">
        <v>396</v>
      </c>
      <c r="C254" s="44">
        <f t="shared" ref="C254:H254" si="83">SUM(C251:C253)</f>
        <v>0</v>
      </c>
      <c r="D254" s="44">
        <f t="shared" si="83"/>
        <v>0</v>
      </c>
      <c r="E254" s="44">
        <f t="shared" si="83"/>
        <v>9278.98</v>
      </c>
      <c r="F254" s="44">
        <f t="shared" si="83"/>
        <v>10297</v>
      </c>
      <c r="G254" s="44">
        <f t="shared" si="83"/>
        <v>13503.309999999998</v>
      </c>
      <c r="H254" s="44">
        <f t="shared" si="83"/>
        <v>10358.540000000001</v>
      </c>
      <c r="I254" s="3"/>
      <c r="J254" s="44">
        <f>SUM(J251:J253)</f>
        <v>11308</v>
      </c>
      <c r="K254" s="44">
        <f>SUM(K251:K253)</f>
        <v>11250</v>
      </c>
      <c r="L254" s="3"/>
      <c r="M254" s="44">
        <f>SUM(M251:M253)</f>
        <v>11200</v>
      </c>
      <c r="N254" s="3"/>
      <c r="O254" s="44"/>
      <c r="P254" s="44">
        <f>SUM(P251:P253)</f>
        <v>11200</v>
      </c>
      <c r="Q254" s="44"/>
      <c r="R254" s="39"/>
      <c r="S254" s="39"/>
      <c r="T254" s="51"/>
      <c r="U254" s="39"/>
      <c r="V254" s="39"/>
      <c r="W254" s="39"/>
      <c r="X254" s="39"/>
      <c r="Y254" s="39"/>
      <c r="AA254" s="44"/>
    </row>
    <row r="255" spans="1:27" ht="15" x14ac:dyDescent="0.2">
      <c r="A255" s="14" t="s">
        <v>293</v>
      </c>
      <c r="B255" s="15" t="s">
        <v>140</v>
      </c>
      <c r="C255" s="16">
        <v>4014</v>
      </c>
      <c r="D255" s="11">
        <v>4235.8900000000003</v>
      </c>
      <c r="E255" s="11">
        <v>2757.43</v>
      </c>
      <c r="F255" s="11">
        <v>3496.7</v>
      </c>
      <c r="G255" s="11">
        <v>3940.88</v>
      </c>
      <c r="H255" s="11">
        <v>2432.06</v>
      </c>
      <c r="I255" s="3"/>
      <c r="J255" s="11">
        <v>3000</v>
      </c>
      <c r="K255" s="11">
        <v>3000</v>
      </c>
      <c r="L255" s="3"/>
      <c r="M255" s="11">
        <v>3000</v>
      </c>
      <c r="N255" s="3"/>
      <c r="O255" s="11"/>
      <c r="P255" s="11">
        <f t="shared" si="81"/>
        <v>3000</v>
      </c>
      <c r="Q255" s="11"/>
      <c r="R255" s="38">
        <f t="shared" si="78"/>
        <v>0</v>
      </c>
      <c r="S255" s="38">
        <f t="shared" si="82"/>
        <v>0</v>
      </c>
    </row>
    <row r="256" spans="1:27" ht="15" x14ac:dyDescent="0.2">
      <c r="A256" s="14" t="s">
        <v>294</v>
      </c>
      <c r="B256" s="15" t="s">
        <v>146</v>
      </c>
      <c r="C256" s="16">
        <v>473</v>
      </c>
      <c r="D256" s="11">
        <v>853.69</v>
      </c>
      <c r="E256" s="11">
        <v>16.989999999999998</v>
      </c>
      <c r="F256" s="11">
        <v>1099.22</v>
      </c>
      <c r="G256" s="11">
        <v>3040.5</v>
      </c>
      <c r="H256" s="11">
        <v>1664.78</v>
      </c>
      <c r="I256" s="3"/>
      <c r="J256" s="11">
        <v>1500</v>
      </c>
      <c r="K256" s="11">
        <v>1750</v>
      </c>
      <c r="L256" s="3"/>
      <c r="M256" s="11">
        <v>1500</v>
      </c>
      <c r="N256" s="3"/>
      <c r="O256" s="11"/>
      <c r="P256" s="11">
        <f t="shared" si="81"/>
        <v>1500</v>
      </c>
      <c r="Q256" s="11"/>
      <c r="R256" s="38">
        <f t="shared" si="78"/>
        <v>0</v>
      </c>
      <c r="S256" s="38">
        <f t="shared" si="82"/>
        <v>-0.1428571428571429</v>
      </c>
    </row>
    <row r="257" spans="1:26" ht="15" x14ac:dyDescent="0.2">
      <c r="A257" s="14" t="s">
        <v>295</v>
      </c>
      <c r="B257" s="15" t="s">
        <v>182</v>
      </c>
      <c r="C257" s="16"/>
      <c r="D257" s="11"/>
      <c r="E257" s="11"/>
      <c r="F257" s="11"/>
      <c r="G257" s="11"/>
      <c r="H257" s="11"/>
      <c r="I257" s="3"/>
      <c r="J257" s="11"/>
      <c r="K257" s="11"/>
      <c r="L257" s="3"/>
      <c r="M257" s="11"/>
      <c r="N257" s="3"/>
      <c r="O257" s="11"/>
      <c r="P257" s="11"/>
      <c r="Q257" s="11"/>
      <c r="R257" s="38"/>
      <c r="T257" s="50" t="s">
        <v>380</v>
      </c>
    </row>
    <row r="258" spans="1:26" ht="15" x14ac:dyDescent="0.2">
      <c r="A258" s="14" t="s">
        <v>296</v>
      </c>
      <c r="B258" s="15" t="s">
        <v>254</v>
      </c>
      <c r="C258" s="16"/>
      <c r="D258" s="11"/>
      <c r="E258" s="11"/>
      <c r="F258" s="11"/>
      <c r="G258" s="11"/>
      <c r="H258" s="11"/>
      <c r="I258" s="3"/>
      <c r="J258" s="11"/>
      <c r="K258" s="11"/>
      <c r="L258" s="3"/>
      <c r="M258" s="11"/>
      <c r="N258" s="3"/>
      <c r="O258" s="11"/>
      <c r="P258" s="11"/>
      <c r="Q258" s="11"/>
      <c r="R258" s="38"/>
      <c r="T258" s="50" t="s">
        <v>380</v>
      </c>
    </row>
    <row r="259" spans="1:26" ht="15" x14ac:dyDescent="0.2">
      <c r="A259" s="14" t="s">
        <v>297</v>
      </c>
      <c r="B259" s="15" t="s">
        <v>160</v>
      </c>
      <c r="C259" s="16">
        <v>0</v>
      </c>
      <c r="D259" s="11">
        <v>6329.32</v>
      </c>
      <c r="E259" s="11">
        <v>4338.3</v>
      </c>
      <c r="F259" s="11">
        <v>6937.69</v>
      </c>
      <c r="G259" s="11">
        <v>3765.11</v>
      </c>
      <c r="H259" s="11">
        <v>3378.41</v>
      </c>
      <c r="I259" s="3"/>
      <c r="J259" s="11">
        <v>5000</v>
      </c>
      <c r="K259" s="11">
        <v>5000</v>
      </c>
      <c r="L259" s="3"/>
      <c r="M259" s="11">
        <v>5000</v>
      </c>
      <c r="N259" s="3"/>
      <c r="O259" s="11"/>
      <c r="P259" s="11">
        <f t="shared" ref="P259:P262" si="84">+O259+M259</f>
        <v>5000</v>
      </c>
      <c r="Q259" s="11"/>
      <c r="R259" s="38">
        <f t="shared" si="78"/>
        <v>0</v>
      </c>
      <c r="S259" s="38">
        <f t="shared" si="82"/>
        <v>0</v>
      </c>
    </row>
    <row r="260" spans="1:26" ht="15" x14ac:dyDescent="0.2">
      <c r="A260" s="14" t="s">
        <v>298</v>
      </c>
      <c r="B260" s="15" t="s">
        <v>80</v>
      </c>
      <c r="C260" s="16">
        <v>2718</v>
      </c>
      <c r="D260" s="11">
        <v>177.96</v>
      </c>
      <c r="E260" s="11">
        <v>142.22999999999999</v>
      </c>
      <c r="F260" s="11">
        <v>521.03</v>
      </c>
      <c r="G260" s="11">
        <v>230.59</v>
      </c>
      <c r="H260" s="11">
        <v>77.900000000000006</v>
      </c>
      <c r="I260" s="3"/>
      <c r="J260" s="11">
        <v>150</v>
      </c>
      <c r="K260" s="11">
        <v>150</v>
      </c>
      <c r="L260" s="3"/>
      <c r="M260" s="11">
        <v>150</v>
      </c>
      <c r="N260" s="3"/>
      <c r="O260" s="11"/>
      <c r="P260" s="11">
        <f t="shared" si="84"/>
        <v>150</v>
      </c>
      <c r="Q260" s="11"/>
      <c r="R260" s="38">
        <f t="shared" si="78"/>
        <v>0</v>
      </c>
      <c r="S260" s="38">
        <f t="shared" si="82"/>
        <v>0</v>
      </c>
    </row>
    <row r="261" spans="1:26" ht="15" x14ac:dyDescent="0.2">
      <c r="A261" s="14" t="s">
        <v>299</v>
      </c>
      <c r="B261" s="15" t="s">
        <v>164</v>
      </c>
      <c r="C261" s="16">
        <v>380</v>
      </c>
      <c r="D261" s="11">
        <v>75.31</v>
      </c>
      <c r="E261" s="11">
        <v>377.06</v>
      </c>
      <c r="F261" s="11">
        <v>117.86</v>
      </c>
      <c r="G261" s="11">
        <v>280.3</v>
      </c>
      <c r="H261" s="11">
        <v>90.41</v>
      </c>
      <c r="I261" s="3"/>
      <c r="J261" s="11">
        <v>2500</v>
      </c>
      <c r="K261" s="11">
        <v>100</v>
      </c>
      <c r="L261" s="3"/>
      <c r="M261" s="11">
        <v>1000</v>
      </c>
      <c r="N261" s="3"/>
      <c r="O261" s="11"/>
      <c r="P261" s="11">
        <f t="shared" si="84"/>
        <v>1000</v>
      </c>
      <c r="Q261" s="11"/>
      <c r="R261" s="38">
        <f t="shared" si="78"/>
        <v>-0.6</v>
      </c>
      <c r="S261" s="38">
        <f t="shared" si="82"/>
        <v>9</v>
      </c>
      <c r="T261" s="50" t="s">
        <v>389</v>
      </c>
    </row>
    <row r="262" spans="1:26" ht="15" x14ac:dyDescent="0.2">
      <c r="A262" s="14">
        <v>6042000</v>
      </c>
      <c r="B262" s="15" t="s">
        <v>300</v>
      </c>
      <c r="C262" s="16">
        <v>3327</v>
      </c>
      <c r="D262" s="11">
        <v>9920</v>
      </c>
      <c r="E262" s="11">
        <v>35098.980000000003</v>
      </c>
      <c r="F262" s="11">
        <v>3079.11</v>
      </c>
      <c r="G262" s="11">
        <v>549.98</v>
      </c>
      <c r="H262" s="11">
        <v>0</v>
      </c>
      <c r="I262" s="3"/>
      <c r="J262" s="11">
        <v>5000</v>
      </c>
      <c r="K262" s="11">
        <v>0</v>
      </c>
      <c r="L262" s="3"/>
      <c r="M262" s="11">
        <v>0</v>
      </c>
      <c r="N262" s="3"/>
      <c r="O262" s="11"/>
      <c r="P262" s="11">
        <f t="shared" si="84"/>
        <v>0</v>
      </c>
      <c r="Q262" s="11"/>
      <c r="R262" s="38">
        <f t="shared" si="78"/>
        <v>-1</v>
      </c>
    </row>
    <row r="263" spans="1:26" ht="15" x14ac:dyDescent="0.2">
      <c r="A263" s="14"/>
      <c r="B263" s="15"/>
      <c r="C263" s="16"/>
      <c r="D263" s="11"/>
      <c r="E263" s="11"/>
      <c r="F263" s="11"/>
      <c r="G263" s="11"/>
      <c r="H263" s="11"/>
      <c r="I263" s="3"/>
      <c r="J263" s="11"/>
      <c r="K263" s="11"/>
      <c r="L263" s="3"/>
      <c r="M263" s="11"/>
      <c r="N263" s="3"/>
      <c r="O263" s="11"/>
      <c r="P263" s="11"/>
      <c r="Q263" s="11"/>
      <c r="R263" s="11"/>
    </row>
    <row r="264" spans="1:26" ht="15" x14ac:dyDescent="0.25">
      <c r="A264" s="29"/>
      <c r="B264" s="30" t="s">
        <v>428</v>
      </c>
      <c r="C264" s="59">
        <f>SUM(C254:C263)+C250</f>
        <v>79037</v>
      </c>
      <c r="D264" s="59">
        <f>SUM(D254:D263)+D250</f>
        <v>134025.69999999998</v>
      </c>
      <c r="E264" s="59">
        <f>SUM(E254:E263)+E250</f>
        <v>150560.34</v>
      </c>
      <c r="F264" s="59">
        <f>SUM(F254:F263)+F250</f>
        <v>179846.97999999998</v>
      </c>
      <c r="G264" s="59">
        <f>SUM(G254:G263)+G250</f>
        <v>209705.22999999998</v>
      </c>
      <c r="H264" s="59">
        <f>SUM(H254:H263)+H250</f>
        <v>169880.64999999997</v>
      </c>
      <c r="I264" s="3"/>
      <c r="J264" s="59">
        <f>SUM(J254:J263)+J250</f>
        <v>235058</v>
      </c>
      <c r="K264" s="59">
        <f>SUM(K254:K263)+K250</f>
        <v>227000</v>
      </c>
      <c r="L264" s="3"/>
      <c r="M264" s="59">
        <f>SUM(M254:M263)+M250</f>
        <v>237238</v>
      </c>
      <c r="N264" s="3"/>
      <c r="O264" s="44"/>
      <c r="P264" s="59">
        <f>SUM(P254:P263)+P250</f>
        <v>237238</v>
      </c>
      <c r="Q264" s="11"/>
      <c r="R264" s="38">
        <f t="shared" ref="R264" si="85">+M264/J264-1</f>
        <v>9.274306766840601E-3</v>
      </c>
      <c r="S264" s="38">
        <f>+M264/K264-1</f>
        <v>4.5101321585903076E-2</v>
      </c>
      <c r="Y264" s="38">
        <f>+M264/J264</f>
        <v>1.0092743067668406</v>
      </c>
      <c r="Z264" s="37">
        <f>+M264-J264</f>
        <v>2180</v>
      </c>
    </row>
    <row r="265" spans="1:26" ht="15" x14ac:dyDescent="0.25">
      <c r="A265" s="29"/>
      <c r="B265" s="30"/>
      <c r="C265" s="16"/>
      <c r="D265" s="11"/>
      <c r="E265" s="11"/>
      <c r="F265" s="11"/>
      <c r="G265" s="11"/>
      <c r="H265" s="11"/>
      <c r="I265" s="3"/>
      <c r="J265" s="11"/>
      <c r="K265" s="11"/>
      <c r="L265" s="3"/>
      <c r="M265" s="11"/>
      <c r="N265" s="3"/>
      <c r="O265" s="11"/>
      <c r="P265" s="11"/>
      <c r="Q265" s="11"/>
      <c r="R265" s="11"/>
    </row>
    <row r="266" spans="1:26" ht="15" x14ac:dyDescent="0.25">
      <c r="A266" s="17"/>
      <c r="B266" s="71" t="s">
        <v>432</v>
      </c>
      <c r="C266" s="72">
        <f>+C264+C240</f>
        <v>142359</v>
      </c>
      <c r="D266" s="72">
        <f>+D264+D240</f>
        <v>201140.63999999998</v>
      </c>
      <c r="E266" s="72">
        <f>+E264+E240</f>
        <v>224599.39</v>
      </c>
      <c r="F266" s="72">
        <f>+F264+F240</f>
        <v>288260.02999999997</v>
      </c>
      <c r="G266" s="72">
        <f>+G264+G240</f>
        <v>317504.32999999996</v>
      </c>
      <c r="H266" s="72">
        <f>+H264+H240</f>
        <v>328410.32999999996</v>
      </c>
      <c r="I266" s="73"/>
      <c r="J266" s="72">
        <f>+J264+J240</f>
        <v>333058</v>
      </c>
      <c r="K266" s="72">
        <f>+K264+K240</f>
        <v>345458</v>
      </c>
      <c r="L266" s="73"/>
      <c r="M266" s="72">
        <f>+M264+M240</f>
        <v>334738</v>
      </c>
      <c r="N266" s="73"/>
      <c r="O266" s="72"/>
      <c r="P266" s="72">
        <f>+P264+P240</f>
        <v>334738</v>
      </c>
      <c r="Q266" s="11"/>
      <c r="R266" s="38">
        <f t="shared" ref="R266" si="86">+M266/J266-1</f>
        <v>5.0441664815137344E-3</v>
      </c>
      <c r="S266" s="38">
        <f>+M266/K266-1</f>
        <v>-3.1031268634682085E-2</v>
      </c>
      <c r="Y266" s="38">
        <f>+M266/J266</f>
        <v>1.0050441664815137</v>
      </c>
      <c r="Z266" s="37">
        <f>+M266-J266</f>
        <v>1680</v>
      </c>
    </row>
    <row r="267" spans="1:26" ht="15" x14ac:dyDescent="0.2">
      <c r="D267" s="11"/>
      <c r="E267" s="11"/>
      <c r="F267" s="11"/>
      <c r="G267" s="11"/>
      <c r="H267" s="11"/>
      <c r="I267" s="3"/>
      <c r="J267" s="11"/>
      <c r="K267" s="11"/>
      <c r="L267" s="3"/>
      <c r="M267" s="11"/>
      <c r="N267" s="3"/>
      <c r="O267" s="11"/>
      <c r="P267" s="11"/>
      <c r="Q267" s="11"/>
      <c r="R267" s="11"/>
    </row>
    <row r="268" spans="1:26" ht="15" x14ac:dyDescent="0.25">
      <c r="A268" s="9"/>
      <c r="B268" s="10" t="s">
        <v>429</v>
      </c>
      <c r="D268" s="11"/>
      <c r="E268" s="11"/>
      <c r="F268" s="11"/>
      <c r="G268" s="11"/>
      <c r="H268" s="11"/>
      <c r="I268" s="3"/>
      <c r="J268" s="11"/>
      <c r="K268" s="11"/>
      <c r="L268" s="3"/>
      <c r="M268" s="11"/>
      <c r="N268" s="3"/>
      <c r="O268" s="11"/>
      <c r="P268" s="11"/>
      <c r="Q268" s="11"/>
      <c r="R268" s="11"/>
    </row>
    <row r="269" spans="1:26" ht="15" x14ac:dyDescent="0.2">
      <c r="A269" s="14" t="s">
        <v>305</v>
      </c>
      <c r="B269" s="15" t="s">
        <v>124</v>
      </c>
      <c r="C269" s="16">
        <v>342053</v>
      </c>
      <c r="D269" s="11">
        <v>325114.84999999998</v>
      </c>
      <c r="E269" s="11">
        <v>17769.150000000001</v>
      </c>
      <c r="F269" s="11">
        <v>23319.919999999998</v>
      </c>
      <c r="G269" s="11">
        <v>24967.7</v>
      </c>
      <c r="H269" s="11">
        <v>19980.77</v>
      </c>
      <c r="I269" s="3"/>
      <c r="J269" s="11">
        <v>26000</v>
      </c>
      <c r="K269" s="11">
        <v>26000</v>
      </c>
      <c r="L269" s="3"/>
      <c r="M269" s="11">
        <v>27040</v>
      </c>
      <c r="N269" s="3"/>
      <c r="O269" s="11"/>
      <c r="P269" s="11">
        <f t="shared" ref="P269:P283" si="87">+O269+M269</f>
        <v>27040</v>
      </c>
      <c r="Q269" s="11"/>
      <c r="R269" s="38">
        <f t="shared" ref="R269:R293" si="88">+M269/J269-1</f>
        <v>4.0000000000000036E-2</v>
      </c>
      <c r="S269" s="38">
        <f t="shared" ref="S269:S294" si="89">+M269/K269-1</f>
        <v>4.0000000000000036E-2</v>
      </c>
    </row>
    <row r="270" spans="1:26" ht="15" x14ac:dyDescent="0.2">
      <c r="A270" s="14" t="s">
        <v>306</v>
      </c>
      <c r="B270" s="15" t="s">
        <v>126</v>
      </c>
      <c r="C270" s="16">
        <v>32251</v>
      </c>
      <c r="D270" s="11">
        <v>31248.5</v>
      </c>
      <c r="E270" s="11">
        <v>1603.74</v>
      </c>
      <c r="F270" s="11">
        <v>1976.08</v>
      </c>
      <c r="G270" s="11">
        <v>1988.28</v>
      </c>
      <c r="H270" s="11">
        <v>1555.99</v>
      </c>
      <c r="I270" s="3"/>
      <c r="J270" s="11">
        <v>2080</v>
      </c>
      <c r="K270" s="11">
        <v>2080</v>
      </c>
      <c r="L270" s="3"/>
      <c r="M270" s="11">
        <v>2163</v>
      </c>
      <c r="N270" s="3"/>
      <c r="O270" s="11"/>
      <c r="P270" s="11">
        <f t="shared" si="87"/>
        <v>2163</v>
      </c>
      <c r="Q270" s="11"/>
      <c r="R270" s="38">
        <f t="shared" si="88"/>
        <v>3.9903846153846123E-2</v>
      </c>
      <c r="S270" s="38">
        <f t="shared" si="89"/>
        <v>3.9903846153846123E-2</v>
      </c>
    </row>
    <row r="271" spans="1:26" ht="15" x14ac:dyDescent="0.2">
      <c r="A271" s="14" t="s">
        <v>307</v>
      </c>
      <c r="B271" s="15" t="s">
        <v>128</v>
      </c>
      <c r="C271" s="16">
        <v>490</v>
      </c>
      <c r="D271" s="11">
        <v>704.4</v>
      </c>
      <c r="E271" s="11">
        <v>587</v>
      </c>
      <c r="F271" s="11">
        <v>704.4</v>
      </c>
      <c r="G271" s="11">
        <v>704.4</v>
      </c>
      <c r="H271" s="11">
        <v>662.96</v>
      </c>
      <c r="I271" s="3"/>
      <c r="J271" s="11">
        <v>704</v>
      </c>
      <c r="K271" s="11">
        <v>704</v>
      </c>
      <c r="L271" s="3"/>
      <c r="M271" s="11">
        <v>1164</v>
      </c>
      <c r="N271" s="3"/>
      <c r="O271" s="11"/>
      <c r="P271" s="11">
        <f t="shared" si="87"/>
        <v>1164</v>
      </c>
      <c r="Q271" s="11"/>
      <c r="R271" s="38">
        <f t="shared" si="88"/>
        <v>0.65340909090909083</v>
      </c>
      <c r="S271" s="38">
        <f t="shared" si="89"/>
        <v>0.65340909090909083</v>
      </c>
      <c r="T271" s="50" t="s">
        <v>390</v>
      </c>
    </row>
    <row r="272" spans="1:26" ht="15" x14ac:dyDescent="0.2">
      <c r="A272" s="14" t="s">
        <v>308</v>
      </c>
      <c r="B272" s="15" t="s">
        <v>132</v>
      </c>
      <c r="C272" s="16">
        <v>13150</v>
      </c>
      <c r="D272" s="11">
        <v>11541.18</v>
      </c>
      <c r="E272" s="11">
        <v>782</v>
      </c>
      <c r="F272" s="11">
        <v>1295.52</v>
      </c>
      <c r="G272" s="11">
        <v>525.91</v>
      </c>
      <c r="H272" s="11">
        <v>696.95</v>
      </c>
      <c r="I272" s="3"/>
      <c r="J272" s="11">
        <v>801</v>
      </c>
      <c r="K272" s="11">
        <v>801</v>
      </c>
      <c r="L272" s="3"/>
      <c r="M272" s="11">
        <v>833</v>
      </c>
      <c r="N272" s="3"/>
      <c r="O272" s="11"/>
      <c r="P272" s="11">
        <f t="shared" si="87"/>
        <v>833</v>
      </c>
      <c r="Q272" s="11"/>
      <c r="R272" s="38">
        <f t="shared" si="88"/>
        <v>3.9950062421972632E-2</v>
      </c>
      <c r="S272" s="38">
        <f t="shared" si="89"/>
        <v>3.9950062421972632E-2</v>
      </c>
    </row>
    <row r="273" spans="1:20" ht="15" x14ac:dyDescent="0.25">
      <c r="A273" s="14"/>
      <c r="B273" s="30" t="s">
        <v>395</v>
      </c>
      <c r="C273" s="59">
        <f>SUM(C269:C272)</f>
        <v>387944</v>
      </c>
      <c r="D273" s="59">
        <f>SUM(D269:D272)</f>
        <v>368608.93</v>
      </c>
      <c r="E273" s="59">
        <f>SUM(E269:E272)</f>
        <v>20741.890000000003</v>
      </c>
      <c r="F273" s="59">
        <f>SUM(F269:F272)</f>
        <v>27295.920000000002</v>
      </c>
      <c r="G273" s="59">
        <f>SUM(G269:G272)</f>
        <v>28186.29</v>
      </c>
      <c r="H273" s="59">
        <f>SUM(H269:H272)</f>
        <v>22896.670000000002</v>
      </c>
      <c r="I273" s="3"/>
      <c r="J273" s="59">
        <f>SUM(J269:J272)</f>
        <v>29585</v>
      </c>
      <c r="K273" s="59">
        <f>SUM(K269:K272)</f>
        <v>29585</v>
      </c>
      <c r="L273" s="3"/>
      <c r="M273" s="59">
        <f>SUM(M269:M272)</f>
        <v>31200</v>
      </c>
      <c r="N273" s="3"/>
      <c r="O273" s="44"/>
      <c r="P273" s="59">
        <f>SUM(P269:P272)</f>
        <v>31200</v>
      </c>
      <c r="Q273" s="11"/>
      <c r="R273" s="38"/>
    </row>
    <row r="274" spans="1:20" ht="15" x14ac:dyDescent="0.2">
      <c r="A274" s="14">
        <v>6080300</v>
      </c>
      <c r="B274" s="15" t="s">
        <v>134</v>
      </c>
      <c r="C274" s="16">
        <v>0</v>
      </c>
      <c r="D274" s="11">
        <v>0</v>
      </c>
      <c r="E274" s="11">
        <v>356886.9</v>
      </c>
      <c r="F274" s="11">
        <v>364909.6</v>
      </c>
      <c r="G274" s="11">
        <v>402072.36</v>
      </c>
      <c r="H274" s="11">
        <v>501648.21</v>
      </c>
      <c r="I274" s="3"/>
      <c r="J274" s="11">
        <v>445435</v>
      </c>
      <c r="K274" s="11">
        <v>538000</v>
      </c>
      <c r="L274" s="3"/>
      <c r="M274" s="11">
        <v>510300</v>
      </c>
      <c r="N274" s="3"/>
      <c r="O274" s="11"/>
      <c r="P274" s="11">
        <f t="shared" si="87"/>
        <v>510300</v>
      </c>
      <c r="Q274" s="11"/>
      <c r="R274" s="38">
        <f t="shared" si="88"/>
        <v>0.14562169564582939</v>
      </c>
      <c r="S274" s="38">
        <f t="shared" si="89"/>
        <v>-5.1486988847583626E-2</v>
      </c>
      <c r="T274" s="53" t="s">
        <v>376</v>
      </c>
    </row>
    <row r="275" spans="1:20" ht="15" x14ac:dyDescent="0.2">
      <c r="A275" s="14">
        <v>6080301</v>
      </c>
      <c r="B275" s="15" t="s">
        <v>348</v>
      </c>
      <c r="C275" s="16"/>
      <c r="D275" s="11"/>
      <c r="E275" s="11"/>
      <c r="F275" s="11"/>
      <c r="G275" s="11">
        <v>0</v>
      </c>
      <c r="H275" s="11">
        <v>36210.99</v>
      </c>
      <c r="I275" s="3"/>
      <c r="J275" s="11"/>
      <c r="K275" s="11"/>
      <c r="L275" s="3"/>
      <c r="M275" s="11">
        <v>35000</v>
      </c>
      <c r="N275" s="3"/>
      <c r="O275" s="11"/>
      <c r="P275" s="11">
        <f t="shared" si="87"/>
        <v>35000</v>
      </c>
      <c r="Q275" s="11"/>
      <c r="R275" s="38"/>
      <c r="T275" s="53"/>
    </row>
    <row r="276" spans="1:20" ht="15" x14ac:dyDescent="0.2">
      <c r="A276" s="14">
        <v>6080310</v>
      </c>
      <c r="B276" s="15" t="s">
        <v>136</v>
      </c>
      <c r="C276" s="16">
        <v>0</v>
      </c>
      <c r="D276" s="11">
        <v>0</v>
      </c>
      <c r="E276" s="11">
        <f>33729.62+40.32</f>
        <v>33769.94</v>
      </c>
      <c r="F276" s="11">
        <v>32756.37</v>
      </c>
      <c r="G276" s="11">
        <v>36872.15</v>
      </c>
      <c r="H276" s="11">
        <v>41213.07</v>
      </c>
      <c r="I276" s="3"/>
      <c r="J276" s="11">
        <v>40090</v>
      </c>
      <c r="K276" s="11">
        <v>42000</v>
      </c>
      <c r="L276" s="3"/>
      <c r="M276" s="11">
        <v>49085</v>
      </c>
      <c r="N276" s="3"/>
      <c r="O276" s="11"/>
      <c r="P276" s="11">
        <f t="shared" si="87"/>
        <v>49085</v>
      </c>
      <c r="Q276" s="11"/>
      <c r="R276" s="38">
        <f t="shared" si="88"/>
        <v>0.22437016712397106</v>
      </c>
      <c r="S276" s="38">
        <f t="shared" si="89"/>
        <v>0.16869047619047617</v>
      </c>
    </row>
    <row r="277" spans="1:20" ht="15" x14ac:dyDescent="0.2">
      <c r="A277" s="14">
        <v>6080350</v>
      </c>
      <c r="B277" s="15" t="s">
        <v>176</v>
      </c>
      <c r="C277" s="16">
        <v>0</v>
      </c>
      <c r="D277" s="11">
        <v>6569</v>
      </c>
      <c r="E277" s="11">
        <v>4785.88</v>
      </c>
      <c r="F277" s="11">
        <v>12720.3</v>
      </c>
      <c r="G277" s="11">
        <v>7849.9</v>
      </c>
      <c r="H277" s="11">
        <v>10842.3</v>
      </c>
      <c r="I277" s="3"/>
      <c r="J277" s="11">
        <v>10000</v>
      </c>
      <c r="K277" s="11">
        <v>20395</v>
      </c>
      <c r="L277" s="3"/>
      <c r="M277" s="11">
        <v>15000</v>
      </c>
      <c r="N277" s="3"/>
      <c r="O277" s="11"/>
      <c r="P277" s="11">
        <f t="shared" si="87"/>
        <v>15000</v>
      </c>
      <c r="Q277" s="11"/>
      <c r="R277" s="38">
        <f t="shared" si="88"/>
        <v>0.5</v>
      </c>
      <c r="S277" s="38">
        <f t="shared" si="89"/>
        <v>-0.26452561902427063</v>
      </c>
    </row>
    <row r="278" spans="1:20" ht="15" x14ac:dyDescent="0.2">
      <c r="A278" s="14">
        <v>6080360</v>
      </c>
      <c r="B278" s="15" t="s">
        <v>138</v>
      </c>
      <c r="C278" s="16">
        <v>0</v>
      </c>
      <c r="D278" s="11">
        <v>0</v>
      </c>
      <c r="E278" s="11">
        <v>7996.8</v>
      </c>
      <c r="F278" s="11">
        <v>31738.97</v>
      </c>
      <c r="G278" s="11">
        <v>21853.57</v>
      </c>
      <c r="H278" s="11">
        <v>11458.01</v>
      </c>
      <c r="I278" s="3"/>
      <c r="J278" s="11">
        <v>13720</v>
      </c>
      <c r="K278" s="11">
        <v>15500</v>
      </c>
      <c r="L278" s="3"/>
      <c r="M278" s="11">
        <v>16800</v>
      </c>
      <c r="N278" s="3"/>
      <c r="O278" s="11"/>
      <c r="P278" s="11">
        <f t="shared" si="87"/>
        <v>16800</v>
      </c>
      <c r="Q278" s="11"/>
      <c r="R278" s="38">
        <f t="shared" si="88"/>
        <v>0.22448979591836737</v>
      </c>
      <c r="S278" s="38">
        <f t="shared" si="89"/>
        <v>8.3870967741935587E-2</v>
      </c>
    </row>
    <row r="279" spans="1:20" ht="15" x14ac:dyDescent="0.25">
      <c r="A279" s="14"/>
      <c r="B279" s="30" t="s">
        <v>396</v>
      </c>
      <c r="C279" s="44">
        <f>SUM(C274:C278)</f>
        <v>0</v>
      </c>
      <c r="D279" s="44">
        <f>SUM(D274:D278)</f>
        <v>6569</v>
      </c>
      <c r="E279" s="44">
        <f>SUM(E274:E278)</f>
        <v>403439.52</v>
      </c>
      <c r="F279" s="44">
        <f>SUM(F274:F278)</f>
        <v>442125.24</v>
      </c>
      <c r="G279" s="44">
        <f>SUM(G274:G278)</f>
        <v>468647.98000000004</v>
      </c>
      <c r="H279" s="44">
        <f>SUM(H274:H278)</f>
        <v>601372.58000000007</v>
      </c>
      <c r="I279" s="3"/>
      <c r="J279" s="44">
        <f>SUM(J274:J278)</f>
        <v>509245</v>
      </c>
      <c r="K279" s="44">
        <f>SUM(K274:K278)</f>
        <v>615895</v>
      </c>
      <c r="L279" s="3"/>
      <c r="M279" s="44">
        <f>SUM(M274:M278)</f>
        <v>626185</v>
      </c>
      <c r="N279" s="3"/>
      <c r="O279" s="44"/>
      <c r="P279" s="44">
        <f>SUM(P274:P278)</f>
        <v>626185</v>
      </c>
      <c r="Q279" s="11"/>
      <c r="R279" s="38"/>
    </row>
    <row r="280" spans="1:20" ht="15" x14ac:dyDescent="0.2">
      <c r="A280" s="14" t="s">
        <v>310</v>
      </c>
      <c r="B280" s="15" t="s">
        <v>140</v>
      </c>
      <c r="C280" s="16">
        <v>7273</v>
      </c>
      <c r="D280" s="11">
        <v>6086.12</v>
      </c>
      <c r="E280" s="11">
        <v>5902.42</v>
      </c>
      <c r="F280" s="11">
        <v>7997.13</v>
      </c>
      <c r="G280" s="11">
        <v>7924.08</v>
      </c>
      <c r="H280" s="11">
        <v>4995.37</v>
      </c>
      <c r="I280" s="3"/>
      <c r="J280" s="11">
        <v>8000</v>
      </c>
      <c r="K280" s="11">
        <v>8000</v>
      </c>
      <c r="L280" s="3"/>
      <c r="M280" s="11">
        <v>7500</v>
      </c>
      <c r="N280" s="3"/>
      <c r="O280" s="11"/>
      <c r="P280" s="11">
        <f t="shared" si="87"/>
        <v>7500</v>
      </c>
      <c r="Q280" s="11"/>
      <c r="R280" s="38">
        <f t="shared" si="88"/>
        <v>-6.25E-2</v>
      </c>
      <c r="S280" s="38">
        <f t="shared" si="89"/>
        <v>-6.25E-2</v>
      </c>
    </row>
    <row r="281" spans="1:20" ht="15" x14ac:dyDescent="0.2">
      <c r="A281" s="14" t="s">
        <v>311</v>
      </c>
      <c r="B281" s="15" t="s">
        <v>142</v>
      </c>
      <c r="C281" s="16">
        <v>1200</v>
      </c>
      <c r="D281" s="11">
        <v>1710</v>
      </c>
      <c r="E281" s="11">
        <v>1800</v>
      </c>
      <c r="F281" s="11">
        <v>3000</v>
      </c>
      <c r="G281" s="11">
        <v>2863</v>
      </c>
      <c r="H281" s="11">
        <v>2825</v>
      </c>
      <c r="I281" s="3"/>
      <c r="J281" s="11">
        <v>3800</v>
      </c>
      <c r="K281" s="11">
        <v>3800</v>
      </c>
      <c r="L281" s="3"/>
      <c r="M281" s="11">
        <v>3800</v>
      </c>
      <c r="N281" s="3"/>
      <c r="O281" s="11"/>
      <c r="P281" s="11">
        <f t="shared" si="87"/>
        <v>3800</v>
      </c>
      <c r="Q281" s="11"/>
      <c r="R281" s="38">
        <f t="shared" si="88"/>
        <v>0</v>
      </c>
      <c r="S281" s="38">
        <f t="shared" si="89"/>
        <v>0</v>
      </c>
    </row>
    <row r="282" spans="1:20" ht="15" x14ac:dyDescent="0.2">
      <c r="A282" s="14">
        <v>6080520</v>
      </c>
      <c r="B282" s="15" t="s">
        <v>144</v>
      </c>
      <c r="C282" s="16"/>
      <c r="D282" s="11"/>
      <c r="E282" s="11"/>
      <c r="F282" s="11">
        <v>0</v>
      </c>
      <c r="G282" s="11">
        <v>444</v>
      </c>
      <c r="H282" s="11">
        <v>450</v>
      </c>
      <c r="I282" s="3"/>
      <c r="J282" s="11">
        <v>500</v>
      </c>
      <c r="K282" s="11">
        <v>500</v>
      </c>
      <c r="L282" s="3"/>
      <c r="M282" s="11">
        <v>500</v>
      </c>
      <c r="N282" s="3"/>
      <c r="O282" s="11"/>
      <c r="P282" s="11">
        <f t="shared" si="87"/>
        <v>500</v>
      </c>
      <c r="Q282" s="11"/>
      <c r="R282" s="38">
        <f t="shared" si="88"/>
        <v>0</v>
      </c>
      <c r="S282" s="38">
        <f t="shared" si="89"/>
        <v>0</v>
      </c>
    </row>
    <row r="283" spans="1:20" ht="15" x14ac:dyDescent="0.2">
      <c r="A283" s="14" t="s">
        <v>312</v>
      </c>
      <c r="B283" s="15" t="s">
        <v>146</v>
      </c>
      <c r="C283" s="16">
        <v>4475</v>
      </c>
      <c r="D283" s="11">
        <v>4265.8500000000004</v>
      </c>
      <c r="E283" s="11">
        <v>754.95</v>
      </c>
      <c r="F283" s="11">
        <v>12486.38</v>
      </c>
      <c r="G283" s="11">
        <v>3168.9</v>
      </c>
      <c r="H283" s="11">
        <v>894.22</v>
      </c>
      <c r="I283" s="3"/>
      <c r="J283" s="11">
        <v>1500</v>
      </c>
      <c r="K283" s="11">
        <v>1500</v>
      </c>
      <c r="L283" s="3"/>
      <c r="M283" s="11">
        <v>1500</v>
      </c>
      <c r="N283" s="3"/>
      <c r="O283" s="11"/>
      <c r="P283" s="11">
        <f t="shared" si="87"/>
        <v>1500</v>
      </c>
      <c r="Q283" s="11"/>
      <c r="R283" s="38">
        <f t="shared" si="88"/>
        <v>0</v>
      </c>
      <c r="S283" s="38">
        <f t="shared" si="89"/>
        <v>0</v>
      </c>
    </row>
    <row r="284" spans="1:20" ht="15" x14ac:dyDescent="0.2">
      <c r="A284" s="14" t="s">
        <v>313</v>
      </c>
      <c r="B284" s="15" t="s">
        <v>314</v>
      </c>
      <c r="C284" s="16">
        <v>0</v>
      </c>
      <c r="D284" s="11">
        <v>5</v>
      </c>
      <c r="E284" s="11">
        <v>0</v>
      </c>
      <c r="F284" s="11">
        <v>0</v>
      </c>
      <c r="G284" s="11">
        <v>0</v>
      </c>
      <c r="H284" s="11"/>
      <c r="I284" s="3"/>
      <c r="J284" s="11"/>
      <c r="K284" s="11"/>
      <c r="L284" s="3"/>
      <c r="M284" s="11"/>
      <c r="N284" s="3"/>
      <c r="O284" s="11"/>
      <c r="P284" s="11"/>
      <c r="Q284" s="11"/>
      <c r="R284" s="38"/>
    </row>
    <row r="285" spans="1:20" ht="15" x14ac:dyDescent="0.2">
      <c r="A285" s="14" t="s">
        <v>315</v>
      </c>
      <c r="B285" s="15" t="s">
        <v>182</v>
      </c>
      <c r="C285" s="16"/>
      <c r="D285" s="11"/>
      <c r="E285" s="11"/>
      <c r="F285" s="11"/>
      <c r="G285" s="11"/>
      <c r="H285" s="11"/>
      <c r="I285" s="3"/>
      <c r="J285" s="11"/>
      <c r="K285" s="11"/>
      <c r="L285" s="3"/>
      <c r="M285" s="11"/>
      <c r="N285" s="3"/>
      <c r="O285" s="11"/>
      <c r="P285" s="11"/>
      <c r="Q285" s="11"/>
      <c r="R285" s="38"/>
      <c r="T285" s="50" t="s">
        <v>380</v>
      </c>
    </row>
    <row r="286" spans="1:20" ht="15" x14ac:dyDescent="0.2">
      <c r="A286" s="14" t="s">
        <v>316</v>
      </c>
      <c r="B286" s="15" t="s">
        <v>184</v>
      </c>
      <c r="C286" s="16"/>
      <c r="D286" s="11"/>
      <c r="E286" s="11"/>
      <c r="F286" s="11"/>
      <c r="G286" s="11"/>
      <c r="H286" s="11"/>
      <c r="I286" s="3"/>
      <c r="J286" s="11"/>
      <c r="K286" s="11"/>
      <c r="L286" s="3"/>
      <c r="M286" s="11"/>
      <c r="N286" s="3"/>
      <c r="O286" s="11"/>
      <c r="P286" s="11"/>
      <c r="Q286" s="11"/>
      <c r="R286" s="38"/>
      <c r="T286" s="50" t="s">
        <v>380</v>
      </c>
    </row>
    <row r="287" spans="1:20" ht="15" x14ac:dyDescent="0.2">
      <c r="A287" s="14" t="s">
        <v>317</v>
      </c>
      <c r="B287" s="15" t="s">
        <v>154</v>
      </c>
      <c r="C287" s="16">
        <v>995</v>
      </c>
      <c r="D287" s="11">
        <v>1017.96</v>
      </c>
      <c r="E287" s="11">
        <v>843.3</v>
      </c>
      <c r="F287" s="11">
        <v>1314.66</v>
      </c>
      <c r="G287" s="11">
        <v>2659.87</v>
      </c>
      <c r="H287" s="11">
        <v>3017.28</v>
      </c>
      <c r="I287" s="3"/>
      <c r="J287" s="11">
        <v>1000</v>
      </c>
      <c r="K287" s="11">
        <v>3100</v>
      </c>
      <c r="L287" s="3"/>
      <c r="M287" s="11">
        <v>3000</v>
      </c>
      <c r="N287" s="3"/>
      <c r="O287" s="11"/>
      <c r="P287" s="11">
        <f t="shared" ref="P287:P294" si="90">+O287+M287</f>
        <v>3000</v>
      </c>
      <c r="Q287" s="11"/>
      <c r="R287" s="38">
        <f t="shared" si="88"/>
        <v>2</v>
      </c>
      <c r="S287" s="38">
        <f t="shared" si="89"/>
        <v>-3.2258064516129004E-2</v>
      </c>
    </row>
    <row r="288" spans="1:20" ht="15" x14ac:dyDescent="0.2">
      <c r="A288" s="14" t="s">
        <v>318</v>
      </c>
      <c r="B288" s="15" t="s">
        <v>156</v>
      </c>
      <c r="C288" s="16">
        <v>500</v>
      </c>
      <c r="D288" s="11">
        <v>0</v>
      </c>
      <c r="E288" s="11">
        <v>0</v>
      </c>
      <c r="F288" s="11">
        <v>500</v>
      </c>
      <c r="G288" s="11">
        <v>0</v>
      </c>
      <c r="H288" s="11">
        <v>3375</v>
      </c>
      <c r="I288" s="3"/>
      <c r="J288" s="11">
        <v>500</v>
      </c>
      <c r="K288" s="11">
        <v>3500</v>
      </c>
      <c r="L288" s="3"/>
      <c r="M288" s="11">
        <v>500</v>
      </c>
      <c r="N288" s="3"/>
      <c r="O288" s="11"/>
      <c r="P288" s="11">
        <f t="shared" si="90"/>
        <v>500</v>
      </c>
      <c r="Q288" s="11"/>
      <c r="R288" s="38">
        <f t="shared" si="88"/>
        <v>0</v>
      </c>
      <c r="S288" s="38">
        <f t="shared" si="89"/>
        <v>-0.85714285714285721</v>
      </c>
    </row>
    <row r="289" spans="1:28" ht="15" x14ac:dyDescent="0.2">
      <c r="A289" s="14" t="s">
        <v>319</v>
      </c>
      <c r="B289" s="15" t="s">
        <v>158</v>
      </c>
      <c r="C289" s="16">
        <v>10420</v>
      </c>
      <c r="D289" s="11">
        <v>9835.7000000000007</v>
      </c>
      <c r="E289" s="11">
        <v>7220</v>
      </c>
      <c r="F289" s="11">
        <v>5075</v>
      </c>
      <c r="G289" s="11">
        <v>9020</v>
      </c>
      <c r="H289" s="11">
        <v>10330</v>
      </c>
      <c r="I289" s="3"/>
      <c r="J289" s="11">
        <v>10000</v>
      </c>
      <c r="K289" s="11">
        <v>11000</v>
      </c>
      <c r="L289" s="3"/>
      <c r="M289" s="11">
        <v>11000</v>
      </c>
      <c r="N289" s="3"/>
      <c r="O289" s="11"/>
      <c r="P289" s="11">
        <f t="shared" si="90"/>
        <v>11000</v>
      </c>
      <c r="Q289" s="11"/>
      <c r="R289" s="38">
        <f t="shared" si="88"/>
        <v>0.10000000000000009</v>
      </c>
      <c r="S289" s="38">
        <f t="shared" si="89"/>
        <v>0</v>
      </c>
    </row>
    <row r="290" spans="1:28" ht="15" x14ac:dyDescent="0.2">
      <c r="A290" s="14" t="s">
        <v>320</v>
      </c>
      <c r="B290" s="15" t="s">
        <v>160</v>
      </c>
      <c r="C290" s="16">
        <v>1896</v>
      </c>
      <c r="D290" s="11">
        <v>6397.81</v>
      </c>
      <c r="E290" s="11">
        <v>4957.8999999999996</v>
      </c>
      <c r="F290" s="11">
        <v>4915.72</v>
      </c>
      <c r="G290" s="11">
        <v>3795.04</v>
      </c>
      <c r="H290" s="11">
        <v>2610.3000000000002</v>
      </c>
      <c r="I290" s="3"/>
      <c r="J290" s="11">
        <v>5000</v>
      </c>
      <c r="K290" s="11">
        <v>5000</v>
      </c>
      <c r="L290" s="3"/>
      <c r="M290" s="11">
        <v>3000</v>
      </c>
      <c r="N290" s="3"/>
      <c r="O290" s="11"/>
      <c r="P290" s="11">
        <f t="shared" si="90"/>
        <v>3000</v>
      </c>
      <c r="Q290" s="11"/>
      <c r="R290" s="38">
        <f t="shared" si="88"/>
        <v>-0.4</v>
      </c>
      <c r="S290" s="38">
        <f t="shared" si="89"/>
        <v>-0.4</v>
      </c>
    </row>
    <row r="291" spans="1:28" ht="15" x14ac:dyDescent="0.2">
      <c r="A291" s="14" t="s">
        <v>321</v>
      </c>
      <c r="B291" s="15" t="s">
        <v>162</v>
      </c>
      <c r="C291" s="16">
        <v>811</v>
      </c>
      <c r="D291" s="11">
        <v>705.48</v>
      </c>
      <c r="E291" s="11">
        <v>1026.3399999999999</v>
      </c>
      <c r="F291" s="11">
        <v>0</v>
      </c>
      <c r="G291" s="11">
        <v>2454.09</v>
      </c>
      <c r="H291" s="11">
        <v>0</v>
      </c>
      <c r="I291" s="3"/>
      <c r="J291" s="11">
        <v>1500</v>
      </c>
      <c r="K291" s="11">
        <v>0</v>
      </c>
      <c r="L291" s="3"/>
      <c r="M291" s="11">
        <v>0</v>
      </c>
      <c r="N291" s="3"/>
      <c r="O291" s="11"/>
      <c r="P291" s="11">
        <f t="shared" si="90"/>
        <v>0</v>
      </c>
      <c r="Q291" s="11"/>
      <c r="R291" s="38">
        <f t="shared" si="88"/>
        <v>-1</v>
      </c>
      <c r="S291" s="38">
        <v>0</v>
      </c>
    </row>
    <row r="292" spans="1:28" ht="15" x14ac:dyDescent="0.2">
      <c r="A292" s="14" t="s">
        <v>322</v>
      </c>
      <c r="B292" s="15" t="s">
        <v>80</v>
      </c>
      <c r="C292" s="16">
        <v>388</v>
      </c>
      <c r="D292" s="11">
        <v>703.29</v>
      </c>
      <c r="E292" s="11">
        <v>568.28</v>
      </c>
      <c r="F292" s="11">
        <v>779.64</v>
      </c>
      <c r="G292" s="11">
        <v>833.23</v>
      </c>
      <c r="H292" s="11">
        <v>641.23</v>
      </c>
      <c r="I292" s="3"/>
      <c r="J292" s="11">
        <v>500</v>
      </c>
      <c r="K292" s="11">
        <v>750</v>
      </c>
      <c r="L292" s="3"/>
      <c r="M292" s="11">
        <v>1000</v>
      </c>
      <c r="N292" s="3"/>
      <c r="O292" s="11"/>
      <c r="P292" s="11">
        <f t="shared" si="90"/>
        <v>1000</v>
      </c>
      <c r="Q292" s="11"/>
      <c r="R292" s="38">
        <f t="shared" si="88"/>
        <v>1</v>
      </c>
      <c r="S292" s="38">
        <f t="shared" si="89"/>
        <v>0.33333333333333326</v>
      </c>
    </row>
    <row r="293" spans="1:28" ht="15" x14ac:dyDescent="0.2">
      <c r="A293" s="14" t="s">
        <v>323</v>
      </c>
      <c r="B293" s="15" t="s">
        <v>164</v>
      </c>
      <c r="C293" s="16">
        <v>7135</v>
      </c>
      <c r="D293" s="11">
        <v>5008.47</v>
      </c>
      <c r="E293" s="11">
        <v>1193.99</v>
      </c>
      <c r="F293" s="11">
        <v>3410.95</v>
      </c>
      <c r="G293" s="11">
        <v>5030.8999999999996</v>
      </c>
      <c r="H293" s="11">
        <v>930.91</v>
      </c>
      <c r="I293" s="3"/>
      <c r="J293" s="11">
        <v>2500</v>
      </c>
      <c r="K293" s="11">
        <v>2500</v>
      </c>
      <c r="L293" s="3"/>
      <c r="M293" s="11">
        <v>1000</v>
      </c>
      <c r="N293" s="3"/>
      <c r="O293" s="11"/>
      <c r="P293" s="11">
        <f t="shared" si="90"/>
        <v>1000</v>
      </c>
      <c r="Q293" s="11"/>
      <c r="R293" s="38">
        <f t="shared" si="88"/>
        <v>-0.6</v>
      </c>
      <c r="S293" s="38">
        <f t="shared" si="89"/>
        <v>-0.6</v>
      </c>
    </row>
    <row r="294" spans="1:28" ht="15" x14ac:dyDescent="0.2">
      <c r="A294" s="14">
        <v>6081950</v>
      </c>
      <c r="B294" s="15" t="s">
        <v>269</v>
      </c>
      <c r="C294" s="16"/>
      <c r="D294" s="11"/>
      <c r="E294" s="11"/>
      <c r="F294" s="11"/>
      <c r="G294" s="11"/>
      <c r="H294" s="11">
        <v>355.63</v>
      </c>
      <c r="I294" s="3"/>
      <c r="J294" s="11"/>
      <c r="K294" s="11">
        <v>500</v>
      </c>
      <c r="L294" s="3"/>
      <c r="M294" s="11">
        <v>500</v>
      </c>
      <c r="N294" s="3"/>
      <c r="O294" s="11"/>
      <c r="P294" s="11">
        <f t="shared" si="90"/>
        <v>500</v>
      </c>
      <c r="Q294" s="11"/>
      <c r="R294" s="38"/>
      <c r="S294" s="38">
        <f t="shared" si="89"/>
        <v>0</v>
      </c>
    </row>
    <row r="295" spans="1:28" ht="15" x14ac:dyDescent="0.2">
      <c r="A295" s="14">
        <v>6082000</v>
      </c>
      <c r="B295" s="15" t="s">
        <v>191</v>
      </c>
      <c r="C295" s="16">
        <v>7039</v>
      </c>
      <c r="D295" s="11">
        <v>7670</v>
      </c>
      <c r="E295" s="11">
        <v>4505</v>
      </c>
      <c r="F295" s="11">
        <v>3557</v>
      </c>
      <c r="G295" s="11">
        <v>0</v>
      </c>
      <c r="H295" s="11">
        <v>0</v>
      </c>
      <c r="I295" s="3"/>
      <c r="J295" s="11"/>
      <c r="K295" s="11"/>
      <c r="L295" s="3"/>
      <c r="M295" s="11"/>
      <c r="N295" s="3"/>
      <c r="O295" s="11"/>
      <c r="P295" s="11"/>
      <c r="Q295" s="11"/>
      <c r="R295" s="38"/>
    </row>
    <row r="296" spans="1:28" ht="15" x14ac:dyDescent="0.2">
      <c r="A296" s="21"/>
      <c r="B296" s="22"/>
      <c r="C296" s="16"/>
      <c r="D296" s="11"/>
      <c r="E296" s="11"/>
      <c r="F296" s="11"/>
      <c r="G296" s="11"/>
      <c r="H296" s="11"/>
      <c r="I296" s="3"/>
      <c r="J296" s="11"/>
      <c r="K296" s="11"/>
      <c r="L296" s="3"/>
      <c r="M296" s="11"/>
      <c r="N296" s="3"/>
      <c r="O296" s="11"/>
      <c r="P296" s="11"/>
      <c r="Q296" s="11"/>
      <c r="R296" s="11"/>
    </row>
    <row r="297" spans="1:28" ht="15" x14ac:dyDescent="0.25">
      <c r="A297" s="17"/>
      <c r="B297" s="71" t="s">
        <v>430</v>
      </c>
      <c r="C297" s="74">
        <f>SUM(C279:C296)+C273</f>
        <v>430076</v>
      </c>
      <c r="D297" s="74">
        <f>SUM(D279:D296)+D273</f>
        <v>418583.61</v>
      </c>
      <c r="E297" s="74">
        <f>SUM(E279:E296)+E273</f>
        <v>452953.59000000008</v>
      </c>
      <c r="F297" s="74">
        <f>SUM(F279:F296)+F273</f>
        <v>512457.63999999996</v>
      </c>
      <c r="G297" s="74">
        <f>SUM(G279:G296)+G273</f>
        <v>535027.38000000012</v>
      </c>
      <c r="H297" s="74">
        <f>SUM(H279:H296)+H273</f>
        <v>654694.19000000018</v>
      </c>
      <c r="I297" s="73"/>
      <c r="J297" s="74">
        <f>SUM(J279:J296)+J273</f>
        <v>573630</v>
      </c>
      <c r="K297" s="74">
        <f>SUM(K279:K296)+K273</f>
        <v>685630</v>
      </c>
      <c r="L297" s="73"/>
      <c r="M297" s="74">
        <f>SUM(M279:M296)+M273</f>
        <v>690685</v>
      </c>
      <c r="N297" s="73"/>
      <c r="O297" s="72"/>
      <c r="P297" s="74">
        <f>SUM(P279:P296)+P273</f>
        <v>690685</v>
      </c>
      <c r="Q297" s="11"/>
      <c r="R297" s="38">
        <f t="shared" ref="R297" si="91">+M297/J297-1</f>
        <v>0.20406010843226463</v>
      </c>
      <c r="S297" s="38">
        <f>+M297/K297-1</f>
        <v>7.372781237693804E-3</v>
      </c>
      <c r="Y297" s="38">
        <f>+M297/J297</f>
        <v>1.2040601084322646</v>
      </c>
      <c r="Z297" s="37">
        <f>+M297-J297</f>
        <v>117055</v>
      </c>
    </row>
    <row r="298" spans="1:28" ht="15" x14ac:dyDescent="0.2">
      <c r="D298" s="11"/>
      <c r="E298" s="11"/>
      <c r="F298" s="11"/>
      <c r="G298" s="11"/>
      <c r="H298" s="11"/>
      <c r="I298" s="3"/>
      <c r="J298" s="11"/>
      <c r="K298" s="11"/>
      <c r="L298" s="3"/>
      <c r="M298" s="11"/>
      <c r="N298" s="3"/>
      <c r="O298" s="11"/>
      <c r="P298" s="11"/>
      <c r="Q298" s="11"/>
      <c r="R298" s="11"/>
    </row>
    <row r="299" spans="1:28" s="20" customFormat="1" ht="15" x14ac:dyDescent="0.25">
      <c r="A299" s="23"/>
      <c r="B299" s="24" t="s">
        <v>431</v>
      </c>
      <c r="C299" s="44">
        <f>+C297+C266+C229+C176</f>
        <v>3621404</v>
      </c>
      <c r="D299" s="44">
        <f>+D297+D266+D229+D176</f>
        <v>3909763.96</v>
      </c>
      <c r="E299" s="44">
        <f>+E297+E266+E229+E176</f>
        <v>3633212.9200000004</v>
      </c>
      <c r="F299" s="44">
        <f>+F297+F266+F229+F176</f>
        <v>4901104.6260000002</v>
      </c>
      <c r="G299" s="44">
        <f>+G297+G266+G229+G176</f>
        <v>5515886.1200000001</v>
      </c>
      <c r="H299" s="44">
        <f>+H297+H266+H229+H176</f>
        <v>5117297.66</v>
      </c>
      <c r="I299" s="3"/>
      <c r="J299" s="44">
        <f>+J297+J266+J229+J176</f>
        <v>5794999</v>
      </c>
      <c r="K299" s="44">
        <f>+K297+K266+K229+K176</f>
        <v>6204249</v>
      </c>
      <c r="L299" s="3"/>
      <c r="M299" s="44">
        <f>+M297+M266+M229+M176</f>
        <v>6422571</v>
      </c>
      <c r="N299" s="3"/>
      <c r="O299" s="44"/>
      <c r="P299" s="44">
        <f>+P297+P266+P229+P176</f>
        <v>6392571</v>
      </c>
      <c r="Q299" s="44"/>
      <c r="R299" s="39">
        <f t="shared" ref="R299" si="92">+M299/J299-1</f>
        <v>0.10829544578005956</v>
      </c>
      <c r="S299" s="39">
        <f>+M299/K299-1</f>
        <v>3.518910991483426E-2</v>
      </c>
      <c r="T299" s="51"/>
      <c r="U299" s="39"/>
      <c r="V299" s="39"/>
      <c r="W299" s="39"/>
      <c r="X299" s="39"/>
      <c r="Y299" s="39">
        <f>+M299/J299</f>
        <v>1.1082954457800596</v>
      </c>
      <c r="Z299" s="61">
        <f>+M299-J299</f>
        <v>627572</v>
      </c>
      <c r="AA299" s="44"/>
      <c r="AB299" s="44">
        <f>+(M274+M276+M251+M252+M198+M200+M125+M127+M92+M93)/M299</f>
        <v>0.13731650455868841</v>
      </c>
    </row>
    <row r="300" spans="1:28" ht="15" x14ac:dyDescent="0.2">
      <c r="D300" s="11"/>
      <c r="E300" s="11"/>
      <c r="F300" s="11"/>
      <c r="G300" s="11"/>
      <c r="H300" s="11"/>
      <c r="I300" s="3"/>
      <c r="J300" s="11"/>
      <c r="K300" s="11"/>
      <c r="L300" s="3"/>
      <c r="M300" s="11"/>
      <c r="N300" s="3"/>
      <c r="O300" s="11"/>
      <c r="P300" s="11"/>
      <c r="Q300" s="11"/>
      <c r="R300" s="11"/>
    </row>
    <row r="301" spans="1:28" ht="15" x14ac:dyDescent="0.2">
      <c r="D301" s="11"/>
      <c r="E301" s="11"/>
      <c r="F301" s="11"/>
      <c r="G301" s="11"/>
      <c r="H301" s="11"/>
      <c r="I301" s="3"/>
      <c r="J301" s="11"/>
      <c r="K301" s="11"/>
      <c r="L301" s="3"/>
      <c r="M301" s="11"/>
      <c r="N301" s="3"/>
      <c r="O301" s="11"/>
      <c r="P301" s="11"/>
      <c r="Q301" s="11"/>
      <c r="R301" s="11"/>
    </row>
    <row r="302" spans="1:28" s="69" customFormat="1" ht="15" x14ac:dyDescent="0.25">
      <c r="A302" s="62"/>
      <c r="B302" s="63" t="s">
        <v>326</v>
      </c>
      <c r="C302" s="65">
        <f>+C58-C299</f>
        <v>654747</v>
      </c>
      <c r="D302" s="65">
        <f>+D58-D299</f>
        <v>2110157.4100000011</v>
      </c>
      <c r="E302" s="65">
        <f>+E58-E299</f>
        <v>1227583.2599999993</v>
      </c>
      <c r="F302" s="65">
        <f>+F58-F299</f>
        <v>950302.85400000028</v>
      </c>
      <c r="G302" s="65">
        <f>+G58-G299</f>
        <v>1269963.2199999997</v>
      </c>
      <c r="H302" s="65">
        <f>+H58-H299</f>
        <v>1364597.3000000007</v>
      </c>
      <c r="I302" s="64"/>
      <c r="J302" s="65">
        <f>+J58-J299</f>
        <v>290001</v>
      </c>
      <c r="K302" s="65">
        <f>+K58-K299</f>
        <v>391251</v>
      </c>
      <c r="L302" s="64"/>
      <c r="M302" s="65">
        <f>+M58-M299</f>
        <v>43429</v>
      </c>
      <c r="N302" s="64"/>
      <c r="O302" s="65"/>
      <c r="P302" s="65">
        <f>+P58-P299</f>
        <v>289703</v>
      </c>
      <c r="Q302" s="65"/>
      <c r="R302" s="66"/>
      <c r="S302" s="66"/>
      <c r="T302" s="67"/>
      <c r="U302" s="66"/>
      <c r="V302" s="66"/>
      <c r="W302" s="66"/>
      <c r="X302" s="66"/>
      <c r="Y302" s="66">
        <f>+M302/J302</f>
        <v>0.14975465601842752</v>
      </c>
      <c r="Z302" s="68">
        <f>+M302-J302</f>
        <v>-246572</v>
      </c>
      <c r="AA302" s="65"/>
    </row>
    <row r="303" spans="1:28" ht="15.75" customHeight="1" x14ac:dyDescent="0.2"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</row>
    <row r="304" spans="1:28" ht="15.75" customHeight="1" x14ac:dyDescent="0.2">
      <c r="A304" s="33"/>
      <c r="B304" s="33"/>
      <c r="C304" s="33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</row>
    <row r="305" spans="1:26" ht="15" customHeight="1" x14ac:dyDescent="0.2">
      <c r="A305" s="33"/>
      <c r="B305" s="33"/>
      <c r="C305" s="34"/>
      <c r="D305" s="11"/>
      <c r="E305" s="11"/>
      <c r="G305" s="75" t="s">
        <v>433</v>
      </c>
      <c r="H305" s="11">
        <f>+H21*0.2</f>
        <v>88684.57</v>
      </c>
      <c r="I305" s="11"/>
      <c r="J305" s="11">
        <f>+J21*0.2</f>
        <v>120000</v>
      </c>
      <c r="K305" s="11">
        <f>+K21*0.2</f>
        <v>120000</v>
      </c>
      <c r="L305" s="11"/>
      <c r="M305" s="11">
        <f>+M21*0.2</f>
        <v>100000</v>
      </c>
      <c r="N305" s="11"/>
      <c r="O305" s="11"/>
      <c r="P305" s="11">
        <f>+P21*0.2</f>
        <v>100000</v>
      </c>
      <c r="Q305" s="11"/>
      <c r="R305" s="11"/>
      <c r="Z305" s="37"/>
    </row>
    <row r="306" spans="1:26" x14ac:dyDescent="0.2">
      <c r="A306" s="33"/>
      <c r="B306" s="33"/>
      <c r="C306" s="33"/>
      <c r="D306" s="35"/>
      <c r="E306" s="81"/>
      <c r="F306" s="81"/>
      <c r="G306" s="82" t="s">
        <v>434</v>
      </c>
      <c r="H306" s="81">
        <f>0.5*H7</f>
        <v>233251.55</v>
      </c>
      <c r="I306" s="83"/>
      <c r="J306" s="81">
        <f>0.5*J7</f>
        <v>237500</v>
      </c>
      <c r="K306" s="81">
        <f>0.5*K7</f>
        <v>237500</v>
      </c>
      <c r="L306" s="83"/>
      <c r="M306" s="81">
        <f>0.5*M7</f>
        <v>237500</v>
      </c>
      <c r="N306" s="83"/>
      <c r="O306" s="81"/>
      <c r="P306" s="81">
        <f>0.5*P7</f>
        <v>237500</v>
      </c>
      <c r="Q306" s="35"/>
      <c r="R306" s="35"/>
      <c r="Z306" s="37"/>
    </row>
    <row r="307" spans="1:26" x14ac:dyDescent="0.2">
      <c r="A307" s="33"/>
      <c r="B307" s="33"/>
      <c r="C307" s="33"/>
      <c r="D307" s="35"/>
      <c r="E307" s="35"/>
      <c r="F307" s="35"/>
      <c r="G307" s="35"/>
      <c r="H307" s="35"/>
      <c r="I307" s="11"/>
      <c r="J307" s="35"/>
      <c r="K307" s="35"/>
      <c r="L307" s="11"/>
      <c r="M307" s="35"/>
      <c r="N307" s="11"/>
      <c r="O307" s="35"/>
      <c r="P307" s="35"/>
      <c r="Q307" s="35"/>
      <c r="R307" s="35"/>
    </row>
    <row r="308" spans="1:26" x14ac:dyDescent="0.2">
      <c r="A308" s="33"/>
      <c r="B308" s="33"/>
      <c r="C308" s="33"/>
      <c r="D308" s="35"/>
      <c r="E308" s="35"/>
      <c r="F308" s="35"/>
      <c r="G308" s="49" t="s">
        <v>435</v>
      </c>
      <c r="H308" s="35">
        <f>SUM(H305:H307)</f>
        <v>321936.12</v>
      </c>
      <c r="I308" s="11"/>
      <c r="J308" s="35">
        <f>SUM(J305:J307)</f>
        <v>357500</v>
      </c>
      <c r="K308" s="35">
        <f>SUM(K305:K307)</f>
        <v>357500</v>
      </c>
      <c r="L308" s="11"/>
      <c r="M308" s="35">
        <f>SUM(M305:M307)</f>
        <v>337500</v>
      </c>
      <c r="N308" s="11"/>
      <c r="O308" s="35"/>
      <c r="P308" s="35">
        <f>SUM(P305:P307)</f>
        <v>337500</v>
      </c>
      <c r="Q308" s="35"/>
      <c r="R308" s="35"/>
    </row>
    <row r="309" spans="1:26" x14ac:dyDescent="0.2">
      <c r="A309" s="33"/>
      <c r="B309" s="33"/>
      <c r="C309" s="33"/>
      <c r="D309" s="35"/>
      <c r="E309" s="35"/>
      <c r="F309" s="35"/>
      <c r="G309" s="35"/>
      <c r="H309" s="35"/>
      <c r="I309" s="11"/>
      <c r="J309" s="35"/>
      <c r="K309" s="49"/>
      <c r="L309" s="11"/>
      <c r="M309" s="35"/>
      <c r="N309" s="11"/>
      <c r="O309" s="35"/>
      <c r="P309" s="35"/>
      <c r="Q309" s="35"/>
      <c r="R309" s="35"/>
    </row>
    <row r="310" spans="1:26" x14ac:dyDescent="0.2">
      <c r="A310" s="33"/>
      <c r="B310" s="33"/>
      <c r="C310" s="33"/>
      <c r="D310" s="35"/>
      <c r="E310" s="35"/>
      <c r="F310" s="35"/>
      <c r="G310" s="35"/>
      <c r="H310" s="35"/>
      <c r="I310" s="11"/>
      <c r="J310" s="35"/>
      <c r="K310" s="49"/>
      <c r="L310" s="11"/>
      <c r="M310" s="35"/>
      <c r="N310" s="11"/>
      <c r="O310" s="35"/>
      <c r="P310" s="35"/>
      <c r="Q310" s="35"/>
      <c r="R310" s="35"/>
    </row>
    <row r="311" spans="1:26" ht="15" x14ac:dyDescent="0.25">
      <c r="A311" s="33"/>
      <c r="B311" s="33"/>
      <c r="C311" s="33"/>
      <c r="D311" s="35"/>
      <c r="E311" s="35"/>
      <c r="F311" s="35"/>
      <c r="G311" s="76" t="s">
        <v>436</v>
      </c>
      <c r="H311" s="80">
        <f>+H302-H308</f>
        <v>1042661.1800000007</v>
      </c>
      <c r="I311" s="78"/>
      <c r="J311" s="79">
        <f>+J302-J308</f>
        <v>-67499</v>
      </c>
      <c r="K311" s="80">
        <f>+K302-K308</f>
        <v>33751</v>
      </c>
      <c r="L311" s="78"/>
      <c r="M311" s="79">
        <f>+M302-M308</f>
        <v>-294071</v>
      </c>
      <c r="N311" s="78"/>
      <c r="O311" s="77"/>
      <c r="P311" s="79">
        <f>+P302-P308</f>
        <v>-47797</v>
      </c>
      <c r="Q311" s="35"/>
      <c r="R311" s="35"/>
    </row>
    <row r="312" spans="1:26" x14ac:dyDescent="0.2">
      <c r="A312" s="33"/>
      <c r="B312" s="33"/>
      <c r="C312" s="33"/>
      <c r="D312" s="35"/>
      <c r="E312" s="35"/>
      <c r="F312" s="35"/>
      <c r="G312" s="35"/>
      <c r="H312" s="35"/>
      <c r="I312" s="11"/>
      <c r="J312" s="35"/>
      <c r="K312" s="35"/>
      <c r="L312" s="11"/>
      <c r="M312" s="35"/>
      <c r="N312" s="11"/>
      <c r="O312" s="35"/>
      <c r="P312" s="35"/>
      <c r="Q312" s="35"/>
      <c r="R312" s="35"/>
    </row>
    <row r="313" spans="1:26" x14ac:dyDescent="0.2">
      <c r="A313" s="33"/>
      <c r="B313" s="33"/>
      <c r="C313" s="33"/>
      <c r="D313" s="35"/>
      <c r="E313" s="35"/>
      <c r="F313" s="35"/>
      <c r="G313" s="35"/>
      <c r="H313" s="35"/>
      <c r="I313" s="11"/>
      <c r="J313" s="35"/>
      <c r="K313" s="35"/>
      <c r="L313" s="11"/>
      <c r="M313" s="35"/>
      <c r="N313" s="11"/>
      <c r="O313" s="35"/>
      <c r="P313" s="35"/>
      <c r="Q313" s="35"/>
      <c r="R313" s="35"/>
    </row>
    <row r="314" spans="1:26" x14ac:dyDescent="0.2">
      <c r="A314" s="33"/>
      <c r="B314" s="33"/>
      <c r="C314" s="33"/>
      <c r="D314" s="35"/>
      <c r="E314" s="35"/>
      <c r="F314" s="35"/>
      <c r="G314" s="35"/>
      <c r="H314" s="35"/>
      <c r="I314" s="11"/>
      <c r="J314" s="35"/>
      <c r="K314" s="49"/>
      <c r="L314" s="11"/>
      <c r="M314" s="35"/>
      <c r="N314" s="11"/>
      <c r="O314" s="35"/>
      <c r="P314" s="35"/>
      <c r="Q314" s="35"/>
      <c r="R314" s="35"/>
    </row>
    <row r="315" spans="1:26" x14ac:dyDescent="0.2">
      <c r="A315" s="33"/>
      <c r="B315" s="33"/>
      <c r="C315" s="33"/>
      <c r="D315" s="35"/>
      <c r="E315" s="35"/>
      <c r="F315" s="35"/>
      <c r="G315" s="35"/>
      <c r="H315" s="35"/>
      <c r="I315" s="11"/>
      <c r="J315" s="35"/>
      <c r="K315" s="35"/>
      <c r="L315" s="11"/>
      <c r="M315" s="35"/>
      <c r="N315" s="11"/>
      <c r="O315" s="35"/>
      <c r="P315" s="35"/>
      <c r="Q315" s="35"/>
      <c r="R315" s="35"/>
    </row>
    <row r="316" spans="1:26" x14ac:dyDescent="0.2">
      <c r="A316" s="33"/>
      <c r="B316" s="33"/>
      <c r="C316" s="33"/>
      <c r="D316" s="35"/>
      <c r="E316" s="35"/>
      <c r="F316" s="35"/>
      <c r="G316" s="35"/>
      <c r="H316" s="35"/>
      <c r="I316" s="11"/>
      <c r="J316" s="35"/>
      <c r="K316" s="35"/>
      <c r="L316" s="11"/>
      <c r="M316" s="35"/>
      <c r="N316" s="11"/>
      <c r="O316" s="35"/>
      <c r="P316" s="35"/>
      <c r="Q316" s="35"/>
      <c r="R316" s="35"/>
    </row>
    <row r="317" spans="1:26" x14ac:dyDescent="0.2">
      <c r="A317" s="33"/>
      <c r="B317" s="33"/>
      <c r="C317" s="33"/>
      <c r="D317" s="35"/>
      <c r="E317" s="35"/>
      <c r="F317" s="35"/>
      <c r="G317" s="35"/>
      <c r="H317" s="35"/>
      <c r="I317" s="11"/>
      <c r="J317" s="35"/>
      <c r="K317" s="35"/>
      <c r="L317" s="11"/>
      <c r="M317" s="35"/>
      <c r="N317" s="11"/>
      <c r="O317" s="35"/>
      <c r="P317" s="35"/>
      <c r="Q317" s="35"/>
      <c r="R317" s="35"/>
    </row>
    <row r="318" spans="1:26" x14ac:dyDescent="0.2">
      <c r="A318" s="33"/>
      <c r="B318" s="33"/>
      <c r="C318" s="33"/>
      <c r="D318" s="35"/>
      <c r="E318" s="35"/>
      <c r="F318" s="35"/>
      <c r="G318" s="35"/>
      <c r="H318" s="35"/>
      <c r="I318" s="11"/>
      <c r="J318" s="35"/>
      <c r="K318" s="35"/>
      <c r="L318" s="11"/>
      <c r="M318" s="35"/>
      <c r="N318" s="11"/>
      <c r="O318" s="35"/>
      <c r="P318" s="35"/>
      <c r="Q318" s="35"/>
      <c r="R318" s="35"/>
    </row>
    <row r="319" spans="1:26" x14ac:dyDescent="0.2">
      <c r="A319" s="33"/>
      <c r="B319" s="33"/>
      <c r="C319" s="33"/>
      <c r="D319" s="35"/>
      <c r="E319" s="35"/>
      <c r="F319" s="35"/>
      <c r="G319" s="35"/>
      <c r="H319" s="35"/>
      <c r="I319" s="11"/>
      <c r="J319" s="35"/>
      <c r="K319" s="35"/>
      <c r="L319" s="11"/>
      <c r="M319" s="35"/>
      <c r="N319" s="11"/>
      <c r="O319" s="35"/>
      <c r="P319" s="35"/>
      <c r="Q319" s="35"/>
      <c r="R319" s="35"/>
    </row>
    <row r="320" spans="1:26" x14ac:dyDescent="0.2">
      <c r="A320" s="33"/>
      <c r="B320" s="33"/>
      <c r="C320" s="33"/>
      <c r="D320" s="35"/>
      <c r="E320" s="35"/>
      <c r="F320" s="35"/>
      <c r="G320" s="35"/>
      <c r="H320" s="35"/>
      <c r="I320" s="11"/>
      <c r="J320" s="35"/>
      <c r="K320" s="35"/>
      <c r="L320" s="11"/>
      <c r="M320" s="35"/>
      <c r="N320" s="11"/>
      <c r="O320" s="35"/>
      <c r="P320" s="35"/>
      <c r="Q320" s="35"/>
      <c r="R320" s="35"/>
    </row>
    <row r="321" spans="1:18" x14ac:dyDescent="0.2">
      <c r="A321" s="33"/>
      <c r="B321" s="33"/>
      <c r="C321" s="33"/>
      <c r="D321" s="35"/>
      <c r="E321" s="35"/>
      <c r="F321" s="35"/>
      <c r="G321" s="35"/>
      <c r="H321" s="35"/>
      <c r="I321" s="11"/>
      <c r="J321" s="35"/>
      <c r="K321" s="35"/>
      <c r="L321" s="11"/>
      <c r="M321" s="35"/>
      <c r="N321" s="11"/>
      <c r="O321" s="35"/>
      <c r="P321" s="35"/>
      <c r="Q321" s="35"/>
      <c r="R321" s="35"/>
    </row>
    <row r="322" spans="1:18" x14ac:dyDescent="0.2">
      <c r="A322" s="33"/>
      <c r="B322" s="33"/>
      <c r="C322" s="33"/>
      <c r="D322" s="35"/>
      <c r="E322" s="35"/>
      <c r="F322" s="35"/>
      <c r="G322" s="35"/>
      <c r="H322" s="35"/>
      <c r="I322" s="11"/>
      <c r="J322" s="35"/>
      <c r="K322" s="35"/>
      <c r="L322" s="11"/>
      <c r="M322" s="35"/>
      <c r="N322" s="11"/>
      <c r="O322" s="35"/>
      <c r="P322" s="35"/>
      <c r="Q322" s="35"/>
      <c r="R322" s="35"/>
    </row>
    <row r="323" spans="1:18" x14ac:dyDescent="0.2">
      <c r="A323" s="33"/>
      <c r="B323" s="33"/>
      <c r="C323" s="33"/>
      <c r="D323" s="35"/>
      <c r="E323" s="35"/>
      <c r="F323" s="35"/>
      <c r="G323" s="35"/>
      <c r="H323" s="35"/>
      <c r="I323" s="11"/>
      <c r="J323" s="35"/>
      <c r="K323" s="35"/>
      <c r="L323" s="11"/>
      <c r="M323" s="35"/>
      <c r="N323" s="11"/>
      <c r="O323" s="35"/>
      <c r="P323" s="35"/>
      <c r="Q323" s="35"/>
      <c r="R323" s="35"/>
    </row>
    <row r="324" spans="1:18" x14ac:dyDescent="0.2">
      <c r="A324" s="33"/>
      <c r="B324" s="33"/>
      <c r="C324" s="33"/>
      <c r="D324" s="35"/>
      <c r="E324" s="35"/>
      <c r="F324" s="35"/>
      <c r="G324" s="35"/>
      <c r="H324" s="35"/>
      <c r="I324" s="11"/>
      <c r="J324" s="35"/>
      <c r="K324" s="35"/>
      <c r="L324" s="11"/>
      <c r="M324" s="35"/>
      <c r="N324" s="11"/>
      <c r="O324" s="35"/>
      <c r="P324" s="35"/>
      <c r="Q324" s="35"/>
      <c r="R324" s="35"/>
    </row>
    <row r="325" spans="1:18" x14ac:dyDescent="0.2">
      <c r="A325" s="33"/>
      <c r="B325" s="33"/>
      <c r="C325" s="33"/>
      <c r="D325" s="35"/>
      <c r="E325" s="35"/>
      <c r="F325" s="35"/>
      <c r="G325" s="35"/>
      <c r="H325" s="35"/>
      <c r="I325" s="11"/>
      <c r="J325" s="35"/>
      <c r="K325" s="35"/>
      <c r="L325" s="11"/>
      <c r="M325" s="35"/>
      <c r="N325" s="11"/>
      <c r="O325" s="35"/>
      <c r="P325" s="35"/>
      <c r="Q325" s="35"/>
      <c r="R325" s="35"/>
    </row>
    <row r="326" spans="1:18" x14ac:dyDescent="0.2">
      <c r="A326" s="33"/>
      <c r="B326" s="33"/>
      <c r="C326" s="33"/>
      <c r="D326" s="35"/>
      <c r="E326" s="35"/>
      <c r="F326" s="35"/>
      <c r="G326" s="35"/>
      <c r="H326" s="35"/>
      <c r="I326" s="11"/>
      <c r="J326" s="35"/>
      <c r="K326" s="35"/>
      <c r="L326" s="11"/>
      <c r="M326" s="35"/>
      <c r="N326" s="11"/>
      <c r="O326" s="35"/>
      <c r="P326" s="35"/>
      <c r="Q326" s="35"/>
      <c r="R326" s="35"/>
    </row>
    <row r="327" spans="1:18" x14ac:dyDescent="0.2">
      <c r="A327" s="33"/>
      <c r="B327" s="33"/>
      <c r="C327" s="33"/>
      <c r="D327" s="35"/>
      <c r="E327" s="35"/>
      <c r="F327" s="35"/>
      <c r="G327" s="35"/>
      <c r="H327" s="35"/>
      <c r="I327" s="11"/>
      <c r="J327" s="35"/>
      <c r="K327" s="35"/>
      <c r="L327" s="11"/>
      <c r="M327" s="35"/>
      <c r="N327" s="11"/>
      <c r="O327" s="35"/>
      <c r="P327" s="35"/>
      <c r="Q327" s="35"/>
      <c r="R327" s="35"/>
    </row>
    <row r="328" spans="1:18" x14ac:dyDescent="0.2">
      <c r="A328" s="33"/>
      <c r="B328" s="33"/>
      <c r="C328" s="33"/>
      <c r="D328" s="35"/>
      <c r="E328" s="35"/>
      <c r="F328" s="35"/>
      <c r="G328" s="35"/>
      <c r="H328" s="35"/>
      <c r="I328" s="11"/>
      <c r="J328" s="35"/>
      <c r="K328" s="35"/>
      <c r="L328" s="11"/>
      <c r="M328" s="35"/>
      <c r="N328" s="11"/>
      <c r="O328" s="35"/>
      <c r="P328" s="35"/>
      <c r="Q328" s="35"/>
      <c r="R328" s="35"/>
    </row>
    <row r="329" spans="1:18" x14ac:dyDescent="0.2">
      <c r="A329" s="33"/>
      <c r="B329" s="33"/>
      <c r="C329" s="33"/>
      <c r="D329" s="35"/>
      <c r="E329" s="35"/>
      <c r="F329" s="35"/>
      <c r="G329" s="35"/>
      <c r="H329" s="35"/>
      <c r="I329" s="11"/>
      <c r="J329" s="35"/>
      <c r="K329" s="35"/>
      <c r="L329" s="11"/>
      <c r="M329" s="35"/>
      <c r="N329" s="11"/>
      <c r="O329" s="35"/>
      <c r="P329" s="35"/>
      <c r="Q329" s="35"/>
      <c r="R329" s="35"/>
    </row>
    <row r="330" spans="1:18" x14ac:dyDescent="0.2">
      <c r="A330" s="33"/>
      <c r="B330" s="33"/>
      <c r="C330" s="33"/>
      <c r="D330" s="35"/>
      <c r="E330" s="35"/>
      <c r="F330" s="35"/>
      <c r="G330" s="35"/>
      <c r="H330" s="35"/>
      <c r="I330" s="11"/>
      <c r="J330" s="35"/>
      <c r="K330" s="35"/>
      <c r="L330" s="11"/>
      <c r="M330" s="35"/>
      <c r="N330" s="11"/>
      <c r="O330" s="35"/>
      <c r="P330" s="35"/>
      <c r="Q330" s="35"/>
      <c r="R330" s="35"/>
    </row>
    <row r="331" spans="1:18" x14ac:dyDescent="0.2">
      <c r="A331" s="33"/>
      <c r="B331" s="33"/>
      <c r="C331" s="33"/>
      <c r="D331" s="35"/>
      <c r="E331" s="35"/>
      <c r="F331" s="35"/>
      <c r="G331" s="35"/>
      <c r="H331" s="35"/>
      <c r="I331" s="11"/>
      <c r="J331" s="35"/>
      <c r="K331" s="35"/>
      <c r="L331" s="11"/>
      <c r="M331" s="35"/>
      <c r="N331" s="11"/>
      <c r="O331" s="35"/>
      <c r="P331" s="35"/>
      <c r="Q331" s="35"/>
      <c r="R331" s="35"/>
    </row>
    <row r="332" spans="1:18" x14ac:dyDescent="0.2">
      <c r="A332" s="33"/>
      <c r="B332" s="33"/>
      <c r="C332" s="33"/>
      <c r="D332" s="35"/>
      <c r="E332" s="35"/>
      <c r="F332" s="35"/>
      <c r="G332" s="35"/>
      <c r="H332" s="35"/>
      <c r="I332" s="11"/>
      <c r="J332" s="35"/>
      <c r="K332" s="35"/>
      <c r="L332" s="11"/>
      <c r="M332" s="35"/>
      <c r="N332" s="11"/>
      <c r="O332" s="35"/>
      <c r="P332" s="35"/>
      <c r="Q332" s="35"/>
      <c r="R332" s="35"/>
    </row>
    <row r="333" spans="1:18" x14ac:dyDescent="0.2">
      <c r="A333" s="33"/>
      <c r="B333" s="33"/>
      <c r="C333" s="33"/>
      <c r="D333" s="35"/>
      <c r="E333" s="35"/>
      <c r="F333" s="35"/>
      <c r="G333" s="35"/>
      <c r="H333" s="35"/>
      <c r="I333" s="11"/>
      <c r="J333" s="35"/>
      <c r="K333" s="35"/>
      <c r="L333" s="11"/>
      <c r="M333" s="35"/>
      <c r="N333" s="11"/>
      <c r="O333" s="35"/>
      <c r="P333" s="35"/>
      <c r="Q333" s="35"/>
      <c r="R333" s="35"/>
    </row>
    <row r="334" spans="1:18" x14ac:dyDescent="0.2">
      <c r="A334" s="33"/>
      <c r="B334" s="33"/>
      <c r="C334" s="33"/>
      <c r="D334" s="35"/>
      <c r="E334" s="35"/>
      <c r="F334" s="35"/>
      <c r="G334" s="35"/>
      <c r="H334" s="35"/>
      <c r="I334" s="11"/>
      <c r="J334" s="35"/>
      <c r="K334" s="35"/>
      <c r="L334" s="11"/>
      <c r="M334" s="35"/>
      <c r="N334" s="11"/>
      <c r="O334" s="35"/>
      <c r="P334" s="35"/>
      <c r="Q334" s="35"/>
      <c r="R334" s="35"/>
    </row>
    <row r="335" spans="1:18" x14ac:dyDescent="0.2">
      <c r="A335" s="33"/>
      <c r="B335" s="33"/>
      <c r="C335" s="33"/>
      <c r="D335" s="35"/>
      <c r="E335" s="35"/>
      <c r="F335" s="35"/>
      <c r="G335" s="35"/>
      <c r="H335" s="35"/>
      <c r="I335" s="11"/>
      <c r="J335" s="35"/>
      <c r="K335" s="35"/>
      <c r="L335" s="11"/>
      <c r="M335" s="35"/>
      <c r="N335" s="11"/>
      <c r="O335" s="35"/>
      <c r="P335" s="35"/>
      <c r="Q335" s="35"/>
      <c r="R335" s="35"/>
    </row>
    <row r="336" spans="1:18" x14ac:dyDescent="0.2">
      <c r="A336" s="33"/>
      <c r="B336" s="33"/>
      <c r="C336" s="33"/>
      <c r="D336" s="35"/>
      <c r="E336" s="35"/>
      <c r="F336" s="35"/>
      <c r="G336" s="35"/>
      <c r="H336" s="35"/>
      <c r="I336" s="11"/>
      <c r="J336" s="35"/>
      <c r="K336" s="35"/>
      <c r="L336" s="11"/>
      <c r="M336" s="35"/>
      <c r="N336" s="11"/>
      <c r="O336" s="35"/>
      <c r="P336" s="35"/>
      <c r="Q336" s="35"/>
      <c r="R336" s="35"/>
    </row>
    <row r="337" spans="1:18" x14ac:dyDescent="0.2">
      <c r="A337" s="33"/>
      <c r="B337" s="33"/>
      <c r="C337" s="33"/>
      <c r="D337" s="35"/>
      <c r="E337" s="35"/>
      <c r="F337" s="35"/>
      <c r="G337" s="35"/>
      <c r="H337" s="35"/>
      <c r="I337" s="11"/>
      <c r="J337" s="35"/>
      <c r="K337" s="35"/>
      <c r="L337" s="11"/>
      <c r="M337" s="35"/>
      <c r="N337" s="11"/>
      <c r="O337" s="35"/>
      <c r="P337" s="35"/>
      <c r="Q337" s="35"/>
      <c r="R337" s="35"/>
    </row>
    <row r="338" spans="1:18" x14ac:dyDescent="0.2">
      <c r="A338" s="33"/>
      <c r="B338" s="33"/>
      <c r="C338" s="33"/>
      <c r="D338" s="35"/>
      <c r="E338" s="35"/>
      <c r="F338" s="35"/>
      <c r="G338" s="35"/>
      <c r="H338" s="35"/>
      <c r="I338" s="11"/>
      <c r="J338" s="35"/>
      <c r="K338" s="35"/>
      <c r="L338" s="11"/>
      <c r="M338" s="35"/>
      <c r="N338" s="11"/>
      <c r="O338" s="35"/>
      <c r="P338" s="35"/>
      <c r="Q338" s="35"/>
      <c r="R338" s="35"/>
    </row>
    <row r="339" spans="1:18" x14ac:dyDescent="0.2">
      <c r="A339" s="33"/>
      <c r="B339" s="33"/>
      <c r="C339" s="33"/>
      <c r="D339" s="35"/>
      <c r="E339" s="35"/>
      <c r="F339" s="35"/>
      <c r="G339" s="35"/>
      <c r="H339" s="35"/>
      <c r="I339" s="11"/>
      <c r="J339" s="35"/>
      <c r="K339" s="35"/>
      <c r="L339" s="11"/>
      <c r="M339" s="35"/>
      <c r="N339" s="11"/>
      <c r="O339" s="35"/>
      <c r="P339" s="35"/>
      <c r="Q339" s="35"/>
      <c r="R339" s="35"/>
    </row>
    <row r="340" spans="1:18" x14ac:dyDescent="0.2">
      <c r="A340" s="33"/>
      <c r="B340" s="33"/>
      <c r="C340" s="33"/>
      <c r="D340" s="35"/>
      <c r="E340" s="35"/>
      <c r="F340" s="35"/>
      <c r="G340" s="35"/>
      <c r="H340" s="35"/>
      <c r="I340" s="11"/>
      <c r="J340" s="35"/>
      <c r="K340" s="35"/>
      <c r="L340" s="11"/>
      <c r="M340" s="35"/>
      <c r="N340" s="11"/>
      <c r="O340" s="35"/>
      <c r="P340" s="35"/>
      <c r="Q340" s="35"/>
      <c r="R340" s="35"/>
    </row>
    <row r="341" spans="1:18" x14ac:dyDescent="0.2">
      <c r="A341" s="33"/>
      <c r="B341" s="33"/>
      <c r="C341" s="33"/>
      <c r="D341" s="35"/>
      <c r="E341" s="35"/>
      <c r="F341" s="35"/>
      <c r="G341" s="35"/>
      <c r="H341" s="35"/>
      <c r="I341" s="11"/>
      <c r="J341" s="35"/>
      <c r="K341" s="35"/>
      <c r="L341" s="11"/>
      <c r="M341" s="35"/>
      <c r="N341" s="11"/>
      <c r="O341" s="35"/>
      <c r="P341" s="35"/>
      <c r="Q341" s="35"/>
      <c r="R341" s="35"/>
    </row>
    <row r="342" spans="1:18" x14ac:dyDescent="0.2">
      <c r="A342" s="33"/>
      <c r="B342" s="33"/>
      <c r="C342" s="33"/>
      <c r="D342" s="35"/>
      <c r="E342" s="35"/>
      <c r="F342" s="35"/>
      <c r="G342" s="35"/>
      <c r="H342" s="35"/>
      <c r="I342" s="11"/>
      <c r="J342" s="35"/>
      <c r="K342" s="35"/>
      <c r="L342" s="11"/>
      <c r="M342" s="35"/>
      <c r="N342" s="11"/>
      <c r="O342" s="35"/>
      <c r="P342" s="35"/>
      <c r="Q342" s="35"/>
      <c r="R342" s="35"/>
    </row>
    <row r="343" spans="1:18" x14ac:dyDescent="0.2">
      <c r="A343" s="33"/>
      <c r="B343" s="33"/>
      <c r="C343" s="33"/>
      <c r="D343" s="35"/>
      <c r="E343" s="35"/>
      <c r="F343" s="35"/>
      <c r="G343" s="35"/>
      <c r="H343" s="35"/>
      <c r="I343" s="11"/>
      <c r="J343" s="35"/>
      <c r="K343" s="35"/>
      <c r="L343" s="11"/>
      <c r="M343" s="35"/>
      <c r="N343" s="11"/>
      <c r="O343" s="35"/>
      <c r="P343" s="35"/>
      <c r="Q343" s="35"/>
      <c r="R343" s="35"/>
    </row>
    <row r="344" spans="1:18" x14ac:dyDescent="0.2">
      <c r="A344" s="33"/>
      <c r="B344" s="33"/>
      <c r="C344" s="33"/>
      <c r="D344" s="35"/>
      <c r="E344" s="35"/>
      <c r="F344" s="35"/>
      <c r="G344" s="35"/>
      <c r="H344" s="35"/>
      <c r="I344" s="11"/>
      <c r="J344" s="35"/>
      <c r="K344" s="35"/>
      <c r="L344" s="11"/>
      <c r="M344" s="35"/>
      <c r="N344" s="11"/>
      <c r="O344" s="35"/>
      <c r="P344" s="35"/>
      <c r="Q344" s="35"/>
      <c r="R344" s="35"/>
    </row>
    <row r="345" spans="1:18" x14ac:dyDescent="0.2">
      <c r="A345" s="33"/>
      <c r="B345" s="33"/>
      <c r="C345" s="33"/>
      <c r="D345" s="35"/>
      <c r="E345" s="35"/>
      <c r="F345" s="35"/>
      <c r="G345" s="35"/>
      <c r="H345" s="35"/>
      <c r="I345" s="11"/>
      <c r="J345" s="35"/>
      <c r="K345" s="35"/>
      <c r="L345" s="11"/>
      <c r="M345" s="35"/>
      <c r="N345" s="11"/>
      <c r="O345" s="35"/>
      <c r="P345" s="35"/>
      <c r="Q345" s="35"/>
      <c r="R345" s="35"/>
    </row>
    <row r="346" spans="1:18" x14ac:dyDescent="0.2">
      <c r="A346" s="33"/>
      <c r="B346" s="33"/>
      <c r="C346" s="33"/>
      <c r="D346" s="35"/>
      <c r="E346" s="35"/>
      <c r="F346" s="35"/>
      <c r="G346" s="35"/>
      <c r="H346" s="35"/>
      <c r="I346" s="11"/>
      <c r="J346" s="35"/>
      <c r="K346" s="35"/>
      <c r="L346" s="11"/>
      <c r="M346" s="35"/>
      <c r="N346" s="11"/>
      <c r="O346" s="35"/>
      <c r="P346" s="35"/>
      <c r="Q346" s="35"/>
      <c r="R346" s="35"/>
    </row>
    <row r="347" spans="1:18" x14ac:dyDescent="0.2">
      <c r="A347" s="33"/>
      <c r="B347" s="33"/>
      <c r="C347" s="33"/>
      <c r="D347" s="35"/>
      <c r="E347" s="35"/>
      <c r="F347" s="35"/>
      <c r="G347" s="35"/>
      <c r="H347" s="35"/>
      <c r="I347" s="11"/>
      <c r="J347" s="35"/>
      <c r="K347" s="35"/>
      <c r="L347" s="11"/>
      <c r="M347" s="35"/>
      <c r="N347" s="11"/>
      <c r="O347" s="35"/>
      <c r="P347" s="35"/>
      <c r="Q347" s="35"/>
      <c r="R347" s="35"/>
    </row>
    <row r="348" spans="1:18" x14ac:dyDescent="0.2">
      <c r="A348" s="33"/>
      <c r="B348" s="33"/>
      <c r="C348" s="33"/>
      <c r="D348" s="35"/>
      <c r="E348" s="35"/>
      <c r="F348" s="35"/>
      <c r="G348" s="35"/>
      <c r="H348" s="35"/>
      <c r="I348" s="11"/>
      <c r="J348" s="35"/>
      <c r="K348" s="35"/>
      <c r="L348" s="11"/>
      <c r="M348" s="35"/>
      <c r="N348" s="11"/>
      <c r="O348" s="35"/>
      <c r="P348" s="35"/>
      <c r="Q348" s="35"/>
      <c r="R348" s="35"/>
    </row>
    <row r="349" spans="1:18" x14ac:dyDescent="0.2">
      <c r="A349" s="33"/>
      <c r="B349" s="33"/>
      <c r="C349" s="33"/>
      <c r="D349" s="35"/>
      <c r="E349" s="35"/>
      <c r="F349" s="35"/>
      <c r="G349" s="35"/>
      <c r="H349" s="35"/>
      <c r="I349" s="11"/>
      <c r="J349" s="35"/>
      <c r="K349" s="35"/>
      <c r="L349" s="11"/>
      <c r="M349" s="35"/>
      <c r="N349" s="11"/>
      <c r="O349" s="35"/>
      <c r="P349" s="35"/>
      <c r="Q349" s="35"/>
      <c r="R349" s="35"/>
    </row>
    <row r="350" spans="1:18" x14ac:dyDescent="0.2">
      <c r="A350" s="33"/>
      <c r="B350" s="33"/>
      <c r="C350" s="33"/>
      <c r="D350" s="35"/>
      <c r="E350" s="35"/>
      <c r="F350" s="35"/>
      <c r="G350" s="35"/>
      <c r="H350" s="35"/>
      <c r="I350" s="11"/>
      <c r="J350" s="35"/>
      <c r="K350" s="35"/>
      <c r="L350" s="11"/>
      <c r="M350" s="35"/>
      <c r="N350" s="11"/>
      <c r="O350" s="35"/>
      <c r="P350" s="35"/>
      <c r="Q350" s="35"/>
      <c r="R350" s="35"/>
    </row>
    <row r="351" spans="1:18" x14ac:dyDescent="0.2">
      <c r="A351" s="33"/>
      <c r="B351" s="33"/>
      <c r="C351" s="33"/>
      <c r="D351" s="35"/>
      <c r="E351" s="35"/>
      <c r="F351" s="35"/>
      <c r="G351" s="35"/>
      <c r="H351" s="35"/>
      <c r="I351" s="11"/>
      <c r="J351" s="35"/>
      <c r="K351" s="35"/>
      <c r="L351" s="11"/>
      <c r="M351" s="35"/>
      <c r="N351" s="11"/>
      <c r="O351" s="35"/>
      <c r="P351" s="35"/>
      <c r="Q351" s="35"/>
      <c r="R351" s="35"/>
    </row>
    <row r="352" spans="1:18" x14ac:dyDescent="0.2">
      <c r="A352" s="33"/>
      <c r="B352" s="33"/>
      <c r="C352" s="33"/>
      <c r="D352" s="35"/>
      <c r="E352" s="35"/>
      <c r="F352" s="35"/>
      <c r="G352" s="35"/>
      <c r="H352" s="35"/>
      <c r="I352" s="11"/>
      <c r="J352" s="35"/>
      <c r="K352" s="35"/>
      <c r="L352" s="11"/>
      <c r="M352" s="35"/>
      <c r="N352" s="11"/>
      <c r="O352" s="35"/>
      <c r="P352" s="35"/>
      <c r="Q352" s="35"/>
      <c r="R352" s="35"/>
    </row>
    <row r="353" spans="1:18" x14ac:dyDescent="0.2">
      <c r="A353" s="33"/>
      <c r="B353" s="33"/>
      <c r="C353" s="33"/>
      <c r="D353" s="35"/>
      <c r="E353" s="35"/>
      <c r="F353" s="35"/>
      <c r="G353" s="35"/>
      <c r="H353" s="35"/>
      <c r="I353" s="11"/>
      <c r="J353" s="35"/>
      <c r="K353" s="35"/>
      <c r="L353" s="11"/>
      <c r="M353" s="35"/>
      <c r="N353" s="11"/>
      <c r="O353" s="35"/>
      <c r="P353" s="35"/>
      <c r="Q353" s="35"/>
      <c r="R353" s="35"/>
    </row>
    <row r="354" spans="1:18" x14ac:dyDescent="0.2">
      <c r="A354" s="33"/>
      <c r="B354" s="33"/>
      <c r="C354" s="33"/>
      <c r="D354" s="35"/>
      <c r="E354" s="35"/>
      <c r="F354" s="35"/>
      <c r="G354" s="35"/>
      <c r="H354" s="35"/>
      <c r="I354" s="11"/>
      <c r="J354" s="35"/>
      <c r="K354" s="35"/>
      <c r="L354" s="11"/>
      <c r="M354" s="35"/>
      <c r="N354" s="11"/>
      <c r="O354" s="35"/>
      <c r="P354" s="35"/>
      <c r="Q354" s="35"/>
      <c r="R354" s="35"/>
    </row>
    <row r="355" spans="1:18" x14ac:dyDescent="0.2">
      <c r="A355" s="33"/>
      <c r="B355" s="33"/>
      <c r="C355" s="33"/>
      <c r="D355" s="35"/>
      <c r="E355" s="35"/>
      <c r="F355" s="35"/>
      <c r="G355" s="35"/>
      <c r="H355" s="35"/>
      <c r="I355" s="11"/>
      <c r="J355" s="35"/>
      <c r="K355" s="35"/>
      <c r="L355" s="11"/>
      <c r="M355" s="35"/>
      <c r="N355" s="11"/>
      <c r="O355" s="35"/>
      <c r="P355" s="35"/>
      <c r="Q355" s="35"/>
      <c r="R355" s="35"/>
    </row>
    <row r="356" spans="1:18" x14ac:dyDescent="0.2">
      <c r="A356" s="33"/>
      <c r="B356" s="33"/>
      <c r="C356" s="33"/>
      <c r="D356" s="35"/>
      <c r="E356" s="35"/>
      <c r="F356" s="35"/>
      <c r="G356" s="35"/>
      <c r="H356" s="35"/>
      <c r="I356" s="11"/>
      <c r="J356" s="35"/>
      <c r="K356" s="35"/>
      <c r="L356" s="11"/>
      <c r="M356" s="35"/>
      <c r="N356" s="11"/>
      <c r="O356" s="35"/>
      <c r="P356" s="35"/>
      <c r="Q356" s="35"/>
      <c r="R356" s="35"/>
    </row>
    <row r="357" spans="1:18" x14ac:dyDescent="0.2">
      <c r="A357" s="33"/>
      <c r="B357" s="33"/>
      <c r="C357" s="33"/>
      <c r="D357" s="35"/>
      <c r="E357" s="35"/>
      <c r="F357" s="35"/>
      <c r="G357" s="35"/>
      <c r="H357" s="35"/>
      <c r="I357" s="11"/>
      <c r="J357" s="35"/>
      <c r="K357" s="35"/>
      <c r="L357" s="11"/>
      <c r="M357" s="35"/>
      <c r="N357" s="11"/>
      <c r="O357" s="35"/>
      <c r="P357" s="35"/>
      <c r="Q357" s="35"/>
      <c r="R357" s="35"/>
    </row>
    <row r="358" spans="1:18" x14ac:dyDescent="0.2">
      <c r="A358" s="33"/>
      <c r="B358" s="33"/>
      <c r="C358" s="33"/>
      <c r="D358" s="35"/>
      <c r="E358" s="35"/>
      <c r="F358" s="35"/>
      <c r="G358" s="35"/>
      <c r="H358" s="35"/>
      <c r="I358" s="11"/>
      <c r="J358" s="35"/>
      <c r="K358" s="35"/>
      <c r="L358" s="11"/>
      <c r="M358" s="35"/>
      <c r="N358" s="11"/>
      <c r="O358" s="35"/>
      <c r="P358" s="35"/>
      <c r="Q358" s="35"/>
      <c r="R358" s="35"/>
    </row>
    <row r="359" spans="1:18" x14ac:dyDescent="0.2">
      <c r="A359" s="33"/>
      <c r="B359" s="33"/>
      <c r="C359" s="33"/>
      <c r="D359" s="35"/>
      <c r="E359" s="35"/>
      <c r="F359" s="35"/>
      <c r="G359" s="35"/>
      <c r="H359" s="35"/>
      <c r="I359" s="11"/>
      <c r="J359" s="35"/>
      <c r="K359" s="35"/>
      <c r="L359" s="11"/>
      <c r="M359" s="35"/>
      <c r="N359" s="11"/>
      <c r="O359" s="35"/>
      <c r="P359" s="35"/>
      <c r="Q359" s="35"/>
      <c r="R359" s="35"/>
    </row>
    <row r="360" spans="1:18" x14ac:dyDescent="0.2">
      <c r="A360" s="33"/>
      <c r="B360" s="33"/>
      <c r="C360" s="33"/>
      <c r="D360" s="35"/>
      <c r="E360" s="35"/>
      <c r="F360" s="35"/>
      <c r="G360" s="35"/>
      <c r="H360" s="35"/>
      <c r="I360" s="11"/>
      <c r="J360" s="35"/>
      <c r="K360" s="35"/>
      <c r="L360" s="11"/>
      <c r="M360" s="35"/>
      <c r="N360" s="11"/>
      <c r="O360" s="35"/>
      <c r="P360" s="35"/>
      <c r="Q360" s="35"/>
      <c r="R360" s="35"/>
    </row>
    <row r="361" spans="1:18" x14ac:dyDescent="0.2">
      <c r="A361" s="33"/>
      <c r="B361" s="33"/>
      <c r="C361" s="33"/>
      <c r="D361" s="35"/>
      <c r="E361" s="35"/>
      <c r="F361" s="35"/>
      <c r="G361" s="35"/>
      <c r="H361" s="35"/>
      <c r="I361" s="11"/>
      <c r="J361" s="35"/>
      <c r="K361" s="35"/>
      <c r="L361" s="11"/>
      <c r="M361" s="35"/>
      <c r="N361" s="11"/>
      <c r="O361" s="35"/>
      <c r="P361" s="35"/>
      <c r="Q361" s="35"/>
      <c r="R361" s="35"/>
    </row>
    <row r="362" spans="1:18" x14ac:dyDescent="0.2">
      <c r="A362" s="33"/>
      <c r="B362" s="33"/>
      <c r="C362" s="33"/>
      <c r="D362" s="35"/>
      <c r="E362" s="35"/>
      <c r="F362" s="35"/>
      <c r="G362" s="35"/>
      <c r="H362" s="35"/>
      <c r="I362" s="11"/>
      <c r="J362" s="35"/>
      <c r="K362" s="35"/>
      <c r="L362" s="11"/>
      <c r="M362" s="35"/>
      <c r="N362" s="11"/>
      <c r="O362" s="35"/>
      <c r="P362" s="35"/>
      <c r="Q362" s="35"/>
      <c r="R362" s="35"/>
    </row>
    <row r="363" spans="1:18" x14ac:dyDescent="0.2">
      <c r="A363" s="33"/>
      <c r="B363" s="33"/>
      <c r="C363" s="33"/>
      <c r="D363" s="35"/>
      <c r="E363" s="35"/>
      <c r="F363" s="35"/>
      <c r="G363" s="35"/>
      <c r="H363" s="35"/>
      <c r="I363" s="11"/>
      <c r="J363" s="35"/>
      <c r="K363" s="35"/>
      <c r="L363" s="11"/>
      <c r="M363" s="35"/>
      <c r="N363" s="11"/>
      <c r="O363" s="35"/>
      <c r="P363" s="35"/>
      <c r="Q363" s="35"/>
      <c r="R363" s="35"/>
    </row>
    <row r="364" spans="1:18" x14ac:dyDescent="0.2">
      <c r="A364" s="33"/>
      <c r="B364" s="33"/>
      <c r="C364" s="33"/>
      <c r="D364" s="35"/>
      <c r="E364" s="35"/>
      <c r="F364" s="35"/>
      <c r="G364" s="35"/>
      <c r="H364" s="35"/>
      <c r="I364" s="11"/>
      <c r="J364" s="35"/>
      <c r="K364" s="35"/>
      <c r="L364" s="11"/>
      <c r="M364" s="35"/>
      <c r="N364" s="11"/>
      <c r="O364" s="35"/>
      <c r="P364" s="35"/>
      <c r="Q364" s="35"/>
      <c r="R364" s="35"/>
    </row>
    <row r="365" spans="1:18" x14ac:dyDescent="0.2">
      <c r="A365" s="33"/>
      <c r="B365" s="33"/>
      <c r="C365" s="33"/>
      <c r="D365" s="35"/>
      <c r="E365" s="35"/>
      <c r="F365" s="35"/>
      <c r="G365" s="35"/>
      <c r="H365" s="35"/>
      <c r="I365" s="11"/>
      <c r="J365" s="35"/>
      <c r="K365" s="35"/>
      <c r="L365" s="11"/>
      <c r="M365" s="35"/>
      <c r="N365" s="11"/>
      <c r="O365" s="35"/>
      <c r="P365" s="35"/>
      <c r="Q365" s="35"/>
      <c r="R365" s="35"/>
    </row>
    <row r="366" spans="1:18" x14ac:dyDescent="0.2">
      <c r="A366" s="33"/>
      <c r="B366" s="33"/>
      <c r="C366" s="33"/>
      <c r="D366" s="35"/>
      <c r="E366" s="35"/>
      <c r="F366" s="35"/>
      <c r="G366" s="35"/>
      <c r="H366" s="35"/>
      <c r="I366" s="11"/>
      <c r="J366" s="35"/>
      <c r="K366" s="35"/>
      <c r="L366" s="11"/>
      <c r="M366" s="35"/>
      <c r="N366" s="11"/>
      <c r="O366" s="35"/>
      <c r="P366" s="35"/>
      <c r="Q366" s="35"/>
      <c r="R366" s="35"/>
    </row>
    <row r="367" spans="1:18" x14ac:dyDescent="0.2">
      <c r="A367" s="33"/>
      <c r="B367" s="33"/>
      <c r="C367" s="33"/>
      <c r="D367" s="35"/>
      <c r="E367" s="35"/>
      <c r="F367" s="35"/>
      <c r="G367" s="35"/>
      <c r="H367" s="35"/>
      <c r="I367" s="11"/>
      <c r="J367" s="35"/>
      <c r="K367" s="35"/>
      <c r="L367" s="11"/>
      <c r="M367" s="35"/>
      <c r="N367" s="11"/>
      <c r="O367" s="35"/>
      <c r="P367" s="35"/>
      <c r="Q367" s="35"/>
      <c r="R367" s="35"/>
    </row>
    <row r="368" spans="1:18" x14ac:dyDescent="0.2">
      <c r="A368" s="33"/>
      <c r="B368" s="33"/>
      <c r="C368" s="33"/>
      <c r="D368" s="35"/>
      <c r="E368" s="35"/>
      <c r="F368" s="35"/>
      <c r="G368" s="35"/>
      <c r="H368" s="35"/>
      <c r="I368" s="11"/>
      <c r="J368" s="35"/>
      <c r="K368" s="35"/>
      <c r="L368" s="11"/>
      <c r="M368" s="35"/>
      <c r="N368" s="11"/>
      <c r="O368" s="35"/>
      <c r="P368" s="35"/>
      <c r="Q368" s="35"/>
      <c r="R368" s="35"/>
    </row>
    <row r="369" spans="1:18" x14ac:dyDescent="0.2">
      <c r="A369" s="33"/>
      <c r="B369" s="33"/>
      <c r="C369" s="33"/>
      <c r="D369" s="35"/>
      <c r="E369" s="35"/>
      <c r="F369" s="35"/>
      <c r="G369" s="35"/>
      <c r="H369" s="35"/>
      <c r="I369" s="11"/>
      <c r="J369" s="35"/>
      <c r="K369" s="35"/>
      <c r="L369" s="11"/>
      <c r="M369" s="35"/>
      <c r="N369" s="11"/>
      <c r="O369" s="35"/>
      <c r="P369" s="35"/>
      <c r="Q369" s="35"/>
      <c r="R369" s="35"/>
    </row>
    <row r="370" spans="1:18" x14ac:dyDescent="0.2">
      <c r="A370" s="33"/>
      <c r="B370" s="33"/>
      <c r="C370" s="33"/>
      <c r="D370" s="35"/>
      <c r="E370" s="35"/>
      <c r="F370" s="35"/>
      <c r="G370" s="35"/>
      <c r="H370" s="35"/>
      <c r="I370" s="11"/>
      <c r="J370" s="35"/>
      <c r="K370" s="35"/>
      <c r="L370" s="11"/>
      <c r="M370" s="35"/>
      <c r="N370" s="11"/>
      <c r="O370" s="35"/>
      <c r="P370" s="35"/>
      <c r="Q370" s="35"/>
      <c r="R370" s="35"/>
    </row>
    <row r="371" spans="1:18" x14ac:dyDescent="0.2">
      <c r="A371" s="33"/>
      <c r="B371" s="33"/>
      <c r="C371" s="33"/>
      <c r="D371" s="35"/>
      <c r="E371" s="35"/>
      <c r="F371" s="35"/>
      <c r="G371" s="35"/>
      <c r="H371" s="35"/>
      <c r="I371" s="11"/>
      <c r="J371" s="35"/>
      <c r="K371" s="35"/>
      <c r="L371" s="11"/>
      <c r="M371" s="35"/>
      <c r="N371" s="11"/>
      <c r="O371" s="35"/>
      <c r="P371" s="35"/>
      <c r="Q371" s="35"/>
      <c r="R371" s="35"/>
    </row>
    <row r="372" spans="1:18" x14ac:dyDescent="0.2">
      <c r="A372" s="33"/>
      <c r="B372" s="33"/>
      <c r="C372" s="33"/>
      <c r="D372" s="35"/>
      <c r="E372" s="35"/>
      <c r="F372" s="35"/>
      <c r="G372" s="35"/>
      <c r="H372" s="35"/>
      <c r="I372" s="11"/>
      <c r="J372" s="35"/>
      <c r="K372" s="35"/>
      <c r="L372" s="11"/>
      <c r="M372" s="35"/>
      <c r="N372" s="11"/>
      <c r="O372" s="35"/>
      <c r="P372" s="35"/>
      <c r="Q372" s="35"/>
      <c r="R372" s="35"/>
    </row>
    <row r="373" spans="1:18" x14ac:dyDescent="0.2">
      <c r="A373" s="33"/>
      <c r="B373" s="33"/>
      <c r="C373" s="33"/>
      <c r="D373" s="35"/>
      <c r="E373" s="35"/>
      <c r="F373" s="35"/>
      <c r="G373" s="35"/>
      <c r="H373" s="35"/>
      <c r="I373" s="11"/>
      <c r="J373" s="35"/>
      <c r="K373" s="35"/>
      <c r="L373" s="11"/>
      <c r="M373" s="35"/>
      <c r="N373" s="11"/>
      <c r="O373" s="35"/>
      <c r="P373" s="35"/>
      <c r="Q373" s="35"/>
      <c r="R373" s="35"/>
    </row>
    <row r="374" spans="1:18" x14ac:dyDescent="0.2">
      <c r="A374" s="33"/>
      <c r="B374" s="33"/>
      <c r="C374" s="33"/>
      <c r="D374" s="35"/>
      <c r="E374" s="35"/>
      <c r="F374" s="35"/>
      <c r="G374" s="35"/>
      <c r="H374" s="35"/>
      <c r="I374" s="11"/>
      <c r="J374" s="35"/>
      <c r="K374" s="35"/>
      <c r="L374" s="11"/>
      <c r="M374" s="35"/>
      <c r="N374" s="11"/>
      <c r="O374" s="35"/>
      <c r="P374" s="35"/>
      <c r="Q374" s="35"/>
      <c r="R374" s="35"/>
    </row>
    <row r="375" spans="1:18" x14ac:dyDescent="0.2">
      <c r="A375" s="33"/>
      <c r="B375" s="33"/>
      <c r="C375" s="33"/>
      <c r="D375" s="35"/>
      <c r="E375" s="35"/>
      <c r="F375" s="35"/>
      <c r="G375" s="35"/>
      <c r="H375" s="35"/>
      <c r="I375" s="11"/>
      <c r="J375" s="35"/>
      <c r="K375" s="35"/>
      <c r="L375" s="11"/>
      <c r="M375" s="35"/>
      <c r="N375" s="11"/>
      <c r="O375" s="35"/>
      <c r="P375" s="35"/>
      <c r="Q375" s="35"/>
      <c r="R375" s="35"/>
    </row>
    <row r="376" spans="1:18" x14ac:dyDescent="0.2">
      <c r="A376" s="33"/>
      <c r="B376" s="33"/>
      <c r="C376" s="33"/>
      <c r="D376" s="35"/>
      <c r="E376" s="35"/>
      <c r="F376" s="35"/>
      <c r="G376" s="35"/>
      <c r="H376" s="35"/>
      <c r="I376" s="11"/>
      <c r="J376" s="35"/>
      <c r="K376" s="35"/>
      <c r="L376" s="11"/>
      <c r="M376" s="35"/>
      <c r="N376" s="11"/>
      <c r="O376" s="35"/>
      <c r="P376" s="35"/>
      <c r="Q376" s="35"/>
      <c r="R376" s="35"/>
    </row>
    <row r="377" spans="1:18" x14ac:dyDescent="0.2">
      <c r="A377" s="33"/>
      <c r="B377" s="33"/>
      <c r="C377" s="33"/>
      <c r="D377" s="35"/>
      <c r="E377" s="35"/>
      <c r="F377" s="35"/>
      <c r="G377" s="35"/>
      <c r="H377" s="35"/>
      <c r="I377" s="11"/>
      <c r="J377" s="35"/>
      <c r="K377" s="35"/>
      <c r="L377" s="11"/>
      <c r="M377" s="35"/>
      <c r="N377" s="11"/>
      <c r="O377" s="35"/>
      <c r="P377" s="35"/>
      <c r="Q377" s="35"/>
      <c r="R377" s="35"/>
    </row>
    <row r="378" spans="1:18" x14ac:dyDescent="0.2">
      <c r="A378" s="33"/>
      <c r="B378" s="33"/>
      <c r="C378" s="33"/>
      <c r="D378" s="35"/>
      <c r="E378" s="35"/>
      <c r="F378" s="35"/>
      <c r="G378" s="35"/>
      <c r="H378" s="35"/>
      <c r="I378" s="11"/>
      <c r="J378" s="35"/>
      <c r="K378" s="35"/>
      <c r="L378" s="11"/>
      <c r="M378" s="35"/>
      <c r="N378" s="11"/>
      <c r="O378" s="35"/>
      <c r="P378" s="35"/>
      <c r="Q378" s="35"/>
      <c r="R378" s="35"/>
    </row>
    <row r="379" spans="1:18" x14ac:dyDescent="0.2">
      <c r="A379" s="33"/>
      <c r="B379" s="33"/>
      <c r="C379" s="33"/>
      <c r="D379" s="35"/>
      <c r="E379" s="35"/>
      <c r="F379" s="35"/>
      <c r="G379" s="35"/>
      <c r="H379" s="35"/>
      <c r="I379" s="11"/>
      <c r="J379" s="35"/>
      <c r="K379" s="35"/>
      <c r="L379" s="11"/>
      <c r="M379" s="35"/>
      <c r="N379" s="11"/>
      <c r="O379" s="35"/>
      <c r="P379" s="35"/>
      <c r="Q379" s="35"/>
      <c r="R379" s="35"/>
    </row>
    <row r="380" spans="1:18" x14ac:dyDescent="0.2">
      <c r="A380" s="33"/>
      <c r="B380" s="33"/>
      <c r="C380" s="33"/>
      <c r="D380" s="35"/>
      <c r="E380" s="35"/>
      <c r="F380" s="35"/>
      <c r="G380" s="35"/>
      <c r="H380" s="35"/>
      <c r="I380" s="11"/>
      <c r="J380" s="35"/>
      <c r="K380" s="35"/>
      <c r="L380" s="11"/>
      <c r="M380" s="35"/>
      <c r="N380" s="11"/>
      <c r="O380" s="35"/>
      <c r="P380" s="35"/>
      <c r="Q380" s="35"/>
      <c r="R380" s="35"/>
    </row>
    <row r="381" spans="1:18" x14ac:dyDescent="0.2">
      <c r="A381" s="33"/>
      <c r="B381" s="33"/>
      <c r="C381" s="33"/>
      <c r="D381" s="35"/>
      <c r="E381" s="35"/>
      <c r="F381" s="35"/>
      <c r="G381" s="35"/>
      <c r="H381" s="35"/>
      <c r="I381" s="11"/>
      <c r="J381" s="35"/>
      <c r="K381" s="35"/>
      <c r="L381" s="11"/>
      <c r="M381" s="35"/>
      <c r="N381" s="11"/>
      <c r="O381" s="35"/>
      <c r="P381" s="35"/>
      <c r="Q381" s="35"/>
      <c r="R381" s="35"/>
    </row>
    <row r="382" spans="1:18" x14ac:dyDescent="0.2"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</row>
    <row r="383" spans="1:18" x14ac:dyDescent="0.2"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</row>
    <row r="384" spans="1:18" x14ac:dyDescent="0.2"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</row>
    <row r="385" spans="4:18" x14ac:dyDescent="0.2"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</row>
    <row r="386" spans="4:18" x14ac:dyDescent="0.2"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</row>
    <row r="387" spans="4:18" x14ac:dyDescent="0.2"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</row>
    <row r="388" spans="4:18" x14ac:dyDescent="0.2"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</row>
    <row r="389" spans="4:18" x14ac:dyDescent="0.2"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</row>
    <row r="390" spans="4:18" x14ac:dyDescent="0.2"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</row>
    <row r="391" spans="4:18" x14ac:dyDescent="0.2"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</row>
    <row r="392" spans="4:18" x14ac:dyDescent="0.2"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</row>
    <row r="393" spans="4:18" x14ac:dyDescent="0.2"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</row>
    <row r="394" spans="4:18" x14ac:dyDescent="0.2"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</row>
    <row r="395" spans="4:18" x14ac:dyDescent="0.2"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</row>
    <row r="396" spans="4:18" x14ac:dyDescent="0.2"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</row>
    <row r="397" spans="4:18" x14ac:dyDescent="0.2"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</row>
    <row r="398" spans="4:18" x14ac:dyDescent="0.2"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</row>
    <row r="399" spans="4:18" x14ac:dyDescent="0.2"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</row>
    <row r="400" spans="4:18" x14ac:dyDescent="0.2"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</row>
    <row r="401" spans="4:18" x14ac:dyDescent="0.2"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</row>
    <row r="402" spans="4:18" x14ac:dyDescent="0.2"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</row>
    <row r="403" spans="4:18" x14ac:dyDescent="0.2"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</row>
    <row r="404" spans="4:18" x14ac:dyDescent="0.2"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</row>
    <row r="405" spans="4:18" x14ac:dyDescent="0.2"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</row>
    <row r="406" spans="4:18" x14ac:dyDescent="0.2"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</row>
    <row r="407" spans="4:18" x14ac:dyDescent="0.2"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</row>
    <row r="408" spans="4:18" x14ac:dyDescent="0.2"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</row>
    <row r="409" spans="4:18" x14ac:dyDescent="0.2"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</row>
    <row r="410" spans="4:18" x14ac:dyDescent="0.2"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</row>
    <row r="411" spans="4:18" x14ac:dyDescent="0.2"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</row>
    <row r="412" spans="4:18" x14ac:dyDescent="0.2"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</row>
    <row r="413" spans="4:18" x14ac:dyDescent="0.2"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</row>
    <row r="414" spans="4:18" x14ac:dyDescent="0.2"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</row>
    <row r="415" spans="4:18" x14ac:dyDescent="0.2"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</row>
    <row r="416" spans="4:18" x14ac:dyDescent="0.2"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</row>
    <row r="417" spans="4:18" x14ac:dyDescent="0.2"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</row>
    <row r="418" spans="4:18" x14ac:dyDescent="0.2"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</row>
    <row r="419" spans="4:18" x14ac:dyDescent="0.2"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</row>
    <row r="420" spans="4:18" x14ac:dyDescent="0.2"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</row>
    <row r="421" spans="4:18" x14ac:dyDescent="0.2"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</row>
    <row r="422" spans="4:18" x14ac:dyDescent="0.2"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</row>
    <row r="423" spans="4:18" x14ac:dyDescent="0.2"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</row>
    <row r="424" spans="4:18" x14ac:dyDescent="0.2"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</row>
    <row r="425" spans="4:18" x14ac:dyDescent="0.2"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</row>
    <row r="426" spans="4:18" x14ac:dyDescent="0.2"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</row>
    <row r="427" spans="4:18" x14ac:dyDescent="0.2"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</row>
    <row r="428" spans="4:18" x14ac:dyDescent="0.2"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</row>
    <row r="429" spans="4:18" x14ac:dyDescent="0.2"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</row>
    <row r="430" spans="4:18" x14ac:dyDescent="0.2"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</row>
    <row r="431" spans="4:18" x14ac:dyDescent="0.2"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</row>
    <row r="432" spans="4:18" x14ac:dyDescent="0.2"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</row>
    <row r="433" spans="4:18" x14ac:dyDescent="0.2"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</row>
    <row r="434" spans="4:18" x14ac:dyDescent="0.2"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</row>
    <row r="435" spans="4:18" x14ac:dyDescent="0.2"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</row>
    <row r="436" spans="4:18" x14ac:dyDescent="0.2"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</row>
    <row r="437" spans="4:18" x14ac:dyDescent="0.2"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</row>
    <row r="438" spans="4:18" x14ac:dyDescent="0.2"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</row>
    <row r="439" spans="4:18" x14ac:dyDescent="0.2"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</row>
    <row r="440" spans="4:18" x14ac:dyDescent="0.2"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</row>
    <row r="441" spans="4:18" x14ac:dyDescent="0.2"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</row>
    <row r="442" spans="4:18" x14ac:dyDescent="0.2"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</row>
    <row r="443" spans="4:18" x14ac:dyDescent="0.2"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</row>
    <row r="444" spans="4:18" x14ac:dyDescent="0.2"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</row>
    <row r="445" spans="4:18" x14ac:dyDescent="0.2"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</row>
    <row r="446" spans="4:18" x14ac:dyDescent="0.2"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</row>
    <row r="447" spans="4:18" x14ac:dyDescent="0.2"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</row>
    <row r="448" spans="4:18" x14ac:dyDescent="0.2"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</row>
    <row r="449" spans="4:18" x14ac:dyDescent="0.2"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</row>
    <row r="450" spans="4:18" x14ac:dyDescent="0.2"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</row>
    <row r="451" spans="4:18" x14ac:dyDescent="0.2"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</row>
    <row r="452" spans="4:18" x14ac:dyDescent="0.2"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</row>
    <row r="453" spans="4:18" x14ac:dyDescent="0.2"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</row>
    <row r="454" spans="4:18" x14ac:dyDescent="0.2"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</row>
    <row r="455" spans="4:18" x14ac:dyDescent="0.2"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</row>
    <row r="456" spans="4:18" x14ac:dyDescent="0.2"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</row>
    <row r="457" spans="4:18" x14ac:dyDescent="0.2"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</row>
    <row r="458" spans="4:18" x14ac:dyDescent="0.2"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</row>
    <row r="459" spans="4:18" x14ac:dyDescent="0.2"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</row>
    <row r="460" spans="4:18" x14ac:dyDescent="0.2"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</row>
    <row r="461" spans="4:18" x14ac:dyDescent="0.2"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</row>
    <row r="462" spans="4:18" x14ac:dyDescent="0.2"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</row>
    <row r="463" spans="4:18" x14ac:dyDescent="0.2"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</row>
    <row r="464" spans="4:18" x14ac:dyDescent="0.2"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</row>
    <row r="465" spans="4:18" x14ac:dyDescent="0.2"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</row>
    <row r="466" spans="4:18" x14ac:dyDescent="0.2"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</row>
    <row r="467" spans="4:18" x14ac:dyDescent="0.2"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</row>
    <row r="468" spans="4:18" x14ac:dyDescent="0.2"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</row>
    <row r="469" spans="4:18" x14ac:dyDescent="0.2"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</row>
    <row r="470" spans="4:18" x14ac:dyDescent="0.2"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</row>
    <row r="471" spans="4:18" x14ac:dyDescent="0.2"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</row>
    <row r="472" spans="4:18" x14ac:dyDescent="0.2"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</row>
    <row r="473" spans="4:18" x14ac:dyDescent="0.2"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</row>
    <row r="474" spans="4:18" x14ac:dyDescent="0.2"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</row>
    <row r="475" spans="4:18" x14ac:dyDescent="0.2"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</row>
    <row r="476" spans="4:18" x14ac:dyDescent="0.2"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</row>
    <row r="477" spans="4:18" x14ac:dyDescent="0.2"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</row>
    <row r="478" spans="4:18" x14ac:dyDescent="0.2"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</row>
    <row r="479" spans="4:18" x14ac:dyDescent="0.2"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</row>
    <row r="480" spans="4:18" x14ac:dyDescent="0.2"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</row>
    <row r="481" spans="4:18" x14ac:dyDescent="0.2"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</row>
    <row r="482" spans="4:18" x14ac:dyDescent="0.2"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</row>
    <row r="483" spans="4:18" x14ac:dyDescent="0.2"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</row>
    <row r="484" spans="4:18" x14ac:dyDescent="0.2"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</row>
    <row r="485" spans="4:18" x14ac:dyDescent="0.2"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</row>
    <row r="486" spans="4:18" x14ac:dyDescent="0.2"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</row>
    <row r="487" spans="4:18" x14ac:dyDescent="0.2"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</row>
    <row r="488" spans="4:18" x14ac:dyDescent="0.2"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</row>
    <row r="489" spans="4:18" x14ac:dyDescent="0.2"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</row>
    <row r="490" spans="4:18" x14ac:dyDescent="0.2"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</row>
    <row r="491" spans="4:18" x14ac:dyDescent="0.2"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</row>
    <row r="492" spans="4:18" x14ac:dyDescent="0.2"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</row>
    <row r="493" spans="4:18" x14ac:dyDescent="0.2"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</row>
    <row r="494" spans="4:18" x14ac:dyDescent="0.2"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</row>
    <row r="495" spans="4:18" x14ac:dyDescent="0.2"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</row>
    <row r="496" spans="4:18" x14ac:dyDescent="0.2"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</row>
    <row r="497" spans="4:18" x14ac:dyDescent="0.2"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</row>
    <row r="498" spans="4:18" x14ac:dyDescent="0.2"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</row>
    <row r="499" spans="4:18" x14ac:dyDescent="0.2"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</row>
    <row r="500" spans="4:18" x14ac:dyDescent="0.2"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</row>
    <row r="501" spans="4:18" x14ac:dyDescent="0.2"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</row>
    <row r="502" spans="4:18" x14ac:dyDescent="0.2"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</row>
    <row r="503" spans="4:18" x14ac:dyDescent="0.2"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</row>
    <row r="504" spans="4:18" x14ac:dyDescent="0.2"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</row>
    <row r="505" spans="4:18" x14ac:dyDescent="0.2"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</row>
    <row r="506" spans="4:18" x14ac:dyDescent="0.2"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</row>
    <row r="507" spans="4:18" x14ac:dyDescent="0.2"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</row>
    <row r="508" spans="4:18" x14ac:dyDescent="0.2"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</row>
    <row r="509" spans="4:18" x14ac:dyDescent="0.2"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</row>
    <row r="510" spans="4:18" x14ac:dyDescent="0.2"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</row>
    <row r="511" spans="4:18" x14ac:dyDescent="0.2"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</row>
    <row r="512" spans="4:18" x14ac:dyDescent="0.2"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</row>
    <row r="513" spans="4:18" x14ac:dyDescent="0.2"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</row>
    <row r="514" spans="4:18" x14ac:dyDescent="0.2"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</row>
    <row r="515" spans="4:18" x14ac:dyDescent="0.2"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</row>
    <row r="516" spans="4:18" x14ac:dyDescent="0.2"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</row>
    <row r="517" spans="4:18" x14ac:dyDescent="0.2"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</row>
    <row r="518" spans="4:18" x14ac:dyDescent="0.2"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</row>
    <row r="519" spans="4:18" x14ac:dyDescent="0.2"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</row>
    <row r="520" spans="4:18" x14ac:dyDescent="0.2"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</row>
    <row r="521" spans="4:18" x14ac:dyDescent="0.2"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</row>
    <row r="522" spans="4:18" x14ac:dyDescent="0.2"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</row>
    <row r="523" spans="4:18" x14ac:dyDescent="0.2"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</row>
    <row r="524" spans="4:18" x14ac:dyDescent="0.2"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</row>
    <row r="525" spans="4:18" x14ac:dyDescent="0.2"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</row>
    <row r="526" spans="4:18" x14ac:dyDescent="0.2"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</row>
    <row r="527" spans="4:18" x14ac:dyDescent="0.2"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</row>
    <row r="528" spans="4:18" x14ac:dyDescent="0.2"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</row>
    <row r="529" spans="4:18" x14ac:dyDescent="0.2"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</row>
    <row r="530" spans="4:18" x14ac:dyDescent="0.2"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</row>
    <row r="531" spans="4:18" x14ac:dyDescent="0.2"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</row>
    <row r="532" spans="4:18" x14ac:dyDescent="0.2"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</row>
    <row r="533" spans="4:18" x14ac:dyDescent="0.2"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</row>
    <row r="534" spans="4:18" x14ac:dyDescent="0.2"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</row>
    <row r="535" spans="4:18" x14ac:dyDescent="0.2"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</row>
    <row r="536" spans="4:18" x14ac:dyDescent="0.2"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</row>
    <row r="537" spans="4:18" x14ac:dyDescent="0.2"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</row>
    <row r="538" spans="4:18" x14ac:dyDescent="0.2"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</row>
    <row r="539" spans="4:18" x14ac:dyDescent="0.2"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</row>
    <row r="540" spans="4:18" x14ac:dyDescent="0.2"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</row>
    <row r="541" spans="4:18" x14ac:dyDescent="0.2"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</row>
    <row r="542" spans="4:18" x14ac:dyDescent="0.2"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</row>
    <row r="543" spans="4:18" x14ac:dyDescent="0.2"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</row>
    <row r="544" spans="4:18" x14ac:dyDescent="0.2"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</row>
    <row r="545" spans="4:18" x14ac:dyDescent="0.2"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</row>
    <row r="546" spans="4:18" x14ac:dyDescent="0.2"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</row>
    <row r="547" spans="4:18" x14ac:dyDescent="0.2"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</row>
    <row r="548" spans="4:18" x14ac:dyDescent="0.2"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</row>
    <row r="549" spans="4:18" x14ac:dyDescent="0.2"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</row>
    <row r="550" spans="4:18" x14ac:dyDescent="0.2"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</row>
    <row r="551" spans="4:18" x14ac:dyDescent="0.2"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</row>
    <row r="552" spans="4:18" x14ac:dyDescent="0.2"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</row>
    <row r="553" spans="4:18" x14ac:dyDescent="0.2"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</row>
    <row r="554" spans="4:18" x14ac:dyDescent="0.2"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</row>
    <row r="555" spans="4:18" x14ac:dyDescent="0.2"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</row>
    <row r="556" spans="4:18" x14ac:dyDescent="0.2"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</row>
    <row r="557" spans="4:18" x14ac:dyDescent="0.2"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</row>
    <row r="558" spans="4:18" x14ac:dyDescent="0.2"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</row>
    <row r="559" spans="4:18" x14ac:dyDescent="0.2"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</row>
    <row r="560" spans="4:18" x14ac:dyDescent="0.2"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</row>
    <row r="561" spans="4:18" x14ac:dyDescent="0.2"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</row>
    <row r="562" spans="4:18" x14ac:dyDescent="0.2"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</row>
    <row r="563" spans="4:18" x14ac:dyDescent="0.2"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</row>
    <row r="564" spans="4:18" x14ac:dyDescent="0.2"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</row>
    <row r="565" spans="4:18" x14ac:dyDescent="0.2"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</row>
    <row r="566" spans="4:18" x14ac:dyDescent="0.2"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</row>
    <row r="567" spans="4:18" x14ac:dyDescent="0.2"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</row>
    <row r="568" spans="4:18" x14ac:dyDescent="0.2"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</row>
    <row r="569" spans="4:18" x14ac:dyDescent="0.2"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</row>
    <row r="570" spans="4:18" x14ac:dyDescent="0.2"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</row>
    <row r="571" spans="4:18" x14ac:dyDescent="0.2"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</row>
    <row r="572" spans="4:18" x14ac:dyDescent="0.2"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</row>
    <row r="573" spans="4:18" x14ac:dyDescent="0.2"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</row>
    <row r="574" spans="4:18" x14ac:dyDescent="0.2"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</row>
    <row r="575" spans="4:18" x14ac:dyDescent="0.2"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</row>
    <row r="576" spans="4:18" x14ac:dyDescent="0.2"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</row>
    <row r="577" spans="4:18" x14ac:dyDescent="0.2"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</row>
    <row r="578" spans="4:18" x14ac:dyDescent="0.2"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</row>
    <row r="579" spans="4:18" x14ac:dyDescent="0.2"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</row>
    <row r="580" spans="4:18" x14ac:dyDescent="0.2"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</row>
    <row r="581" spans="4:18" x14ac:dyDescent="0.2"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</row>
    <row r="582" spans="4:18" x14ac:dyDescent="0.2"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</row>
    <row r="583" spans="4:18" x14ac:dyDescent="0.2"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</row>
    <row r="584" spans="4:18" x14ac:dyDescent="0.2"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</row>
    <row r="585" spans="4:18" x14ac:dyDescent="0.2"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</row>
    <row r="586" spans="4:18" x14ac:dyDescent="0.2"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</row>
    <row r="587" spans="4:18" x14ac:dyDescent="0.2"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</row>
    <row r="588" spans="4:18" x14ac:dyDescent="0.2"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</row>
    <row r="589" spans="4:18" x14ac:dyDescent="0.2"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</row>
    <row r="590" spans="4:18" x14ac:dyDescent="0.2"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</row>
    <row r="591" spans="4:18" x14ac:dyDescent="0.2"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</row>
    <row r="592" spans="4:18" x14ac:dyDescent="0.2"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</row>
    <row r="593" spans="4:18" x14ac:dyDescent="0.2"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</row>
    <row r="594" spans="4:18" x14ac:dyDescent="0.2"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</row>
    <row r="595" spans="4:18" x14ac:dyDescent="0.2"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</row>
    <row r="596" spans="4:18" x14ac:dyDescent="0.2"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</row>
    <row r="597" spans="4:18" x14ac:dyDescent="0.2"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</row>
    <row r="598" spans="4:18" x14ac:dyDescent="0.2"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</row>
    <row r="599" spans="4:18" x14ac:dyDescent="0.2"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</row>
    <row r="600" spans="4:18" x14ac:dyDescent="0.2"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</row>
    <row r="601" spans="4:18" x14ac:dyDescent="0.2"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</row>
    <row r="602" spans="4:18" x14ac:dyDescent="0.2"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</row>
    <row r="603" spans="4:18" x14ac:dyDescent="0.2"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</row>
    <row r="604" spans="4:18" x14ac:dyDescent="0.2"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</row>
    <row r="605" spans="4:18" x14ac:dyDescent="0.2"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</row>
    <row r="606" spans="4:18" x14ac:dyDescent="0.2"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</row>
    <row r="607" spans="4:18" x14ac:dyDescent="0.2"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</row>
    <row r="608" spans="4:18" x14ac:dyDescent="0.2"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</row>
    <row r="609" spans="4:18" x14ac:dyDescent="0.2"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</row>
    <row r="610" spans="4:18" x14ac:dyDescent="0.2"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</row>
    <row r="611" spans="4:18" x14ac:dyDescent="0.2"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</row>
    <row r="612" spans="4:18" x14ac:dyDescent="0.2"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</row>
    <row r="613" spans="4:18" x14ac:dyDescent="0.2"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</row>
    <row r="614" spans="4:18" x14ac:dyDescent="0.2"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</row>
    <row r="615" spans="4:18" x14ac:dyDescent="0.2"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</row>
    <row r="616" spans="4:18" x14ac:dyDescent="0.2"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</row>
    <row r="617" spans="4:18" x14ac:dyDescent="0.2"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</row>
    <row r="618" spans="4:18" x14ac:dyDescent="0.2"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</row>
    <row r="619" spans="4:18" x14ac:dyDescent="0.2"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</row>
    <row r="620" spans="4:18" x14ac:dyDescent="0.2"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</row>
    <row r="621" spans="4:18" x14ac:dyDescent="0.2"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</row>
    <row r="622" spans="4:18" x14ac:dyDescent="0.2"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</row>
    <row r="623" spans="4:18" x14ac:dyDescent="0.2"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</row>
    <row r="624" spans="4:18" x14ac:dyDescent="0.2"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</row>
    <row r="625" spans="4:18" x14ac:dyDescent="0.2"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</row>
    <row r="626" spans="4:18" x14ac:dyDescent="0.2"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</row>
    <row r="627" spans="4:18" x14ac:dyDescent="0.2"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</row>
    <row r="628" spans="4:18" x14ac:dyDescent="0.2"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</row>
    <row r="629" spans="4:18" x14ac:dyDescent="0.2"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</row>
    <row r="630" spans="4:18" x14ac:dyDescent="0.2"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</row>
    <row r="631" spans="4:18" x14ac:dyDescent="0.2"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</row>
    <row r="632" spans="4:18" x14ac:dyDescent="0.2"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</row>
    <row r="633" spans="4:18" x14ac:dyDescent="0.2"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</row>
    <row r="634" spans="4:18" x14ac:dyDescent="0.2"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</row>
    <row r="635" spans="4:18" x14ac:dyDescent="0.2"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</row>
    <row r="636" spans="4:18" x14ac:dyDescent="0.2"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</row>
    <row r="637" spans="4:18" x14ac:dyDescent="0.2"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</row>
    <row r="638" spans="4:18" x14ac:dyDescent="0.2"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</row>
    <row r="639" spans="4:18" x14ac:dyDescent="0.2"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</row>
    <row r="640" spans="4:18" x14ac:dyDescent="0.2"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</row>
    <row r="641" spans="4:18" x14ac:dyDescent="0.2"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</row>
    <row r="642" spans="4:18" x14ac:dyDescent="0.2"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</row>
    <row r="643" spans="4:18" x14ac:dyDescent="0.2"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</row>
    <row r="644" spans="4:18" x14ac:dyDescent="0.2"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</row>
    <row r="645" spans="4:18" x14ac:dyDescent="0.2"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</row>
    <row r="646" spans="4:18" x14ac:dyDescent="0.2"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</row>
    <row r="647" spans="4:18" x14ac:dyDescent="0.2"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</row>
    <row r="648" spans="4:18" x14ac:dyDescent="0.2"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</row>
    <row r="649" spans="4:18" x14ac:dyDescent="0.2"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</row>
    <row r="650" spans="4:18" x14ac:dyDescent="0.2"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</row>
    <row r="651" spans="4:18" x14ac:dyDescent="0.2"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</row>
    <row r="652" spans="4:18" x14ac:dyDescent="0.2"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</row>
    <row r="653" spans="4:18" x14ac:dyDescent="0.2"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</row>
    <row r="654" spans="4:18" x14ac:dyDescent="0.2"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</row>
    <row r="655" spans="4:18" x14ac:dyDescent="0.2"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</row>
    <row r="656" spans="4:18" x14ac:dyDescent="0.2"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</row>
    <row r="657" spans="4:18" x14ac:dyDescent="0.2"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</row>
    <row r="658" spans="4:18" x14ac:dyDescent="0.2"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</row>
    <row r="659" spans="4:18" x14ac:dyDescent="0.2"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</row>
    <row r="660" spans="4:18" x14ac:dyDescent="0.2"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</row>
    <row r="661" spans="4:18" x14ac:dyDescent="0.2"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</row>
    <row r="662" spans="4:18" x14ac:dyDescent="0.2"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</row>
    <row r="663" spans="4:18" x14ac:dyDescent="0.2"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</row>
    <row r="664" spans="4:18" x14ac:dyDescent="0.2"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</row>
    <row r="665" spans="4:18" x14ac:dyDescent="0.2"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</row>
    <row r="666" spans="4:18" x14ac:dyDescent="0.2"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</row>
    <row r="667" spans="4:18" x14ac:dyDescent="0.2"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</row>
    <row r="668" spans="4:18" x14ac:dyDescent="0.2"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</row>
    <row r="669" spans="4:18" x14ac:dyDescent="0.2"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</row>
    <row r="670" spans="4:18" x14ac:dyDescent="0.2"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</row>
    <row r="671" spans="4:18" x14ac:dyDescent="0.2"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</row>
    <row r="672" spans="4:18" x14ac:dyDescent="0.2"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</row>
    <row r="673" spans="4:18" x14ac:dyDescent="0.2"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</row>
    <row r="674" spans="4:18" x14ac:dyDescent="0.2"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</row>
    <row r="675" spans="4:18" x14ac:dyDescent="0.2"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</row>
    <row r="676" spans="4:18" x14ac:dyDescent="0.2"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</row>
    <row r="677" spans="4:18" x14ac:dyDescent="0.2"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</row>
    <row r="678" spans="4:18" x14ac:dyDescent="0.2"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</row>
    <row r="679" spans="4:18" x14ac:dyDescent="0.2"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</row>
    <row r="680" spans="4:18" x14ac:dyDescent="0.2"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</row>
    <row r="681" spans="4:18" x14ac:dyDescent="0.2"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</row>
    <row r="682" spans="4:18" x14ac:dyDescent="0.2"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</row>
    <row r="683" spans="4:18" x14ac:dyDescent="0.2"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</row>
    <row r="684" spans="4:18" x14ac:dyDescent="0.2"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</row>
    <row r="685" spans="4:18" x14ac:dyDescent="0.2"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</row>
    <row r="686" spans="4:18" x14ac:dyDescent="0.2"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</row>
    <row r="687" spans="4:18" x14ac:dyDescent="0.2"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</row>
    <row r="688" spans="4:18" x14ac:dyDescent="0.2"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</row>
    <row r="689" spans="4:18" x14ac:dyDescent="0.2"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</row>
    <row r="690" spans="4:18" x14ac:dyDescent="0.2"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</row>
    <row r="691" spans="4:18" x14ac:dyDescent="0.2"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</row>
    <row r="692" spans="4:18" x14ac:dyDescent="0.2"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</row>
    <row r="693" spans="4:18" x14ac:dyDescent="0.2"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</row>
    <row r="694" spans="4:18" x14ac:dyDescent="0.2"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</row>
    <row r="695" spans="4:18" x14ac:dyDescent="0.2"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</row>
    <row r="696" spans="4:18" x14ac:dyDescent="0.2"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</row>
    <row r="697" spans="4:18" x14ac:dyDescent="0.2"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</row>
    <row r="698" spans="4:18" x14ac:dyDescent="0.2"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</row>
    <row r="699" spans="4:18" x14ac:dyDescent="0.2"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</row>
    <row r="700" spans="4:18" x14ac:dyDescent="0.2"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</row>
    <row r="701" spans="4:18" x14ac:dyDescent="0.2"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</row>
    <row r="702" spans="4:18" x14ac:dyDescent="0.2"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</row>
    <row r="703" spans="4:18" x14ac:dyDescent="0.2"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</row>
    <row r="704" spans="4:18" x14ac:dyDescent="0.2"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</row>
    <row r="705" spans="4:18" x14ac:dyDescent="0.2"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</row>
    <row r="706" spans="4:18" x14ac:dyDescent="0.2"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</row>
    <row r="707" spans="4:18" x14ac:dyDescent="0.2"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</row>
    <row r="708" spans="4:18" x14ac:dyDescent="0.2"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</row>
    <row r="709" spans="4:18" x14ac:dyDescent="0.2"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</row>
    <row r="710" spans="4:18" x14ac:dyDescent="0.2"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</row>
    <row r="711" spans="4:18" x14ac:dyDescent="0.2"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</row>
    <row r="712" spans="4:18" x14ac:dyDescent="0.2"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</row>
    <row r="713" spans="4:18" x14ac:dyDescent="0.2"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</row>
    <row r="714" spans="4:18" x14ac:dyDescent="0.2"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</row>
    <row r="715" spans="4:18" x14ac:dyDescent="0.2"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</row>
    <row r="716" spans="4:18" x14ac:dyDescent="0.2"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</row>
    <row r="717" spans="4:18" x14ac:dyDescent="0.2"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</row>
    <row r="718" spans="4:18" x14ac:dyDescent="0.2"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</row>
    <row r="719" spans="4:18" x14ac:dyDescent="0.2"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</row>
    <row r="720" spans="4:18" x14ac:dyDescent="0.2"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</row>
    <row r="721" spans="4:18" x14ac:dyDescent="0.2"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</row>
    <row r="722" spans="4:18" x14ac:dyDescent="0.2"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</row>
    <row r="723" spans="4:18" x14ac:dyDescent="0.2"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</row>
    <row r="724" spans="4:18" x14ac:dyDescent="0.2"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</row>
    <row r="725" spans="4:18" x14ac:dyDescent="0.2"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</row>
    <row r="726" spans="4:18" x14ac:dyDescent="0.2"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</row>
    <row r="727" spans="4:18" x14ac:dyDescent="0.2"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</row>
    <row r="728" spans="4:18" x14ac:dyDescent="0.2"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</row>
    <row r="729" spans="4:18" x14ac:dyDescent="0.2"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</row>
    <row r="730" spans="4:18" x14ac:dyDescent="0.2"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</row>
    <row r="731" spans="4:18" x14ac:dyDescent="0.2"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</row>
    <row r="732" spans="4:18" x14ac:dyDescent="0.2"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</row>
    <row r="733" spans="4:18" x14ac:dyDescent="0.2"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</row>
    <row r="734" spans="4:18" x14ac:dyDescent="0.2"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</row>
    <row r="735" spans="4:18" x14ac:dyDescent="0.2"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</row>
    <row r="736" spans="4:18" x14ac:dyDescent="0.2"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</row>
    <row r="737" spans="4:18" x14ac:dyDescent="0.2"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</row>
    <row r="738" spans="4:18" x14ac:dyDescent="0.2"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</row>
    <row r="739" spans="4:18" x14ac:dyDescent="0.2"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</row>
    <row r="740" spans="4:18" x14ac:dyDescent="0.2"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</row>
    <row r="741" spans="4:18" x14ac:dyDescent="0.2"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</row>
    <row r="742" spans="4:18" x14ac:dyDescent="0.2"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</row>
    <row r="743" spans="4:18" x14ac:dyDescent="0.2"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</row>
    <row r="744" spans="4:18" x14ac:dyDescent="0.2"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</row>
    <row r="745" spans="4:18" x14ac:dyDescent="0.2"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</row>
    <row r="746" spans="4:18" x14ac:dyDescent="0.2"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</row>
    <row r="747" spans="4:18" x14ac:dyDescent="0.2"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</row>
    <row r="748" spans="4:18" x14ac:dyDescent="0.2"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</row>
    <row r="749" spans="4:18" x14ac:dyDescent="0.2"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</row>
    <row r="750" spans="4:18" x14ac:dyDescent="0.2"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</row>
    <row r="751" spans="4:18" x14ac:dyDescent="0.2"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</row>
    <row r="752" spans="4:18" x14ac:dyDescent="0.2"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</row>
    <row r="753" spans="4:18" x14ac:dyDescent="0.2"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</row>
    <row r="754" spans="4:18" x14ac:dyDescent="0.2"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</row>
    <row r="755" spans="4:18" x14ac:dyDescent="0.2"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</row>
    <row r="756" spans="4:18" x14ac:dyDescent="0.2"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</row>
    <row r="757" spans="4:18" x14ac:dyDescent="0.2"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</row>
    <row r="758" spans="4:18" x14ac:dyDescent="0.2"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</row>
    <row r="759" spans="4:18" x14ac:dyDescent="0.2"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</row>
    <row r="760" spans="4:18" x14ac:dyDescent="0.2"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</row>
    <row r="761" spans="4:18" x14ac:dyDescent="0.2"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</row>
    <row r="762" spans="4:18" x14ac:dyDescent="0.2"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</row>
    <row r="763" spans="4:18" x14ac:dyDescent="0.2"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</row>
    <row r="764" spans="4:18" x14ac:dyDescent="0.2"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</row>
    <row r="765" spans="4:18" x14ac:dyDescent="0.2"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</row>
    <row r="766" spans="4:18" x14ac:dyDescent="0.2"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</row>
    <row r="767" spans="4:18" x14ac:dyDescent="0.2"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</row>
    <row r="768" spans="4:18" x14ac:dyDescent="0.2"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</row>
    <row r="769" spans="4:18" x14ac:dyDescent="0.2"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</row>
    <row r="770" spans="4:18" x14ac:dyDescent="0.2"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</row>
    <row r="771" spans="4:18" x14ac:dyDescent="0.2"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</row>
    <row r="772" spans="4:18" x14ac:dyDescent="0.2"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</row>
    <row r="773" spans="4:18" x14ac:dyDescent="0.2"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</row>
    <row r="774" spans="4:18" x14ac:dyDescent="0.2"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</row>
    <row r="775" spans="4:18" x14ac:dyDescent="0.2"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</row>
    <row r="776" spans="4:18" x14ac:dyDescent="0.2"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</row>
    <row r="777" spans="4:18" x14ac:dyDescent="0.2"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</row>
  </sheetData>
  <autoFilter ref="A1:AB777" xr:uid="{C663A679-2056-4796-9AF4-012377E14EFA}"/>
  <mergeCells count="23">
    <mergeCell ref="T125:T126"/>
    <mergeCell ref="S1:S2"/>
    <mergeCell ref="T243:T244"/>
    <mergeCell ref="T274:T275"/>
    <mergeCell ref="T179:T183"/>
    <mergeCell ref="T190:T191"/>
    <mergeCell ref="T198:T199"/>
    <mergeCell ref="T96:T103"/>
    <mergeCell ref="J1:J2"/>
    <mergeCell ref="H1:H2"/>
    <mergeCell ref="T18:U20"/>
    <mergeCell ref="T84:T85"/>
    <mergeCell ref="T117:T118"/>
    <mergeCell ref="R1:R2"/>
    <mergeCell ref="O1:O2"/>
    <mergeCell ref="P1:P2"/>
    <mergeCell ref="K1:K2"/>
    <mergeCell ref="M1:M2"/>
    <mergeCell ref="C1:C2"/>
    <mergeCell ref="D1:D2"/>
    <mergeCell ref="E1:E2"/>
    <mergeCell ref="F1:F2"/>
    <mergeCell ref="G1:G2"/>
  </mergeCells>
  <conditionalFormatting sqref="U63:X79 U80:Y80 U81:X81 U82:Y83 U84:X112 U113:Y113 U114:X114 U115:Y116 U117:X119 U120:Y121 U122:X141 U142:Y143 U144:X144 U145:Y146 U147:X160 U161:Y161 U162:X162 U163:Y173 U174:X174 U175:Y175 U176:X176 U229:X229 U230:Y239 U240:X240 U241:Y263 U264:X264 U265:Y265 U266:X266 U297:X297 U298:Y298 U299:X299 U300:Y301 U302:X302 U303:Y304 U305:X306 U177:Y228 U267:Y296 S63:S306">
    <cfRule type="cellIs" dxfId="54" priority="22" operator="greaterThan">
      <formula>0</formula>
    </cfRule>
  </conditionalFormatting>
  <conditionalFormatting sqref="V18:Y20 U5:Y17 U21:Y58 S5:S58">
    <cfRule type="cellIs" dxfId="53" priority="23" operator="lessThan">
      <formula>0</formula>
    </cfRule>
  </conditionalFormatting>
  <conditionalFormatting sqref="Y63:Y79">
    <cfRule type="cellIs" dxfId="52" priority="2" operator="lessThan">
      <formula>0</formula>
    </cfRule>
  </conditionalFormatting>
  <conditionalFormatting sqref="Y81 Y84:Y112">
    <cfRule type="cellIs" dxfId="51" priority="21" operator="lessThan">
      <formula>0</formula>
    </cfRule>
  </conditionalFormatting>
  <conditionalFormatting sqref="Y114">
    <cfRule type="cellIs" dxfId="50" priority="20" operator="lessThan">
      <formula>0</formula>
    </cfRule>
  </conditionalFormatting>
  <conditionalFormatting sqref="Y117:Y119">
    <cfRule type="cellIs" dxfId="49" priority="6" operator="lessThan">
      <formula>0</formula>
    </cfRule>
  </conditionalFormatting>
  <conditionalFormatting sqref="Y122:Y141">
    <cfRule type="cellIs" dxfId="48" priority="4" operator="lessThan">
      <formula>0</formula>
    </cfRule>
  </conditionalFormatting>
  <conditionalFormatting sqref="Y144">
    <cfRule type="cellIs" dxfId="47" priority="19" operator="lessThan">
      <formula>0</formula>
    </cfRule>
  </conditionalFormatting>
  <conditionalFormatting sqref="Y147:Y160">
    <cfRule type="cellIs" dxfId="46" priority="3" operator="lessThan">
      <formula>0</formula>
    </cfRule>
  </conditionalFormatting>
  <conditionalFormatting sqref="Y162">
    <cfRule type="cellIs" dxfId="45" priority="18" operator="lessThan">
      <formula>0</formula>
    </cfRule>
  </conditionalFormatting>
  <conditionalFormatting sqref="Y174">
    <cfRule type="cellIs" dxfId="44" priority="17" operator="lessThan">
      <formula>0</formula>
    </cfRule>
  </conditionalFormatting>
  <conditionalFormatting sqref="Y176">
    <cfRule type="cellIs" dxfId="43" priority="16" operator="lessThan">
      <formula>0</formula>
    </cfRule>
  </conditionalFormatting>
  <conditionalFormatting sqref="Y229">
    <cfRule type="cellIs" dxfId="42" priority="15" operator="lessThan">
      <formula>0</formula>
    </cfRule>
  </conditionalFormatting>
  <conditionalFormatting sqref="Y240">
    <cfRule type="cellIs" dxfId="41" priority="12" operator="lessThan">
      <formula>0</formula>
    </cfRule>
  </conditionalFormatting>
  <conditionalFormatting sqref="Y264">
    <cfRule type="cellIs" dxfId="40" priority="13" operator="lessThan">
      <formula>0</formula>
    </cfRule>
  </conditionalFormatting>
  <conditionalFormatting sqref="Y266">
    <cfRule type="cellIs" dxfId="39" priority="14" operator="lessThan">
      <formula>0</formula>
    </cfRule>
  </conditionalFormatting>
  <conditionalFormatting sqref="Y297">
    <cfRule type="cellIs" dxfId="38" priority="11" operator="lessThan">
      <formula>0</formula>
    </cfRule>
  </conditionalFormatting>
  <conditionalFormatting sqref="Y299">
    <cfRule type="cellIs" dxfId="37" priority="10" operator="lessThan">
      <formula>0</formula>
    </cfRule>
  </conditionalFormatting>
  <conditionalFormatting sqref="Y302">
    <cfRule type="cellIs" dxfId="36" priority="9" operator="lessThan">
      <formula>0</formula>
    </cfRule>
  </conditionalFormatting>
  <conditionalFormatting sqref="Y305">
    <cfRule type="cellIs" dxfId="35" priority="8" operator="lessThan">
      <formula>0</formula>
    </cfRule>
  </conditionalFormatting>
  <conditionalFormatting sqref="Y306">
    <cfRule type="cellIs" dxfId="34" priority="7" operator="lessThan">
      <formula>0</formula>
    </cfRule>
  </conditionalFormatting>
  <pageMargins left="0.2" right="0.2" top="0.75" bottom="0.5" header="0.3" footer="0.3"/>
  <pageSetup paperSize="3" scale="57" fitToHeight="0" orientation="landscape" r:id="rId1"/>
  <headerFooter>
    <oddHeader>&amp;C&amp;"-,Bold"&amp;14&amp;K0070C0FY27 OPERATING BUDGET - FIRST DRAFT - 01.07.26</oddHead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6AF82F-3349-4363-B11D-D7E7F0CE55BC}">
  <sheetPr>
    <pageSetUpPr fitToPage="1"/>
  </sheetPr>
  <dimension ref="A1:M753"/>
  <sheetViews>
    <sheetView workbookViewId="0"/>
  </sheetViews>
  <sheetFormatPr defaultRowHeight="15" x14ac:dyDescent="0.25"/>
  <cols>
    <col min="1" max="1" width="22" style="4" bestFit="1" customWidth="1"/>
    <col min="2" max="2" width="70.42578125" style="4" bestFit="1" customWidth="1"/>
    <col min="3" max="3" width="14.5703125" style="4" bestFit="1" customWidth="1"/>
    <col min="4" max="7" width="14.5703125" style="4" customWidth="1"/>
    <col min="8" max="8" width="2.7109375" style="4" customWidth="1"/>
    <col min="9" max="9" width="16.42578125" style="4" bestFit="1" customWidth="1"/>
    <col min="10" max="10" width="20" style="4" customWidth="1"/>
    <col min="11" max="11" width="2.7109375" style="4" customWidth="1"/>
    <col min="12" max="12" width="16.42578125" style="37" bestFit="1" customWidth="1"/>
    <col min="13" max="13" width="17.42578125" style="38" customWidth="1"/>
  </cols>
  <sheetData>
    <row r="1" spans="1:13" x14ac:dyDescent="0.25">
      <c r="A1" s="1" t="s">
        <v>0</v>
      </c>
      <c r="B1" s="2" t="s">
        <v>1</v>
      </c>
      <c r="C1" s="52" t="s">
        <v>327</v>
      </c>
      <c r="D1" s="52" t="s">
        <v>328</v>
      </c>
      <c r="E1" s="52" t="s">
        <v>329</v>
      </c>
      <c r="F1" s="52" t="s">
        <v>330</v>
      </c>
      <c r="G1" s="52" t="s">
        <v>331</v>
      </c>
      <c r="H1" s="3"/>
      <c r="I1" s="52" t="s">
        <v>2</v>
      </c>
      <c r="J1" s="52" t="s">
        <v>332</v>
      </c>
      <c r="K1" s="3"/>
      <c r="L1" s="55" t="s">
        <v>3</v>
      </c>
      <c r="M1" s="54" t="s">
        <v>333</v>
      </c>
    </row>
    <row r="2" spans="1:13" x14ac:dyDescent="0.25">
      <c r="A2" s="5"/>
      <c r="B2" s="6"/>
      <c r="C2" s="52"/>
      <c r="D2" s="52"/>
      <c r="E2" s="52"/>
      <c r="F2" s="52"/>
      <c r="G2" s="52"/>
      <c r="H2" s="3"/>
      <c r="I2" s="52"/>
      <c r="J2" s="52"/>
      <c r="K2" s="3"/>
      <c r="L2" s="55"/>
      <c r="M2" s="54"/>
    </row>
    <row r="3" spans="1:13" hidden="1" x14ac:dyDescent="0.25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3" hidden="1" x14ac:dyDescent="0.25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3" hidden="1" x14ac:dyDescent="0.25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3" hidden="1" x14ac:dyDescent="0.25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450000</v>
      </c>
      <c r="M6" s="38">
        <f>+L6/J6</f>
        <v>0.6428571428571429</v>
      </c>
    </row>
    <row r="7" spans="1:13" hidden="1" x14ac:dyDescent="0.25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800000</v>
      </c>
      <c r="M7" s="38">
        <f>+L7/J7</f>
        <v>0.96969696969696972</v>
      </c>
    </row>
    <row r="8" spans="1:13" hidden="1" x14ac:dyDescent="0.25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>+L8/J8</f>
        <v>1</v>
      </c>
    </row>
    <row r="9" spans="1:13" hidden="1" x14ac:dyDescent="0.25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>+L9/J9</f>
        <v>1</v>
      </c>
    </row>
    <row r="10" spans="1:13" hidden="1" x14ac:dyDescent="0.25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>+L10/J10</f>
        <v>1</v>
      </c>
    </row>
    <row r="11" spans="1:13" hidden="1" x14ac:dyDescent="0.25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3" hidden="1" x14ac:dyDescent="0.25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1860000</v>
      </c>
      <c r="M12" s="38">
        <f>+L12/J12</f>
        <v>0.87119437939110067</v>
      </c>
    </row>
    <row r="13" spans="1:13" hidden="1" x14ac:dyDescent="0.25">
      <c r="D13" s="11"/>
      <c r="E13" s="11"/>
      <c r="F13" s="11"/>
      <c r="G13" s="11"/>
      <c r="H13" s="3"/>
      <c r="I13" s="11"/>
      <c r="J13" s="11"/>
      <c r="K13" s="3"/>
      <c r="L13" s="11"/>
    </row>
    <row r="14" spans="1:13" hidden="1" x14ac:dyDescent="0.25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3" hidden="1" x14ac:dyDescent="0.25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3" hidden="1" x14ac:dyDescent="0.25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3" hidden="1" x14ac:dyDescent="0.25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>+L17/J17</f>
        <v>1</v>
      </c>
    </row>
    <row r="18" spans="1:13" hidden="1" x14ac:dyDescent="0.25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3" hidden="1" x14ac:dyDescent="0.25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ref="M19:M26" si="0">+L19/J19</f>
        <v>1.0317460317460319</v>
      </c>
    </row>
    <row r="20" spans="1:13" hidden="1" x14ac:dyDescent="0.25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0"/>
        <v>0.99580712788259962</v>
      </c>
    </row>
    <row r="21" spans="1:13" hidden="1" x14ac:dyDescent="0.25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361053.5</v>
      </c>
      <c r="H21" s="3"/>
      <c r="I21" s="11">
        <v>880085</v>
      </c>
      <c r="J21" s="11">
        <v>361000</v>
      </c>
      <c r="K21" s="3"/>
      <c r="L21" s="11">
        <v>350000</v>
      </c>
      <c r="M21" s="38">
        <f t="shared" si="0"/>
        <v>0.96952908587257614</v>
      </c>
    </row>
    <row r="22" spans="1:13" hidden="1" x14ac:dyDescent="0.25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1173685.8799999999</v>
      </c>
      <c r="H22" s="3"/>
      <c r="I22" s="11">
        <f>411257+128000</f>
        <v>539257</v>
      </c>
      <c r="J22" s="11">
        <v>1173000</v>
      </c>
      <c r="K22" s="3"/>
      <c r="L22" s="11">
        <v>1175000</v>
      </c>
      <c r="M22" s="38">
        <f t="shared" si="0"/>
        <v>1.0017050298380221</v>
      </c>
    </row>
    <row r="23" spans="1:13" hidden="1" x14ac:dyDescent="0.25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0"/>
        <v>1</v>
      </c>
    </row>
    <row r="24" spans="1:13" hidden="1" x14ac:dyDescent="0.25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0"/>
        <v>1</v>
      </c>
    </row>
    <row r="25" spans="1:13" hidden="1" x14ac:dyDescent="0.25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0"/>
        <v>0.7</v>
      </c>
    </row>
    <row r="26" spans="1:13" hidden="1" x14ac:dyDescent="0.25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0"/>
        <v>1</v>
      </c>
    </row>
    <row r="27" spans="1:13" hidden="1" x14ac:dyDescent="0.25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3" hidden="1" x14ac:dyDescent="0.25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3090060.2399999998</v>
      </c>
      <c r="H28" s="3"/>
      <c r="I28" s="11">
        <f>SUM(I16:I27)</f>
        <v>3144505</v>
      </c>
      <c r="J28" s="11">
        <f>SUM(J16:J27)</f>
        <v>3181000</v>
      </c>
      <c r="K28" s="3"/>
      <c r="L28" s="11">
        <f>SUM(L16:L27)</f>
        <v>3165000</v>
      </c>
      <c r="M28" s="38">
        <f>+L28/J28</f>
        <v>0.99497013517761712</v>
      </c>
    </row>
    <row r="29" spans="1:13" hidden="1" x14ac:dyDescent="0.25">
      <c r="D29" s="11"/>
      <c r="E29" s="11"/>
      <c r="F29" s="11"/>
      <c r="G29" s="11"/>
      <c r="H29" s="3"/>
      <c r="I29" s="11"/>
      <c r="J29" s="11"/>
      <c r="K29" s="3"/>
      <c r="L29" s="11"/>
    </row>
    <row r="30" spans="1:13" hidden="1" x14ac:dyDescent="0.25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3" hidden="1" x14ac:dyDescent="0.25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3" hidden="1" x14ac:dyDescent="0.25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>+L32/J32</f>
        <v>1</v>
      </c>
    </row>
    <row r="33" spans="1:13" hidden="1" x14ac:dyDescent="0.25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>+L33/J33</f>
        <v>1</v>
      </c>
    </row>
    <row r="34" spans="1:13" hidden="1" x14ac:dyDescent="0.25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>+L34/J34</f>
        <v>1</v>
      </c>
    </row>
    <row r="35" spans="1:13" hidden="1" x14ac:dyDescent="0.25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>+L35/J35</f>
        <v>1</v>
      </c>
    </row>
    <row r="36" spans="1:13" hidden="1" x14ac:dyDescent="0.25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hidden="1" x14ac:dyDescent="0.25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</f>
        <v>1</v>
      </c>
    </row>
    <row r="38" spans="1:13" hidden="1" x14ac:dyDescent="0.25">
      <c r="D38" s="11"/>
      <c r="E38" s="11"/>
      <c r="F38" s="11"/>
      <c r="G38" s="11"/>
      <c r="H38" s="3"/>
      <c r="I38" s="11"/>
      <c r="J38" s="11"/>
      <c r="K38" s="3"/>
      <c r="L38" s="11"/>
    </row>
    <row r="39" spans="1:13" hidden="1" x14ac:dyDescent="0.25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hidden="1" x14ac:dyDescent="0.25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hidden="1" x14ac:dyDescent="0.25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hidden="1" x14ac:dyDescent="0.25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>+L42/J42</f>
        <v>1</v>
      </c>
    </row>
    <row r="43" spans="1:13" hidden="1" x14ac:dyDescent="0.25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>+L43/J43</f>
        <v>0.23809523809523808</v>
      </c>
    </row>
    <row r="44" spans="1:13" hidden="1" x14ac:dyDescent="0.25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>+L44/J44</f>
        <v>1</v>
      </c>
    </row>
    <row r="45" spans="1:13" hidden="1" x14ac:dyDescent="0.25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hidden="1" x14ac:dyDescent="0.25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</f>
        <v>0.64179104477611937</v>
      </c>
    </row>
    <row r="47" spans="1:13" hidden="1" x14ac:dyDescent="0.25">
      <c r="D47" s="11"/>
      <c r="E47" s="11"/>
      <c r="F47" s="11"/>
      <c r="G47" s="11"/>
      <c r="H47" s="3"/>
      <c r="I47" s="11"/>
      <c r="J47" s="11"/>
      <c r="K47" s="3"/>
      <c r="L47" s="11"/>
    </row>
    <row r="48" spans="1:13" hidden="1" x14ac:dyDescent="0.25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3" hidden="1" x14ac:dyDescent="0.25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</f>
        <v>0.7142857142857143</v>
      </c>
    </row>
    <row r="50" spans="1:13" hidden="1" x14ac:dyDescent="0.25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3" hidden="1" x14ac:dyDescent="0.25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</f>
        <v>0.7142857142857143</v>
      </c>
    </row>
    <row r="52" spans="1:13" hidden="1" x14ac:dyDescent="0.25">
      <c r="D52" s="11"/>
      <c r="E52" s="11"/>
      <c r="F52" s="11"/>
      <c r="G52" s="11"/>
      <c r="H52" s="3"/>
      <c r="I52" s="11"/>
      <c r="J52" s="11"/>
      <c r="K52" s="3"/>
      <c r="L52" s="11"/>
    </row>
    <row r="53" spans="1:13" hidden="1" x14ac:dyDescent="0.25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3" hidden="1" x14ac:dyDescent="0.25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3" hidden="1" x14ac:dyDescent="0.25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</f>
        <v>0.42857142857142855</v>
      </c>
    </row>
    <row r="56" spans="1:13" hidden="1" x14ac:dyDescent="0.25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3" hidden="1" x14ac:dyDescent="0.25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</f>
        <v>0.1</v>
      </c>
    </row>
    <row r="58" spans="1:13" hidden="1" x14ac:dyDescent="0.25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>
        <v>1500</v>
      </c>
      <c r="J58" s="11">
        <v>1500</v>
      </c>
      <c r="K58" s="3"/>
      <c r="L58" s="11">
        <v>1500</v>
      </c>
      <c r="M58" s="38">
        <f>+L58/J58</f>
        <v>1</v>
      </c>
    </row>
    <row r="59" spans="1:13" hidden="1" x14ac:dyDescent="0.25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</f>
        <v>1</v>
      </c>
    </row>
    <row r="60" spans="1:13" hidden="1" x14ac:dyDescent="0.25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3" hidden="1" x14ac:dyDescent="0.25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55500</v>
      </c>
      <c r="J61" s="11">
        <f>SUM(J55:J60)</f>
        <v>80000</v>
      </c>
      <c r="K61" s="3"/>
      <c r="L61" s="11">
        <f>SUM(L55:L60)</f>
        <v>55500</v>
      </c>
      <c r="M61" s="38">
        <f>+L61/J61</f>
        <v>0.69374999999999998</v>
      </c>
    </row>
    <row r="62" spans="1:13" hidden="1" x14ac:dyDescent="0.25">
      <c r="D62" s="11"/>
      <c r="E62" s="11"/>
      <c r="F62" s="11"/>
      <c r="G62" s="11"/>
      <c r="H62" s="3"/>
      <c r="I62" s="11"/>
      <c r="J62" s="11"/>
      <c r="K62" s="3"/>
      <c r="L62" s="11"/>
    </row>
    <row r="63" spans="1:13" hidden="1" x14ac:dyDescent="0.25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5771463.9800000004</v>
      </c>
      <c r="H63" s="3"/>
      <c r="I63" s="11" cm="1">
        <f t="array" ref="I63:I64">+I60:I61+I51+I46+I37+I28+I12</f>
        <v>5760005</v>
      </c>
      <c r="J63" s="11" cm="1">
        <f t="array" ref="J63:J64">+J60:J61+J51+J46+J37+J28+J12</f>
        <v>6178500</v>
      </c>
      <c r="K63" s="3"/>
      <c r="L63" s="11" cm="1">
        <f t="array" ref="L63:L64">+L60:L61+L51+L46+L37+L28+L12</f>
        <v>5739500</v>
      </c>
      <c r="M63" s="38">
        <f>+L63/J63</f>
        <v>0.92894715545844464</v>
      </c>
    </row>
    <row r="64" spans="1:13" hidden="1" x14ac:dyDescent="0.25">
      <c r="A64" s="27"/>
      <c r="B64" s="27"/>
      <c r="C64" s="26">
        <v>4276151</v>
      </c>
      <c r="D64" s="4">
        <v>6019921.370000001</v>
      </c>
      <c r="E64" s="4">
        <v>4860796.18</v>
      </c>
      <c r="F64" s="4">
        <v>5851407.4800000004</v>
      </c>
      <c r="G64" s="4">
        <v>5811859.7700000005</v>
      </c>
      <c r="H64" s="3"/>
      <c r="I64" s="4">
        <v>5815505</v>
      </c>
      <c r="J64" s="4">
        <v>6258500</v>
      </c>
      <c r="K64" s="3"/>
      <c r="L64" s="37">
        <v>5795000</v>
      </c>
    </row>
    <row r="65" spans="1:13" hidden="1" x14ac:dyDescent="0.25">
      <c r="A65" s="27"/>
      <c r="B65" s="27"/>
      <c r="C65" s="26"/>
      <c r="D65" s="11"/>
      <c r="E65" s="11"/>
      <c r="F65" s="11"/>
      <c r="G65" s="11"/>
      <c r="H65" s="3"/>
      <c r="I65" s="11"/>
      <c r="J65" s="11"/>
      <c r="K65" s="3"/>
      <c r="L65" s="11"/>
    </row>
    <row r="66" spans="1:13" hidden="1" x14ac:dyDescent="0.25">
      <c r="A66" s="9" t="s">
        <v>88</v>
      </c>
      <c r="B66" s="10" t="s">
        <v>89</v>
      </c>
      <c r="D66" s="11"/>
      <c r="E66" s="11"/>
      <c r="F66" s="11"/>
      <c r="G66" s="11"/>
      <c r="H66" s="3"/>
      <c r="I66" s="11"/>
      <c r="J66" s="11"/>
      <c r="K66" s="3"/>
      <c r="L66" s="11"/>
    </row>
    <row r="67" spans="1:13" hidden="1" x14ac:dyDescent="0.25">
      <c r="A67" s="12" t="s">
        <v>9</v>
      </c>
      <c r="B67" s="13" t="s">
        <v>10</v>
      </c>
      <c r="D67" s="11"/>
      <c r="E67" s="11"/>
      <c r="F67" s="11"/>
      <c r="G67" s="11"/>
      <c r="H67" s="3"/>
      <c r="I67" s="11"/>
      <c r="J67" s="11"/>
      <c r="K67" s="3"/>
      <c r="L67" s="11"/>
    </row>
    <row r="68" spans="1:13" hidden="1" x14ac:dyDescent="0.25">
      <c r="A68" s="14" t="s">
        <v>90</v>
      </c>
      <c r="B68" s="15" t="s">
        <v>91</v>
      </c>
      <c r="C68" s="16">
        <v>26237</v>
      </c>
      <c r="D68" s="11">
        <v>34249.040000000001</v>
      </c>
      <c r="E68" s="11">
        <v>36787.03</v>
      </c>
      <c r="F68" s="11">
        <v>65317.5</v>
      </c>
      <c r="G68" s="11">
        <v>180826.08</v>
      </c>
      <c r="H68" s="3"/>
      <c r="I68" s="11">
        <v>60000</v>
      </c>
      <c r="J68" s="11">
        <v>200000</v>
      </c>
      <c r="K68" s="3"/>
      <c r="L68" s="11">
        <v>200000</v>
      </c>
      <c r="M68" s="38">
        <f t="shared" ref="M68:M84" si="1">+L68/J68</f>
        <v>1</v>
      </c>
    </row>
    <row r="69" spans="1:13" hidden="1" x14ac:dyDescent="0.25">
      <c r="A69" s="14" t="s">
        <v>92</v>
      </c>
      <c r="B69" s="15" t="s">
        <v>93</v>
      </c>
      <c r="C69" s="16">
        <v>15987</v>
      </c>
      <c r="D69" s="11">
        <v>20126.57</v>
      </c>
      <c r="E69" s="11">
        <v>7018.92</v>
      </c>
      <c r="F69" s="11">
        <v>6942.57</v>
      </c>
      <c r="G69" s="11">
        <v>6245.62</v>
      </c>
      <c r="H69" s="3"/>
      <c r="I69" s="11">
        <f>+I6*0.01</f>
        <v>5000</v>
      </c>
      <c r="J69" s="11">
        <v>7000</v>
      </c>
      <c r="K69" s="3"/>
      <c r="L69" s="11">
        <f>0.01*L6</f>
        <v>4500</v>
      </c>
      <c r="M69" s="38">
        <f t="shared" si="1"/>
        <v>0.6428571428571429</v>
      </c>
    </row>
    <row r="70" spans="1:13" hidden="1" x14ac:dyDescent="0.25">
      <c r="A70" s="14" t="s">
        <v>94</v>
      </c>
      <c r="B70" s="15" t="s">
        <v>95</v>
      </c>
      <c r="C70" s="16">
        <v>373</v>
      </c>
      <c r="D70" s="11">
        <v>4546.7</v>
      </c>
      <c r="E70" s="11">
        <v>1736.1</v>
      </c>
      <c r="F70" s="11">
        <v>3225.47</v>
      </c>
      <c r="G70" s="11">
        <v>2965.18</v>
      </c>
      <c r="H70" s="3"/>
      <c r="I70" s="11">
        <v>3000</v>
      </c>
      <c r="J70" s="11">
        <v>3000</v>
      </c>
      <c r="K70" s="3"/>
      <c r="L70" s="11">
        <v>3000</v>
      </c>
      <c r="M70" s="38">
        <f t="shared" si="1"/>
        <v>1</v>
      </c>
    </row>
    <row r="71" spans="1:13" hidden="1" x14ac:dyDescent="0.25">
      <c r="A71" s="14" t="s">
        <v>96</v>
      </c>
      <c r="B71" s="15" t="s">
        <v>97</v>
      </c>
      <c r="C71" s="16">
        <v>6202</v>
      </c>
      <c r="D71" s="11">
        <v>2604.8200000000002</v>
      </c>
      <c r="E71" s="11">
        <v>3101.25</v>
      </c>
      <c r="F71" s="11">
        <v>232</v>
      </c>
      <c r="G71" s="11">
        <v>239</v>
      </c>
      <c r="H71" s="3"/>
      <c r="I71" s="11">
        <v>5000</v>
      </c>
      <c r="J71" s="11">
        <v>500</v>
      </c>
      <c r="K71" s="3"/>
      <c r="L71" s="11">
        <v>5000</v>
      </c>
      <c r="M71" s="38">
        <f t="shared" si="1"/>
        <v>10</v>
      </c>
    </row>
    <row r="72" spans="1:13" hidden="1" x14ac:dyDescent="0.25">
      <c r="A72" s="14" t="s">
        <v>98</v>
      </c>
      <c r="B72" s="15" t="s">
        <v>62</v>
      </c>
      <c r="C72" s="16">
        <v>0</v>
      </c>
      <c r="D72" s="11">
        <v>5600</v>
      </c>
      <c r="E72" s="11">
        <v>5474.97</v>
      </c>
      <c r="F72" s="11">
        <v>11265</v>
      </c>
      <c r="G72" s="11">
        <v>11700</v>
      </c>
      <c r="H72" s="3"/>
      <c r="I72" s="11">
        <v>5000</v>
      </c>
      <c r="J72" s="11">
        <v>12000</v>
      </c>
      <c r="K72" s="3"/>
      <c r="L72" s="11">
        <v>5000</v>
      </c>
      <c r="M72" s="38">
        <f t="shared" si="1"/>
        <v>0.41666666666666669</v>
      </c>
    </row>
    <row r="73" spans="1:13" hidden="1" x14ac:dyDescent="0.25">
      <c r="A73" s="14" t="s">
        <v>99</v>
      </c>
      <c r="B73" s="15" t="s">
        <v>100</v>
      </c>
      <c r="C73" s="16">
        <v>3410</v>
      </c>
      <c r="D73" s="11">
        <v>1195</v>
      </c>
      <c r="E73" s="11">
        <v>8127.02</v>
      </c>
      <c r="F73" s="11">
        <v>6156</v>
      </c>
      <c r="G73" s="11">
        <v>8940</v>
      </c>
      <c r="H73" s="3"/>
      <c r="I73" s="11">
        <v>5000</v>
      </c>
      <c r="J73" s="11">
        <v>10000</v>
      </c>
      <c r="K73" s="3"/>
      <c r="L73" s="11">
        <v>5000</v>
      </c>
      <c r="M73" s="38">
        <f t="shared" si="1"/>
        <v>0.5</v>
      </c>
    </row>
    <row r="74" spans="1:13" hidden="1" x14ac:dyDescent="0.25">
      <c r="A74" s="14" t="s">
        <v>101</v>
      </c>
      <c r="B74" s="15" t="s">
        <v>102</v>
      </c>
      <c r="C74" s="16">
        <f>57845+2373</f>
        <v>60218</v>
      </c>
      <c r="D74" s="11">
        <v>56921.25</v>
      </c>
      <c r="E74" s="11">
        <v>37022.5</v>
      </c>
      <c r="F74" s="11">
        <v>81058.55</v>
      </c>
      <c r="G74" s="11">
        <v>70914.41</v>
      </c>
      <c r="H74" s="3"/>
      <c r="I74" s="11">
        <v>100000</v>
      </c>
      <c r="J74" s="11">
        <v>100000</v>
      </c>
      <c r="K74" s="3"/>
      <c r="L74" s="11">
        <v>100000</v>
      </c>
      <c r="M74" s="38">
        <f t="shared" si="1"/>
        <v>1</v>
      </c>
    </row>
    <row r="75" spans="1:13" hidden="1" x14ac:dyDescent="0.25">
      <c r="A75" s="14" t="s">
        <v>103</v>
      </c>
      <c r="B75" s="15" t="s">
        <v>104</v>
      </c>
      <c r="C75" s="16">
        <v>21000</v>
      </c>
      <c r="D75" s="11">
        <v>24500</v>
      </c>
      <c r="E75" s="11">
        <v>31990</v>
      </c>
      <c r="F75" s="11">
        <v>55595</v>
      </c>
      <c r="G75" s="11">
        <v>67393</v>
      </c>
      <c r="H75" s="3"/>
      <c r="I75" s="11">
        <v>60000</v>
      </c>
      <c r="J75" s="11">
        <v>68000</v>
      </c>
      <c r="K75" s="3"/>
      <c r="L75" s="11">
        <v>65000</v>
      </c>
      <c r="M75" s="38">
        <f t="shared" si="1"/>
        <v>0.95588235294117652</v>
      </c>
    </row>
    <row r="76" spans="1:13" hidden="1" x14ac:dyDescent="0.25">
      <c r="A76" s="14" t="s">
        <v>105</v>
      </c>
      <c r="B76" s="15" t="s">
        <v>106</v>
      </c>
      <c r="C76" s="16">
        <v>0</v>
      </c>
      <c r="D76" s="11">
        <v>0</v>
      </c>
      <c r="E76" s="11">
        <v>0</v>
      </c>
      <c r="F76" s="11">
        <v>0</v>
      </c>
      <c r="G76" s="11">
        <v>0</v>
      </c>
      <c r="H76" s="3"/>
      <c r="I76" s="11">
        <v>2000</v>
      </c>
      <c r="J76" s="11">
        <v>2000</v>
      </c>
      <c r="K76" s="3"/>
      <c r="L76" s="11">
        <v>0</v>
      </c>
      <c r="M76" s="38">
        <f t="shared" si="1"/>
        <v>0</v>
      </c>
    </row>
    <row r="77" spans="1:13" hidden="1" x14ac:dyDescent="0.25">
      <c r="A77" s="14" t="s">
        <v>107</v>
      </c>
      <c r="B77" s="15" t="s">
        <v>108</v>
      </c>
      <c r="C77" s="16">
        <v>970</v>
      </c>
      <c r="D77" s="11">
        <v>280</v>
      </c>
      <c r="E77" s="11">
        <v>14559.11</v>
      </c>
      <c r="F77" s="11">
        <v>8440.1</v>
      </c>
      <c r="G77" s="11">
        <v>3170</v>
      </c>
      <c r="H77" s="3"/>
      <c r="I77" s="11">
        <v>3000</v>
      </c>
      <c r="J77" s="11">
        <v>3000</v>
      </c>
      <c r="K77" s="3"/>
      <c r="L77" s="11">
        <v>3000</v>
      </c>
      <c r="M77" s="38">
        <f t="shared" si="1"/>
        <v>1</v>
      </c>
    </row>
    <row r="78" spans="1:13" hidden="1" x14ac:dyDescent="0.25">
      <c r="A78" s="14" t="s">
        <v>109</v>
      </c>
      <c r="B78" s="15" t="s">
        <v>110</v>
      </c>
      <c r="C78" s="16">
        <v>79966</v>
      </c>
      <c r="D78" s="11">
        <v>105164.45</v>
      </c>
      <c r="E78" s="11">
        <v>88000.18</v>
      </c>
      <c r="F78" s="11">
        <v>134525.44</v>
      </c>
      <c r="G78" s="11">
        <v>60944.78</v>
      </c>
      <c r="H78" s="3"/>
      <c r="I78" s="11">
        <v>85000</v>
      </c>
      <c r="J78" s="11">
        <v>85000</v>
      </c>
      <c r="K78" s="3"/>
      <c r="L78" s="11">
        <v>85000</v>
      </c>
      <c r="M78" s="38">
        <f t="shared" si="1"/>
        <v>1</v>
      </c>
    </row>
    <row r="79" spans="1:13" hidden="1" x14ac:dyDescent="0.25">
      <c r="A79" s="14">
        <v>6010950</v>
      </c>
      <c r="B79" s="15" t="s">
        <v>111</v>
      </c>
      <c r="C79" s="16">
        <v>0</v>
      </c>
      <c r="D79" s="11"/>
      <c r="E79" s="11"/>
      <c r="F79" s="11">
        <v>12656.25</v>
      </c>
      <c r="G79" s="11">
        <v>18002.84</v>
      </c>
      <c r="H79" s="3"/>
      <c r="I79" s="11">
        <v>50000</v>
      </c>
      <c r="J79" s="11">
        <v>25000</v>
      </c>
      <c r="K79" s="3"/>
      <c r="L79" s="11">
        <v>50000</v>
      </c>
      <c r="M79" s="38">
        <f t="shared" si="1"/>
        <v>2</v>
      </c>
    </row>
    <row r="80" spans="1:13" hidden="1" x14ac:dyDescent="0.25">
      <c r="A80" s="14" t="s">
        <v>112</v>
      </c>
      <c r="B80" s="15" t="s">
        <v>113</v>
      </c>
      <c r="C80" s="16">
        <v>8750</v>
      </c>
      <c r="D80" s="11">
        <v>10250</v>
      </c>
      <c r="E80" s="11">
        <v>10200</v>
      </c>
      <c r="F80" s="11">
        <v>10650</v>
      </c>
      <c r="G80" s="11">
        <v>6400</v>
      </c>
      <c r="H80" s="3"/>
      <c r="I80" s="11">
        <v>15000</v>
      </c>
      <c r="J80" s="11">
        <v>15000</v>
      </c>
      <c r="K80" s="3"/>
      <c r="L80" s="11">
        <v>20000</v>
      </c>
      <c r="M80" s="38">
        <f t="shared" si="1"/>
        <v>1.3333333333333333</v>
      </c>
    </row>
    <row r="81" spans="1:13" hidden="1" x14ac:dyDescent="0.25">
      <c r="A81" s="14" t="s">
        <v>114</v>
      </c>
      <c r="B81" s="15" t="s">
        <v>115</v>
      </c>
      <c r="C81" s="16">
        <v>0</v>
      </c>
      <c r="D81" s="11">
        <v>27958.95</v>
      </c>
      <c r="E81" s="11">
        <v>6961.88</v>
      </c>
      <c r="F81" s="11">
        <v>26351.88</v>
      </c>
      <c r="G81" s="11">
        <v>10292.4</v>
      </c>
      <c r="H81" s="3"/>
      <c r="I81" s="11">
        <v>9000</v>
      </c>
      <c r="J81" s="11">
        <v>13000</v>
      </c>
      <c r="K81" s="3"/>
      <c r="L81" s="11">
        <v>15000</v>
      </c>
      <c r="M81" s="38">
        <f t="shared" si="1"/>
        <v>1.1538461538461537</v>
      </c>
    </row>
    <row r="82" spans="1:13" hidden="1" x14ac:dyDescent="0.25">
      <c r="A82" s="14" t="s">
        <v>116</v>
      </c>
      <c r="B82" s="15" t="s">
        <v>117</v>
      </c>
      <c r="C82" s="16">
        <v>5788</v>
      </c>
      <c r="D82" s="11">
        <v>4300</v>
      </c>
      <c r="E82" s="11">
        <v>4869</v>
      </c>
      <c r="F82" s="11">
        <v>4340</v>
      </c>
      <c r="G82" s="11">
        <v>2125</v>
      </c>
      <c r="H82" s="3"/>
      <c r="I82" s="11">
        <v>6500</v>
      </c>
      <c r="J82" s="11">
        <v>6500</v>
      </c>
      <c r="K82" s="3"/>
      <c r="L82" s="11">
        <v>5000</v>
      </c>
      <c r="M82" s="38">
        <f t="shared" si="1"/>
        <v>0.76923076923076927</v>
      </c>
    </row>
    <row r="83" spans="1:13" hidden="1" x14ac:dyDescent="0.25">
      <c r="A83" s="14" t="s">
        <v>118</v>
      </c>
      <c r="B83" s="15" t="s">
        <v>119</v>
      </c>
      <c r="C83" s="16">
        <v>18709</v>
      </c>
      <c r="D83" s="11">
        <v>13876.48</v>
      </c>
      <c r="E83" s="11">
        <v>18187.78</v>
      </c>
      <c r="F83" s="11">
        <v>15407.18</v>
      </c>
      <c r="G83" s="11">
        <v>110.43</v>
      </c>
      <c r="H83" s="3"/>
      <c r="I83" s="11">
        <v>7500</v>
      </c>
      <c r="J83" s="11">
        <v>7500</v>
      </c>
      <c r="K83" s="3"/>
      <c r="L83" s="11">
        <v>7500</v>
      </c>
      <c r="M83" s="38">
        <f t="shared" si="1"/>
        <v>1</v>
      </c>
    </row>
    <row r="84" spans="1:13" hidden="1" x14ac:dyDescent="0.25">
      <c r="A84" s="14" t="s">
        <v>120</v>
      </c>
      <c r="B84" s="15" t="s">
        <v>121</v>
      </c>
      <c r="C84" s="16">
        <v>61378</v>
      </c>
      <c r="D84" s="11">
        <v>40060.879999999997</v>
      </c>
      <c r="E84" s="11">
        <v>1266.28</v>
      </c>
      <c r="F84" s="11">
        <v>36224.44</v>
      </c>
      <c r="G84" s="11">
        <v>14761.21</v>
      </c>
      <c r="H84" s="3"/>
      <c r="I84" s="11">
        <v>35000</v>
      </c>
      <c r="J84" s="11">
        <v>35000</v>
      </c>
      <c r="K84" s="3"/>
      <c r="L84" s="11">
        <v>20000</v>
      </c>
      <c r="M84" s="38">
        <f t="shared" si="1"/>
        <v>0.5714285714285714</v>
      </c>
    </row>
    <row r="85" spans="1:13" hidden="1" x14ac:dyDescent="0.25">
      <c r="A85" s="14"/>
      <c r="B85" s="15"/>
      <c r="C85" s="16"/>
      <c r="D85" s="11"/>
      <c r="E85" s="11"/>
      <c r="F85" s="11"/>
      <c r="G85" s="11"/>
      <c r="H85" s="3"/>
      <c r="I85" s="11"/>
      <c r="J85" s="11"/>
      <c r="K85" s="3"/>
      <c r="L85" s="11"/>
    </row>
    <row r="86" spans="1:13" hidden="1" x14ac:dyDescent="0.25">
      <c r="A86" s="29"/>
      <c r="B86" s="30" t="s">
        <v>122</v>
      </c>
      <c r="C86" s="16">
        <f>SUM(C68:C84)</f>
        <v>308988</v>
      </c>
      <c r="D86" s="11">
        <f>SUM(D68:D84)</f>
        <v>351634.14</v>
      </c>
      <c r="E86" s="11">
        <f>SUM(E68:E84)</f>
        <v>275302.02</v>
      </c>
      <c r="F86" s="11">
        <f>SUM(F68:F84)</f>
        <v>478387.38</v>
      </c>
      <c r="G86" s="11">
        <f>SUM(G68:G84)</f>
        <v>465029.95</v>
      </c>
      <c r="H86" s="3"/>
      <c r="I86" s="11">
        <f>SUM(I68:I84)</f>
        <v>456000</v>
      </c>
      <c r="J86" s="11">
        <f>SUM(J68:J84)</f>
        <v>592500</v>
      </c>
      <c r="K86" s="3"/>
      <c r="L86" s="11">
        <f>SUM(L68:L84)</f>
        <v>593000</v>
      </c>
      <c r="M86" s="38">
        <f>+L86/J86</f>
        <v>1.0008438818565402</v>
      </c>
    </row>
    <row r="87" spans="1:13" hidden="1" x14ac:dyDescent="0.25">
      <c r="A87" s="29"/>
      <c r="B87" s="30"/>
      <c r="C87" s="16"/>
      <c r="D87" s="11"/>
      <c r="E87" s="11"/>
      <c r="F87" s="11"/>
      <c r="G87" s="11"/>
      <c r="H87" s="3"/>
      <c r="I87" s="11"/>
      <c r="J87" s="11"/>
      <c r="K87" s="3"/>
      <c r="L87" s="11"/>
    </row>
    <row r="88" spans="1:13" hidden="1" x14ac:dyDescent="0.25">
      <c r="A88" s="14" t="s">
        <v>123</v>
      </c>
      <c r="B88" s="15" t="s">
        <v>124</v>
      </c>
      <c r="C88" s="16">
        <v>238952</v>
      </c>
      <c r="D88" s="11">
        <v>299344.71999999997</v>
      </c>
      <c r="E88" s="11">
        <v>296161.17</v>
      </c>
      <c r="F88" s="11">
        <v>348848.89</v>
      </c>
      <c r="G88" s="11">
        <v>211577.23</v>
      </c>
      <c r="H88" s="3"/>
      <c r="I88" s="11">
        <v>381989</v>
      </c>
      <c r="J88" s="11">
        <v>381989</v>
      </c>
      <c r="K88" s="3"/>
      <c r="L88" s="11">
        <f>+'[1]Non-Union - 3.5%'!$I$13+'[1]Non-Union - 3.5%'!$V$13</f>
        <v>400796.10425099998</v>
      </c>
      <c r="M88" s="38">
        <f t="shared" ref="M88:M108" si="2">+L88/J88</f>
        <v>1.0492346749539907</v>
      </c>
    </row>
    <row r="89" spans="1:13" hidden="1" x14ac:dyDescent="0.25">
      <c r="A89" s="14" t="s">
        <v>125</v>
      </c>
      <c r="B89" s="15" t="s">
        <v>126</v>
      </c>
      <c r="C89" s="16">
        <v>19656</v>
      </c>
      <c r="D89" s="11">
        <v>24665.38</v>
      </c>
      <c r="E89" s="11">
        <v>23771.06</v>
      </c>
      <c r="F89" s="11">
        <v>25648.01</v>
      </c>
      <c r="G89" s="11">
        <v>18946.3</v>
      </c>
      <c r="H89" s="3"/>
      <c r="I89" s="11">
        <v>30559</v>
      </c>
      <c r="J89" s="11">
        <v>30559</v>
      </c>
      <c r="K89" s="3"/>
      <c r="L89" s="11">
        <f>+'[1]Non-Union - 3.5%'!$P$13+'[1]Non-Union - 3.5%'!$Z$13</f>
        <v>32063.68834008</v>
      </c>
      <c r="M89" s="38">
        <f t="shared" si="2"/>
        <v>1.0492387951202591</v>
      </c>
    </row>
    <row r="90" spans="1:13" hidden="1" x14ac:dyDescent="0.25">
      <c r="A90" s="14" t="s">
        <v>127</v>
      </c>
      <c r="B90" s="15" t="s">
        <v>128</v>
      </c>
      <c r="C90" s="16">
        <v>45927</v>
      </c>
      <c r="D90" s="11">
        <v>58698.76</v>
      </c>
      <c r="E90" s="11">
        <v>67570.789999999994</v>
      </c>
      <c r="F90" s="11">
        <v>64434.796000000002</v>
      </c>
      <c r="G90" s="11">
        <v>51089.38</v>
      </c>
      <c r="H90" s="3"/>
      <c r="I90" s="11">
        <f>67402+3616+1226+136</f>
        <v>72380</v>
      </c>
      <c r="J90" s="11">
        <v>72380</v>
      </c>
      <c r="K90" s="3"/>
      <c r="L90" s="11">
        <f>+SUM('[1]Non-Union - 3.5%'!$K$13:$M$13)</f>
        <v>85547.279999999984</v>
      </c>
      <c r="M90" s="38">
        <f t="shared" si="2"/>
        <v>1.1819187620889746</v>
      </c>
    </row>
    <row r="91" spans="1:13" hidden="1" x14ac:dyDescent="0.25">
      <c r="A91" s="14" t="s">
        <v>129</v>
      </c>
      <c r="B91" s="15" t="s">
        <v>130</v>
      </c>
      <c r="C91" s="16">
        <v>4516</v>
      </c>
      <c r="D91" s="11">
        <v>3310.13</v>
      </c>
      <c r="E91" s="11">
        <v>783.71</v>
      </c>
      <c r="F91" s="11">
        <v>3864.75</v>
      </c>
      <c r="G91" s="11">
        <v>2659.38</v>
      </c>
      <c r="H91" s="3"/>
      <c r="I91" s="11">
        <v>4112</v>
      </c>
      <c r="J91" s="11">
        <v>4112</v>
      </c>
      <c r="K91" s="3"/>
      <c r="L91" s="11">
        <f>+'[1]Non-Union - 3.5%'!$O$13+'[1]Non-Union - 3.5%'!$X$13</f>
        <v>4321.0660252799998</v>
      </c>
      <c r="M91" s="38">
        <f t="shared" si="2"/>
        <v>1.0508429049805448</v>
      </c>
    </row>
    <row r="92" spans="1:13" hidden="1" x14ac:dyDescent="0.25">
      <c r="A92" s="14" t="s">
        <v>131</v>
      </c>
      <c r="B92" s="15" t="s">
        <v>132</v>
      </c>
      <c r="C92" s="16">
        <v>2521</v>
      </c>
      <c r="D92" s="11">
        <v>2307.63</v>
      </c>
      <c r="E92" s="11">
        <v>3053.15</v>
      </c>
      <c r="F92" s="11">
        <v>3349.54</v>
      </c>
      <c r="G92" s="11">
        <v>6215.25</v>
      </c>
      <c r="H92" s="3"/>
      <c r="I92" s="11">
        <v>496</v>
      </c>
      <c r="J92" s="11">
        <v>496</v>
      </c>
      <c r="K92" s="3"/>
      <c r="L92" s="11">
        <f>+'[1]Non-Union - 3.5%'!$Y$13+'[1]Non-Union - 3.5%'!$R$13</f>
        <v>522.03493552630005</v>
      </c>
      <c r="M92" s="38">
        <f t="shared" si="2"/>
        <v>1.0524897893675405</v>
      </c>
    </row>
    <row r="93" spans="1:13" hidden="1" x14ac:dyDescent="0.25">
      <c r="A93" s="14" t="s">
        <v>133</v>
      </c>
      <c r="B93" s="15" t="s">
        <v>134</v>
      </c>
      <c r="C93" s="16">
        <v>0</v>
      </c>
      <c r="D93" s="11">
        <v>11442.46</v>
      </c>
      <c r="E93" s="11">
        <v>4424.22</v>
      </c>
      <c r="F93" s="11">
        <v>3650.56</v>
      </c>
      <c r="G93" s="11">
        <v>3376.96</v>
      </c>
      <c r="H93" s="3"/>
      <c r="I93" s="11">
        <v>5000</v>
      </c>
      <c r="J93" s="11">
        <v>5000</v>
      </c>
      <c r="K93" s="3"/>
      <c r="L93" s="11">
        <v>5000</v>
      </c>
      <c r="M93" s="38">
        <f t="shared" si="2"/>
        <v>1</v>
      </c>
    </row>
    <row r="94" spans="1:13" hidden="1" x14ac:dyDescent="0.25">
      <c r="A94" s="14" t="s">
        <v>135</v>
      </c>
      <c r="B94" s="15" t="s">
        <v>136</v>
      </c>
      <c r="C94" s="16">
        <v>0</v>
      </c>
      <c r="D94" s="11">
        <v>1059.43</v>
      </c>
      <c r="E94" s="11">
        <v>550.42999999999995</v>
      </c>
      <c r="F94" s="11">
        <v>323.07</v>
      </c>
      <c r="G94" s="11">
        <v>293.18</v>
      </c>
      <c r="H94" s="3"/>
      <c r="I94" s="11">
        <v>450</v>
      </c>
      <c r="J94" s="11">
        <v>450</v>
      </c>
      <c r="K94" s="3"/>
      <c r="L94" s="11">
        <v>450</v>
      </c>
      <c r="M94" s="38">
        <f t="shared" si="2"/>
        <v>1</v>
      </c>
    </row>
    <row r="95" spans="1:13" hidden="1" x14ac:dyDescent="0.25">
      <c r="A95" s="14" t="s">
        <v>137</v>
      </c>
      <c r="B95" s="15" t="s">
        <v>138</v>
      </c>
      <c r="C95" s="16">
        <v>12</v>
      </c>
      <c r="D95" s="11">
        <v>19.940000000000001</v>
      </c>
      <c r="E95" s="11">
        <v>117.15</v>
      </c>
      <c r="F95" s="11">
        <v>650.58000000000004</v>
      </c>
      <c r="G95" s="11">
        <v>-239.21</v>
      </c>
      <c r="H95" s="3"/>
      <c r="I95" s="11">
        <v>15</v>
      </c>
      <c r="J95" s="11">
        <v>15</v>
      </c>
      <c r="K95" s="3"/>
      <c r="L95" s="11">
        <v>15</v>
      </c>
      <c r="M95" s="38">
        <f t="shared" si="2"/>
        <v>1</v>
      </c>
    </row>
    <row r="96" spans="1:13" hidden="1" x14ac:dyDescent="0.25">
      <c r="A96" s="14" t="s">
        <v>139</v>
      </c>
      <c r="B96" s="15" t="s">
        <v>140</v>
      </c>
      <c r="C96" s="16">
        <v>15361</v>
      </c>
      <c r="D96" s="11">
        <v>19630.669999999998</v>
      </c>
      <c r="E96" s="11">
        <v>17868.97</v>
      </c>
      <c r="F96" s="11">
        <v>22859.69</v>
      </c>
      <c r="G96" s="11">
        <v>21956.58</v>
      </c>
      <c r="H96" s="3"/>
      <c r="I96" s="11">
        <v>30000</v>
      </c>
      <c r="J96" s="11">
        <v>30000</v>
      </c>
      <c r="K96" s="3"/>
      <c r="L96" s="11">
        <v>30000</v>
      </c>
      <c r="M96" s="38">
        <f t="shared" si="2"/>
        <v>1</v>
      </c>
    </row>
    <row r="97" spans="1:13" hidden="1" x14ac:dyDescent="0.25">
      <c r="A97" s="14" t="s">
        <v>141</v>
      </c>
      <c r="B97" s="15" t="s">
        <v>142</v>
      </c>
      <c r="C97" s="16">
        <v>2450</v>
      </c>
      <c r="D97" s="11">
        <v>2907.5</v>
      </c>
      <c r="E97" s="11">
        <v>2185</v>
      </c>
      <c r="F97" s="11">
        <v>3020</v>
      </c>
      <c r="G97" s="11">
        <v>3274</v>
      </c>
      <c r="H97" s="3"/>
      <c r="I97" s="11">
        <v>2900</v>
      </c>
      <c r="J97" s="11">
        <v>6000</v>
      </c>
      <c r="K97" s="3"/>
      <c r="L97" s="11">
        <v>9500</v>
      </c>
      <c r="M97" s="38">
        <f t="shared" si="2"/>
        <v>1.5833333333333333</v>
      </c>
    </row>
    <row r="98" spans="1:13" hidden="1" x14ac:dyDescent="0.25">
      <c r="A98" s="14" t="s">
        <v>143</v>
      </c>
      <c r="B98" s="15" t="s">
        <v>144</v>
      </c>
      <c r="C98" s="16">
        <v>212</v>
      </c>
      <c r="D98" s="11">
        <v>427.5</v>
      </c>
      <c r="E98" s="11">
        <v>432</v>
      </c>
      <c r="F98" s="11">
        <v>438</v>
      </c>
      <c r="G98" s="11">
        <v>441</v>
      </c>
      <c r="H98" s="3"/>
      <c r="I98" s="11">
        <v>500</v>
      </c>
      <c r="J98" s="11">
        <v>500</v>
      </c>
      <c r="K98" s="3"/>
      <c r="L98" s="11">
        <v>500</v>
      </c>
      <c r="M98" s="38">
        <f t="shared" si="2"/>
        <v>1</v>
      </c>
    </row>
    <row r="99" spans="1:13" hidden="1" x14ac:dyDescent="0.25">
      <c r="A99" s="14" t="s">
        <v>145</v>
      </c>
      <c r="B99" s="15" t="s">
        <v>146</v>
      </c>
      <c r="C99" s="16">
        <v>4463</v>
      </c>
      <c r="D99" s="11">
        <v>1800.73</v>
      </c>
      <c r="E99" s="11">
        <v>547.07000000000005</v>
      </c>
      <c r="F99" s="11">
        <v>8821.2900000000009</v>
      </c>
      <c r="G99" s="11">
        <v>3991.24</v>
      </c>
      <c r="H99" s="3"/>
      <c r="I99" s="11">
        <v>2500</v>
      </c>
      <c r="J99" s="11">
        <v>2500</v>
      </c>
      <c r="K99" s="3"/>
      <c r="L99" s="11">
        <v>4000</v>
      </c>
      <c r="M99" s="38">
        <f t="shared" si="2"/>
        <v>1.6</v>
      </c>
    </row>
    <row r="100" spans="1:13" hidden="1" x14ac:dyDescent="0.25">
      <c r="A100" s="14" t="s">
        <v>147</v>
      </c>
      <c r="B100" s="15" t="s">
        <v>148</v>
      </c>
      <c r="C100" s="16">
        <v>800</v>
      </c>
      <c r="D100" s="11">
        <v>5400</v>
      </c>
      <c r="E100" s="11">
        <v>4649.26</v>
      </c>
      <c r="F100" s="11">
        <f>27.75+5712.29</f>
        <v>5740.04</v>
      </c>
      <c r="G100" s="11">
        <v>3693.08</v>
      </c>
      <c r="H100" s="3"/>
      <c r="I100" s="11">
        <v>7000</v>
      </c>
      <c r="J100" s="11">
        <v>7000</v>
      </c>
      <c r="K100" s="3"/>
      <c r="L100" s="11">
        <v>7000</v>
      </c>
      <c r="M100" s="38">
        <f t="shared" si="2"/>
        <v>1</v>
      </c>
    </row>
    <row r="101" spans="1:13" hidden="1" x14ac:dyDescent="0.25">
      <c r="A101" s="14" t="s">
        <v>149</v>
      </c>
      <c r="B101" s="15" t="s">
        <v>150</v>
      </c>
      <c r="C101" s="16">
        <v>6393</v>
      </c>
      <c r="D101" s="11">
        <v>13331.78</v>
      </c>
      <c r="E101" s="11">
        <v>6194.78</v>
      </c>
      <c r="F101" s="11">
        <v>10546.53</v>
      </c>
      <c r="G101" s="11">
        <v>8908.3700000000008</v>
      </c>
      <c r="H101" s="3"/>
      <c r="I101" s="11">
        <v>12000</v>
      </c>
      <c r="J101" s="11">
        <v>12000</v>
      </c>
      <c r="K101" s="3"/>
      <c r="L101" s="11">
        <v>10000</v>
      </c>
      <c r="M101" s="38">
        <f t="shared" si="2"/>
        <v>0.83333333333333337</v>
      </c>
    </row>
    <row r="102" spans="1:13" hidden="1" x14ac:dyDescent="0.25">
      <c r="A102" s="14" t="s">
        <v>151</v>
      </c>
      <c r="B102" s="15" t="s">
        <v>152</v>
      </c>
      <c r="C102" s="16">
        <v>123595</v>
      </c>
      <c r="D102" s="11">
        <v>77893.25</v>
      </c>
      <c r="E102" s="11">
        <v>111072.12</v>
      </c>
      <c r="F102" s="11">
        <v>67595.73</v>
      </c>
      <c r="G102" s="11">
        <v>35353.14</v>
      </c>
      <c r="H102" s="3"/>
      <c r="I102" s="11">
        <v>150000</v>
      </c>
      <c r="J102" s="11">
        <v>150000</v>
      </c>
      <c r="K102" s="3"/>
      <c r="L102" s="11">
        <v>55000</v>
      </c>
      <c r="M102" s="38">
        <f t="shared" si="2"/>
        <v>0.36666666666666664</v>
      </c>
    </row>
    <row r="103" spans="1:13" hidden="1" x14ac:dyDescent="0.25">
      <c r="A103" s="14" t="s">
        <v>153</v>
      </c>
      <c r="B103" s="15" t="s">
        <v>154</v>
      </c>
      <c r="C103" s="16">
        <v>69989</v>
      </c>
      <c r="D103" s="11">
        <v>67934.31</v>
      </c>
      <c r="E103" s="11">
        <v>54600.33</v>
      </c>
      <c r="F103" s="11">
        <v>64303.13</v>
      </c>
      <c r="G103" s="11">
        <v>45856.43</v>
      </c>
      <c r="H103" s="3"/>
      <c r="I103" s="11">
        <v>70000</v>
      </c>
      <c r="J103" s="11">
        <v>70000</v>
      </c>
      <c r="K103" s="3"/>
      <c r="L103" s="11">
        <v>70000</v>
      </c>
      <c r="M103" s="38">
        <f t="shared" si="2"/>
        <v>1</v>
      </c>
    </row>
    <row r="104" spans="1:13" hidden="1" x14ac:dyDescent="0.25">
      <c r="A104" s="14" t="s">
        <v>155</v>
      </c>
      <c r="B104" s="15" t="s">
        <v>156</v>
      </c>
      <c r="C104" s="16">
        <v>273</v>
      </c>
      <c r="D104" s="11">
        <v>1021.46</v>
      </c>
      <c r="E104" s="11">
        <v>1050</v>
      </c>
      <c r="F104" s="11">
        <v>847.7</v>
      </c>
      <c r="G104" s="11">
        <v>2742</v>
      </c>
      <c r="H104" s="3"/>
      <c r="I104" s="11">
        <v>2500</v>
      </c>
      <c r="J104" s="11">
        <v>2500</v>
      </c>
      <c r="K104" s="3"/>
      <c r="L104" s="11">
        <v>1500</v>
      </c>
      <c r="M104" s="38">
        <f t="shared" si="2"/>
        <v>0.6</v>
      </c>
    </row>
    <row r="105" spans="1:13" hidden="1" x14ac:dyDescent="0.25">
      <c r="A105" s="14" t="s">
        <v>157</v>
      </c>
      <c r="B105" s="15" t="s">
        <v>158</v>
      </c>
      <c r="C105" s="16">
        <v>1090</v>
      </c>
      <c r="D105" s="11">
        <v>4187.83</v>
      </c>
      <c r="E105" s="11">
        <v>10491.92</v>
      </c>
      <c r="F105" s="11">
        <v>6520.29</v>
      </c>
      <c r="G105" s="11">
        <v>3149.6</v>
      </c>
      <c r="H105" s="3"/>
      <c r="I105" s="11">
        <v>7500</v>
      </c>
      <c r="J105" s="11">
        <v>7500</v>
      </c>
      <c r="K105" s="3"/>
      <c r="L105" s="11">
        <v>7500</v>
      </c>
      <c r="M105" s="38">
        <f t="shared" si="2"/>
        <v>1</v>
      </c>
    </row>
    <row r="106" spans="1:13" hidden="1" x14ac:dyDescent="0.25">
      <c r="A106" s="14" t="s">
        <v>159</v>
      </c>
      <c r="B106" s="15" t="s">
        <v>160</v>
      </c>
      <c r="C106" s="16">
        <v>13862</v>
      </c>
      <c r="D106" s="11">
        <v>15086.37</v>
      </c>
      <c r="E106" s="11">
        <v>14827.27</v>
      </c>
      <c r="F106" s="11">
        <v>14232.8</v>
      </c>
      <c r="G106" s="11">
        <v>9257</v>
      </c>
      <c r="H106" s="3"/>
      <c r="I106" s="11">
        <v>10000</v>
      </c>
      <c r="J106" s="11">
        <v>10000</v>
      </c>
      <c r="K106" s="3"/>
      <c r="L106" s="11">
        <v>10000</v>
      </c>
      <c r="M106" s="38">
        <f t="shared" si="2"/>
        <v>1</v>
      </c>
    </row>
    <row r="107" spans="1:13" hidden="1" x14ac:dyDescent="0.25">
      <c r="A107" s="14" t="s">
        <v>161</v>
      </c>
      <c r="B107" s="15" t="s">
        <v>162</v>
      </c>
      <c r="C107" s="16">
        <v>6413</v>
      </c>
      <c r="D107" s="11">
        <v>4831.68</v>
      </c>
      <c r="E107" s="11">
        <v>987.24</v>
      </c>
      <c r="F107" s="11">
        <v>1546</v>
      </c>
      <c r="G107" s="11">
        <v>0</v>
      </c>
      <c r="H107" s="3"/>
      <c r="I107" s="11">
        <v>2000</v>
      </c>
      <c r="J107" s="11">
        <v>2000</v>
      </c>
      <c r="K107" s="3"/>
      <c r="L107" s="11">
        <v>0</v>
      </c>
      <c r="M107" s="38">
        <f t="shared" si="2"/>
        <v>0</v>
      </c>
    </row>
    <row r="108" spans="1:13" hidden="1" x14ac:dyDescent="0.25">
      <c r="A108" s="14" t="s">
        <v>163</v>
      </c>
      <c r="B108" s="15" t="s">
        <v>80</v>
      </c>
      <c r="C108" s="16">
        <v>2119</v>
      </c>
      <c r="D108" s="11">
        <v>5919.82</v>
      </c>
      <c r="E108" s="11">
        <v>4906.71</v>
      </c>
      <c r="F108" s="11">
        <v>3419.16</v>
      </c>
      <c r="G108" s="11">
        <v>1490.69</v>
      </c>
      <c r="H108" s="3"/>
      <c r="I108" s="11">
        <v>5000</v>
      </c>
      <c r="J108" s="11">
        <v>5000</v>
      </c>
      <c r="K108" s="3"/>
      <c r="L108" s="11">
        <v>5000</v>
      </c>
      <c r="M108" s="38">
        <f t="shared" si="2"/>
        <v>1</v>
      </c>
    </row>
    <row r="109" spans="1:13" hidden="1" x14ac:dyDescent="0.25">
      <c r="A109" s="14">
        <v>6021800</v>
      </c>
      <c r="B109" s="15" t="s">
        <v>164</v>
      </c>
      <c r="C109" s="16"/>
      <c r="D109" s="11"/>
      <c r="E109" s="11"/>
      <c r="F109" s="11">
        <v>187.03</v>
      </c>
      <c r="G109" s="11"/>
      <c r="H109" s="3"/>
      <c r="I109" s="11"/>
      <c r="J109" s="11"/>
      <c r="K109" s="3"/>
      <c r="L109" s="11"/>
    </row>
    <row r="110" spans="1:13" hidden="1" x14ac:dyDescent="0.25">
      <c r="A110" s="14"/>
      <c r="B110" s="15"/>
      <c r="C110" s="16"/>
      <c r="D110" s="11"/>
      <c r="E110" s="11"/>
      <c r="F110" s="11"/>
      <c r="G110" s="11"/>
      <c r="H110" s="3"/>
      <c r="I110" s="11"/>
      <c r="J110" s="11"/>
      <c r="K110" s="3"/>
      <c r="L110" s="11"/>
    </row>
    <row r="111" spans="1:13" hidden="1" x14ac:dyDescent="0.25">
      <c r="A111" s="29"/>
      <c r="B111" s="30" t="s">
        <v>165</v>
      </c>
      <c r="C111" s="16">
        <f>SUM(C88:C109)</f>
        <v>558604</v>
      </c>
      <c r="D111" s="11">
        <f>SUM(D88:D109)</f>
        <v>621221.34999999986</v>
      </c>
      <c r="E111" s="11">
        <f>SUM(E88:E109)</f>
        <v>626244.35000000009</v>
      </c>
      <c r="F111" s="11">
        <f>SUM(F88:F109)</f>
        <v>660847.58600000013</v>
      </c>
      <c r="G111" s="11">
        <f>SUM(G88:G109)</f>
        <v>434031.6</v>
      </c>
      <c r="H111" s="3"/>
      <c r="I111" s="11">
        <f>SUM(I88:I109)</f>
        <v>796901</v>
      </c>
      <c r="J111" s="11">
        <f>SUM(J88:J109)</f>
        <v>800001</v>
      </c>
      <c r="K111" s="3"/>
      <c r="L111" s="11">
        <f>SUM(L88:L109)</f>
        <v>738715.17355188623</v>
      </c>
      <c r="M111" s="38">
        <f>+L111/J111</f>
        <v>0.92339281269884188</v>
      </c>
    </row>
    <row r="112" spans="1:13" hidden="1" x14ac:dyDescent="0.25">
      <c r="A112" s="29"/>
      <c r="B112" s="30"/>
      <c r="C112" s="16"/>
      <c r="D112" s="11"/>
      <c r="E112" s="11"/>
      <c r="F112" s="11"/>
      <c r="G112" s="11"/>
      <c r="H112" s="3"/>
      <c r="I112" s="11"/>
      <c r="J112" s="11"/>
      <c r="K112" s="3"/>
      <c r="L112" s="11"/>
    </row>
    <row r="113" spans="1:13" hidden="1" x14ac:dyDescent="0.25">
      <c r="A113" s="14" t="s">
        <v>166</v>
      </c>
      <c r="B113" s="15" t="s">
        <v>124</v>
      </c>
      <c r="C113" s="16">
        <v>76083</v>
      </c>
      <c r="D113" s="11">
        <v>79040.23</v>
      </c>
      <c r="E113" s="11">
        <v>43912.42</v>
      </c>
      <c r="F113" s="11">
        <v>78104.09</v>
      </c>
      <c r="G113" s="11">
        <v>52944.25</v>
      </c>
      <c r="H113" s="3"/>
      <c r="I113" s="11">
        <v>73917</v>
      </c>
      <c r="J113" s="11">
        <v>73917</v>
      </c>
      <c r="K113" s="3"/>
      <c r="L113" s="11">
        <f>+'[1]Non-Union - 3.5%'!$I$37+'[1]Non-Union - 3.5%'!$V$37</f>
        <v>76501.61099999999</v>
      </c>
      <c r="M113" s="38">
        <f>+L113/J113</f>
        <v>1.034966394740046</v>
      </c>
    </row>
    <row r="114" spans="1:13" hidden="1" x14ac:dyDescent="0.25">
      <c r="A114" s="14" t="s">
        <v>167</v>
      </c>
      <c r="B114" s="15" t="s">
        <v>126</v>
      </c>
      <c r="C114" s="16">
        <v>6414</v>
      </c>
      <c r="D114" s="11">
        <v>6815.97</v>
      </c>
      <c r="E114" s="11">
        <v>3560.42</v>
      </c>
      <c r="F114" s="11">
        <v>6311.4</v>
      </c>
      <c r="G114" s="11">
        <v>4111.22</v>
      </c>
      <c r="H114" s="3"/>
      <c r="I114" s="11">
        <f>539+5374</f>
        <v>5913</v>
      </c>
      <c r="J114" s="11">
        <v>5913</v>
      </c>
      <c r="K114" s="3"/>
      <c r="L114" s="11">
        <f>+'[1]Non-Union - 3.5%'!$P$37+'[1]Non-Union - 3.5%'!$Z$37</f>
        <v>6120.1288800000002</v>
      </c>
      <c r="M114" s="38">
        <f>+L114/J114</f>
        <v>1.0350294063926941</v>
      </c>
    </row>
    <row r="115" spans="1:13" hidden="1" x14ac:dyDescent="0.25">
      <c r="A115" s="14" t="s">
        <v>168</v>
      </c>
      <c r="B115" s="15" t="s">
        <v>128</v>
      </c>
      <c r="C115" s="16">
        <v>33023</v>
      </c>
      <c r="D115" s="11">
        <v>43423.3</v>
      </c>
      <c r="E115" s="11">
        <v>24854.54</v>
      </c>
      <c r="F115" s="11">
        <v>32649.040000000001</v>
      </c>
      <c r="G115" s="11">
        <v>25625</v>
      </c>
      <c r="H115" s="3"/>
      <c r="I115" s="11">
        <v>36757</v>
      </c>
      <c r="J115" s="11">
        <v>36756</v>
      </c>
      <c r="K115" s="3"/>
      <c r="L115" s="11">
        <f>+SUM('[1]Non-Union - 3.5%'!$K$37:$N$37)</f>
        <v>43510.62</v>
      </c>
      <c r="M115" s="38">
        <f>+L115/J115</f>
        <v>1.1837691805419523</v>
      </c>
    </row>
    <row r="116" spans="1:13" hidden="1" x14ac:dyDescent="0.25">
      <c r="A116" s="14" t="s">
        <v>169</v>
      </c>
      <c r="B116" s="15" t="s">
        <v>130</v>
      </c>
      <c r="C116" s="16">
        <v>1206</v>
      </c>
      <c r="D116" s="11">
        <v>1242.4000000000001</v>
      </c>
      <c r="E116" s="11">
        <v>0</v>
      </c>
      <c r="F116" s="11">
        <v>0</v>
      </c>
      <c r="G116" s="11">
        <v>0</v>
      </c>
      <c r="H116" s="3"/>
      <c r="I116" s="11"/>
      <c r="J116" s="11"/>
      <c r="K116" s="3"/>
      <c r="L116" s="11"/>
    </row>
    <row r="117" spans="1:13" hidden="1" x14ac:dyDescent="0.25">
      <c r="A117" s="14" t="s">
        <v>170</v>
      </c>
      <c r="B117" s="15" t="s">
        <v>171</v>
      </c>
      <c r="C117" s="16">
        <v>1435</v>
      </c>
      <c r="D117" s="11">
        <v>-158.06</v>
      </c>
      <c r="E117" s="11">
        <v>0</v>
      </c>
      <c r="F117" s="11">
        <v>0</v>
      </c>
      <c r="G117" s="11">
        <v>284.5</v>
      </c>
      <c r="H117" s="3"/>
      <c r="I117" s="11">
        <v>500</v>
      </c>
      <c r="J117" s="11">
        <v>500</v>
      </c>
      <c r="K117" s="3"/>
      <c r="L117" s="11">
        <v>500</v>
      </c>
      <c r="M117" s="38">
        <f t="shared" ref="M117:M124" si="3">+L117/J117</f>
        <v>1</v>
      </c>
    </row>
    <row r="118" spans="1:13" hidden="1" x14ac:dyDescent="0.25">
      <c r="A118" s="14" t="s">
        <v>172</v>
      </c>
      <c r="B118" s="15" t="s">
        <v>132</v>
      </c>
      <c r="C118" s="16">
        <v>391</v>
      </c>
      <c r="D118" s="11">
        <v>321.33999999999997</v>
      </c>
      <c r="E118" s="11">
        <v>1026.3</v>
      </c>
      <c r="F118" s="11">
        <v>1301.3599999999999</v>
      </c>
      <c r="G118" s="11">
        <v>929.28</v>
      </c>
      <c r="H118" s="3"/>
      <c r="I118" s="11">
        <v>325</v>
      </c>
      <c r="J118" s="11">
        <v>326</v>
      </c>
      <c r="K118" s="3"/>
      <c r="L118" s="11">
        <f>+'[1]Non-Union - 3.5%'!$R$37+'[1]Non-Union - 3.5%'!$Y$37</f>
        <v>337.60708839999995</v>
      </c>
      <c r="M118" s="38">
        <f t="shared" si="3"/>
        <v>1.0356045656441717</v>
      </c>
    </row>
    <row r="119" spans="1:13" hidden="1" x14ac:dyDescent="0.25">
      <c r="A119" s="14" t="s">
        <v>173</v>
      </c>
      <c r="B119" s="15" t="s">
        <v>134</v>
      </c>
      <c r="C119" s="16">
        <v>16553</v>
      </c>
      <c r="D119" s="11">
        <v>57169.25</v>
      </c>
      <c r="E119" s="11">
        <v>81223.45</v>
      </c>
      <c r="F119" s="11">
        <v>80574.27</v>
      </c>
      <c r="G119" s="11">
        <v>91053.41</v>
      </c>
      <c r="H119" s="3"/>
      <c r="I119" s="11">
        <v>83250</v>
      </c>
      <c r="J119" s="11">
        <v>83250</v>
      </c>
      <c r="K119" s="3"/>
      <c r="L119" s="11">
        <v>94825</v>
      </c>
      <c r="M119" s="38">
        <f t="shared" si="3"/>
        <v>1.139039039039039</v>
      </c>
    </row>
    <row r="120" spans="1:13" hidden="1" x14ac:dyDescent="0.25">
      <c r="A120" s="14" t="s">
        <v>174</v>
      </c>
      <c r="B120" s="15" t="s">
        <v>136</v>
      </c>
      <c r="C120" s="16">
        <v>2648</v>
      </c>
      <c r="D120" s="11">
        <v>4799.67</v>
      </c>
      <c r="E120" s="11">
        <f>4917.14+80.26</f>
        <v>4997.4000000000005</v>
      </c>
      <c r="F120" s="11">
        <v>5512.81</v>
      </c>
      <c r="G120" s="11">
        <v>6809.54</v>
      </c>
      <c r="H120" s="3"/>
      <c r="I120" s="11">
        <v>8325</v>
      </c>
      <c r="J120" s="11">
        <v>8325</v>
      </c>
      <c r="K120" s="3"/>
      <c r="L120" s="11">
        <v>9427.25</v>
      </c>
      <c r="M120" s="38">
        <f t="shared" si="3"/>
        <v>1.1324024024024024</v>
      </c>
    </row>
    <row r="121" spans="1:13" hidden="1" x14ac:dyDescent="0.25">
      <c r="A121" s="14" t="s">
        <v>175</v>
      </c>
      <c r="B121" s="15" t="s">
        <v>176</v>
      </c>
      <c r="C121" s="16">
        <v>0</v>
      </c>
      <c r="D121" s="11">
        <v>1173.17</v>
      </c>
      <c r="E121" s="11">
        <v>1248.1099999999999</v>
      </c>
      <c r="F121" s="11">
        <v>2017.2</v>
      </c>
      <c r="G121" s="11">
        <v>2958.49</v>
      </c>
      <c r="H121" s="3"/>
      <c r="I121" s="11">
        <v>3000</v>
      </c>
      <c r="J121" s="11">
        <v>3000</v>
      </c>
      <c r="K121" s="3"/>
      <c r="L121" s="11">
        <v>3000</v>
      </c>
      <c r="M121" s="38">
        <f t="shared" si="3"/>
        <v>1</v>
      </c>
    </row>
    <row r="122" spans="1:13" hidden="1" x14ac:dyDescent="0.25">
      <c r="A122" s="14" t="s">
        <v>177</v>
      </c>
      <c r="B122" s="15" t="s">
        <v>138</v>
      </c>
      <c r="C122" s="16">
        <v>401</v>
      </c>
      <c r="D122" s="11">
        <v>362.49</v>
      </c>
      <c r="E122" s="11">
        <v>717.5</v>
      </c>
      <c r="F122" s="11">
        <v>8095.98</v>
      </c>
      <c r="G122" s="11">
        <v>-2329.25</v>
      </c>
      <c r="H122" s="3"/>
      <c r="I122" s="11">
        <v>366.3</v>
      </c>
      <c r="J122" s="11">
        <v>366.3</v>
      </c>
      <c r="K122" s="3"/>
      <c r="L122" s="11">
        <f>392.92+24.31</f>
        <v>417.23</v>
      </c>
      <c r="M122" s="38">
        <f t="shared" si="3"/>
        <v>1.139039039039039</v>
      </c>
    </row>
    <row r="123" spans="1:13" hidden="1" x14ac:dyDescent="0.25">
      <c r="A123" s="14" t="s">
        <v>178</v>
      </c>
      <c r="B123" s="15" t="s">
        <v>140</v>
      </c>
      <c r="C123" s="16">
        <v>10858</v>
      </c>
      <c r="D123" s="11">
        <v>10186.4</v>
      </c>
      <c r="E123" s="11">
        <v>7670.93</v>
      </c>
      <c r="F123" s="11">
        <v>10989.56</v>
      </c>
      <c r="G123" s="11">
        <v>6400.26</v>
      </c>
      <c r="H123" s="3"/>
      <c r="I123" s="11">
        <v>11130</v>
      </c>
      <c r="J123" s="11">
        <v>11130</v>
      </c>
      <c r="K123" s="3"/>
      <c r="L123" s="11">
        <v>10000</v>
      </c>
      <c r="M123" s="38">
        <f t="shared" si="3"/>
        <v>0.89847259658580414</v>
      </c>
    </row>
    <row r="124" spans="1:13" hidden="1" x14ac:dyDescent="0.25">
      <c r="A124" s="14" t="s">
        <v>179</v>
      </c>
      <c r="B124" s="15" t="s">
        <v>142</v>
      </c>
      <c r="C124" s="16">
        <v>0</v>
      </c>
      <c r="D124" s="11">
        <v>780</v>
      </c>
      <c r="E124" s="11">
        <v>2040</v>
      </c>
      <c r="F124" s="11">
        <v>2880</v>
      </c>
      <c r="G124" s="11">
        <v>1808</v>
      </c>
      <c r="H124" s="3"/>
      <c r="I124" s="11">
        <v>2880</v>
      </c>
      <c r="J124" s="11">
        <v>2880</v>
      </c>
      <c r="K124" s="3"/>
      <c r="L124" s="11">
        <v>3400</v>
      </c>
      <c r="M124" s="38">
        <f t="shared" si="3"/>
        <v>1.1805555555555556</v>
      </c>
    </row>
    <row r="125" spans="1:13" hidden="1" x14ac:dyDescent="0.25">
      <c r="A125" s="14" t="s">
        <v>180</v>
      </c>
      <c r="B125" s="15" t="s">
        <v>146</v>
      </c>
      <c r="C125" s="16">
        <v>9812</v>
      </c>
      <c r="D125" s="11">
        <v>7179.74</v>
      </c>
      <c r="E125" s="11">
        <v>2565.46</v>
      </c>
      <c r="F125" s="11">
        <v>471.52</v>
      </c>
      <c r="G125" s="11">
        <v>2092.15</v>
      </c>
      <c r="H125" s="3"/>
      <c r="I125" s="11"/>
      <c r="J125" s="11">
        <v>0</v>
      </c>
      <c r="K125" s="3"/>
      <c r="L125" s="11"/>
    </row>
    <row r="126" spans="1:13" hidden="1" x14ac:dyDescent="0.25">
      <c r="A126" s="14" t="s">
        <v>181</v>
      </c>
      <c r="B126" s="15" t="s">
        <v>182</v>
      </c>
      <c r="C126" s="16">
        <v>0</v>
      </c>
      <c r="D126" s="11">
        <v>678.62</v>
      </c>
      <c r="E126" s="11">
        <v>13.48</v>
      </c>
      <c r="F126" s="11">
        <v>151.41</v>
      </c>
      <c r="G126" s="11">
        <v>46.12</v>
      </c>
      <c r="H126" s="3"/>
      <c r="I126" s="11">
        <v>200</v>
      </c>
      <c r="J126" s="11">
        <v>200</v>
      </c>
      <c r="K126" s="3"/>
      <c r="L126" s="11">
        <v>100</v>
      </c>
      <c r="M126" s="38">
        <f>+L126/J126</f>
        <v>0.5</v>
      </c>
    </row>
    <row r="127" spans="1:13" hidden="1" x14ac:dyDescent="0.25">
      <c r="A127" s="14" t="s">
        <v>183</v>
      </c>
      <c r="B127" s="15" t="s">
        <v>184</v>
      </c>
      <c r="C127" s="16">
        <v>170</v>
      </c>
      <c r="D127" s="11">
        <v>248.95</v>
      </c>
      <c r="E127" s="11">
        <v>1737.2</v>
      </c>
      <c r="F127" s="11">
        <v>0</v>
      </c>
      <c r="G127" s="11">
        <v>384.3</v>
      </c>
      <c r="H127" s="3"/>
      <c r="I127" s="11">
        <v>2500</v>
      </c>
      <c r="J127" s="11">
        <v>2500</v>
      </c>
      <c r="K127" s="3"/>
      <c r="L127" s="11">
        <v>1000</v>
      </c>
      <c r="M127" s="38">
        <f>+L127/J127</f>
        <v>0.4</v>
      </c>
    </row>
    <row r="128" spans="1:13" hidden="1" x14ac:dyDescent="0.25">
      <c r="A128" s="14" t="s">
        <v>185</v>
      </c>
      <c r="B128" s="15" t="s">
        <v>152</v>
      </c>
      <c r="C128" s="16">
        <v>274</v>
      </c>
      <c r="D128" s="11">
        <v>278.35000000000002</v>
      </c>
      <c r="E128" s="11">
        <v>188.23</v>
      </c>
      <c r="F128" s="11">
        <v>295.79000000000002</v>
      </c>
      <c r="G128" s="11">
        <v>365.12</v>
      </c>
      <c r="H128" s="3"/>
      <c r="I128" s="11">
        <v>500</v>
      </c>
      <c r="J128" s="11">
        <v>500</v>
      </c>
      <c r="K128" s="3"/>
      <c r="L128" s="11">
        <v>500</v>
      </c>
      <c r="M128" s="38">
        <f>+L128/J128</f>
        <v>1</v>
      </c>
    </row>
    <row r="129" spans="1:13" hidden="1" x14ac:dyDescent="0.25">
      <c r="A129" s="14" t="s">
        <v>186</v>
      </c>
      <c r="B129" s="15" t="s">
        <v>156</v>
      </c>
      <c r="C129" s="16">
        <v>0</v>
      </c>
      <c r="D129" s="11">
        <v>849.2</v>
      </c>
      <c r="E129" s="11"/>
      <c r="F129" s="11">
        <v>0</v>
      </c>
      <c r="G129" s="11">
        <v>0</v>
      </c>
      <c r="H129" s="3"/>
      <c r="I129" s="11"/>
      <c r="J129" s="11"/>
      <c r="K129" s="3"/>
      <c r="L129" s="11"/>
    </row>
    <row r="130" spans="1:13" hidden="1" x14ac:dyDescent="0.25">
      <c r="A130" s="14" t="s">
        <v>187</v>
      </c>
      <c r="B130" s="15" t="s">
        <v>158</v>
      </c>
      <c r="C130" s="16">
        <v>156</v>
      </c>
      <c r="D130" s="11">
        <v>0</v>
      </c>
      <c r="E130" s="11">
        <v>0</v>
      </c>
      <c r="F130" s="11">
        <v>0</v>
      </c>
      <c r="G130" s="11">
        <v>0</v>
      </c>
      <c r="H130" s="3"/>
      <c r="I130" s="11">
        <v>1000</v>
      </c>
      <c r="J130" s="11">
        <v>1000</v>
      </c>
      <c r="K130" s="3"/>
      <c r="L130" s="11">
        <v>1000</v>
      </c>
      <c r="M130" s="38">
        <f>+L130/J130</f>
        <v>1</v>
      </c>
    </row>
    <row r="131" spans="1:13" hidden="1" x14ac:dyDescent="0.25">
      <c r="A131" s="14" t="s">
        <v>188</v>
      </c>
      <c r="B131" s="15" t="s">
        <v>160</v>
      </c>
      <c r="C131" s="16">
        <v>3361</v>
      </c>
      <c r="D131" s="11">
        <v>5796.52</v>
      </c>
      <c r="E131" s="11">
        <v>2531.19</v>
      </c>
      <c r="F131" s="11">
        <v>4850.5600000000004</v>
      </c>
      <c r="G131" s="11">
        <v>1651.74</v>
      </c>
      <c r="H131" s="3"/>
      <c r="I131" s="11">
        <v>7000</v>
      </c>
      <c r="J131" s="11">
        <v>7000</v>
      </c>
      <c r="K131" s="3"/>
      <c r="L131" s="11">
        <v>2500</v>
      </c>
      <c r="M131" s="38">
        <f>+L131/J131</f>
        <v>0.35714285714285715</v>
      </c>
    </row>
    <row r="132" spans="1:13" hidden="1" x14ac:dyDescent="0.25">
      <c r="A132" s="14" t="s">
        <v>189</v>
      </c>
      <c r="B132" s="15" t="s">
        <v>80</v>
      </c>
      <c r="C132" s="16">
        <v>2862</v>
      </c>
      <c r="D132" s="11">
        <v>2240.1999999999998</v>
      </c>
      <c r="E132" s="11">
        <v>331.83</v>
      </c>
      <c r="F132" s="11">
        <v>65.14</v>
      </c>
      <c r="G132" s="11">
        <v>447.89</v>
      </c>
      <c r="H132" s="3"/>
      <c r="I132" s="11">
        <v>1500</v>
      </c>
      <c r="J132" s="11">
        <v>1500</v>
      </c>
      <c r="K132" s="3"/>
      <c r="L132" s="11">
        <v>1000</v>
      </c>
      <c r="M132" s="38">
        <f>+L132/J132</f>
        <v>0.66666666666666663</v>
      </c>
    </row>
    <row r="133" spans="1:13" hidden="1" x14ac:dyDescent="0.25">
      <c r="A133" s="14" t="s">
        <v>190</v>
      </c>
      <c r="B133" s="15" t="s">
        <v>164</v>
      </c>
      <c r="C133" s="16">
        <v>1185</v>
      </c>
      <c r="D133" s="11">
        <v>1175.76</v>
      </c>
      <c r="E133" s="11">
        <v>220</v>
      </c>
      <c r="F133" s="11">
        <v>883.97</v>
      </c>
      <c r="G133" s="11">
        <v>703</v>
      </c>
      <c r="H133" s="3"/>
      <c r="I133" s="11">
        <v>1500</v>
      </c>
      <c r="J133" s="11">
        <v>1500</v>
      </c>
      <c r="K133" s="3"/>
      <c r="L133" s="11">
        <v>1500</v>
      </c>
      <c r="M133" s="38">
        <f>+L133/J133</f>
        <v>1</v>
      </c>
    </row>
    <row r="134" spans="1:13" hidden="1" x14ac:dyDescent="0.25">
      <c r="A134" s="14">
        <v>6052000</v>
      </c>
      <c r="B134" s="15" t="s">
        <v>191</v>
      </c>
      <c r="C134" s="16"/>
      <c r="D134" s="11"/>
      <c r="E134" s="11"/>
      <c r="F134" s="11">
        <v>0</v>
      </c>
      <c r="G134" s="11">
        <v>0</v>
      </c>
      <c r="H134" s="3"/>
      <c r="I134" s="11"/>
      <c r="J134" s="11"/>
      <c r="K134" s="3"/>
      <c r="L134" s="11"/>
    </row>
    <row r="135" spans="1:13" hidden="1" x14ac:dyDescent="0.25">
      <c r="A135" s="14"/>
      <c r="B135" s="15"/>
      <c r="C135" s="16"/>
      <c r="D135" s="11"/>
      <c r="E135" s="11"/>
      <c r="F135" s="11"/>
      <c r="G135" s="11"/>
      <c r="H135" s="3"/>
      <c r="I135" s="11"/>
      <c r="J135" s="11"/>
      <c r="K135" s="3"/>
      <c r="L135" s="11"/>
    </row>
    <row r="136" spans="1:13" hidden="1" x14ac:dyDescent="0.25">
      <c r="A136" s="29"/>
      <c r="B136" s="30" t="s">
        <v>192</v>
      </c>
      <c r="C136" s="16">
        <f>SUM(C113:C134)</f>
        <v>166832</v>
      </c>
      <c r="D136" s="11">
        <f>SUM(D113:D134)</f>
        <v>223603.50000000003</v>
      </c>
      <c r="E136" s="11">
        <f>SUM(E113:E134)</f>
        <v>178838.46</v>
      </c>
      <c r="F136" s="11">
        <f>SUM(F113:F134)</f>
        <v>235154.10000000003</v>
      </c>
      <c r="G136" s="11">
        <f>SUM(G113:G134)</f>
        <v>196285.02</v>
      </c>
      <c r="H136" s="3"/>
      <c r="I136" s="11">
        <f>SUM(I113:I134)</f>
        <v>240563.3</v>
      </c>
      <c r="J136" s="11">
        <f>SUM(J113:J134)</f>
        <v>240563.3</v>
      </c>
      <c r="K136" s="3"/>
      <c r="L136" s="11">
        <f>SUM(L113:L134)</f>
        <v>255639.44696840001</v>
      </c>
      <c r="M136" s="38">
        <f>+L136/J136</f>
        <v>1.0626701868838682</v>
      </c>
    </row>
    <row r="137" spans="1:13" hidden="1" x14ac:dyDescent="0.25">
      <c r="A137" s="29"/>
      <c r="B137" s="30"/>
      <c r="C137" s="16"/>
      <c r="D137" s="11"/>
      <c r="E137" s="11"/>
      <c r="F137" s="11"/>
      <c r="G137" s="11"/>
      <c r="H137" s="3"/>
      <c r="I137" s="11"/>
      <c r="J137" s="11"/>
      <c r="K137" s="3"/>
      <c r="L137" s="11"/>
    </row>
    <row r="138" spans="1:13" hidden="1" x14ac:dyDescent="0.25">
      <c r="A138" s="14" t="s">
        <v>193</v>
      </c>
      <c r="B138" s="15" t="s">
        <v>124</v>
      </c>
      <c r="C138" s="16">
        <v>51980</v>
      </c>
      <c r="D138" s="11">
        <v>54667.360000000001</v>
      </c>
      <c r="E138" s="11">
        <v>55705.91</v>
      </c>
      <c r="F138" s="11">
        <v>77351.539999999994</v>
      </c>
      <c r="G138" s="11">
        <v>67077.399999999994</v>
      </c>
      <c r="H138" s="3"/>
      <c r="I138" s="11">
        <v>110589</v>
      </c>
      <c r="J138" s="11">
        <v>110589</v>
      </c>
      <c r="K138" s="3"/>
      <c r="L138" s="11">
        <f>+'[1]Non-Union - 3.5%'!$I$43</f>
        <v>113560.2</v>
      </c>
      <c r="M138" s="38">
        <f t="shared" ref="M138:M145" si="4">+L138/J138</f>
        <v>1.0268670482597726</v>
      </c>
    </row>
    <row r="139" spans="1:13" hidden="1" x14ac:dyDescent="0.25">
      <c r="A139" s="14" t="s">
        <v>194</v>
      </c>
      <c r="B139" s="15" t="s">
        <v>126</v>
      </c>
      <c r="C139" s="16">
        <v>4106</v>
      </c>
      <c r="D139" s="11">
        <v>4775.8500000000004</v>
      </c>
      <c r="E139" s="11">
        <v>4564.83</v>
      </c>
      <c r="F139" s="11">
        <v>6504.31</v>
      </c>
      <c r="G139" s="11">
        <v>4632.8100000000004</v>
      </c>
      <c r="H139" s="3"/>
      <c r="I139" s="11">
        <v>8847</v>
      </c>
      <c r="J139" s="11">
        <v>8847</v>
      </c>
      <c r="K139" s="3"/>
      <c r="L139" s="11">
        <f>+'[1]Non-Union - 3.5%'!$P$43</f>
        <v>9084.8159999999989</v>
      </c>
      <c r="M139" s="38">
        <f t="shared" si="4"/>
        <v>1.026880976602238</v>
      </c>
    </row>
    <row r="140" spans="1:13" hidden="1" x14ac:dyDescent="0.25">
      <c r="A140" s="14" t="s">
        <v>195</v>
      </c>
      <c r="B140" s="15" t="s">
        <v>128</v>
      </c>
      <c r="C140" s="16">
        <v>10250</v>
      </c>
      <c r="D140" s="11">
        <v>10725.34</v>
      </c>
      <c r="E140" s="11">
        <v>11006.55</v>
      </c>
      <c r="F140" s="11">
        <v>14335.23</v>
      </c>
      <c r="G140" s="11">
        <v>11031.78</v>
      </c>
      <c r="H140" s="3"/>
      <c r="I140" s="11">
        <v>15891</v>
      </c>
      <c r="J140" s="11">
        <v>15891</v>
      </c>
      <c r="K140" s="3"/>
      <c r="L140" s="11">
        <f>+SUM('[1]Non-Union - 3.5%'!$K$43:$N$43)</f>
        <v>18515.920000000002</v>
      </c>
      <c r="M140" s="38">
        <f t="shared" si="4"/>
        <v>1.1651828078786737</v>
      </c>
    </row>
    <row r="141" spans="1:13" hidden="1" x14ac:dyDescent="0.25">
      <c r="A141" s="14" t="s">
        <v>196</v>
      </c>
      <c r="B141" s="15" t="s">
        <v>130</v>
      </c>
      <c r="C141" s="16">
        <v>1422</v>
      </c>
      <c r="D141" s="11">
        <v>1599.68</v>
      </c>
      <c r="E141" s="11">
        <v>2038.87</v>
      </c>
      <c r="F141" s="11">
        <v>1812.72</v>
      </c>
      <c r="G141" s="11">
        <v>1272.3599999999999</v>
      </c>
      <c r="H141" s="3"/>
      <c r="I141" s="11">
        <v>1950</v>
      </c>
      <c r="J141" s="11">
        <v>1950</v>
      </c>
      <c r="K141" s="3"/>
      <c r="L141" s="11">
        <f>+'[1]Non-Union - 3.5%'!$O$43</f>
        <v>2018.25</v>
      </c>
      <c r="M141" s="38">
        <f t="shared" si="4"/>
        <v>1.0349999999999999</v>
      </c>
    </row>
    <row r="142" spans="1:13" hidden="1" x14ac:dyDescent="0.25">
      <c r="A142" s="14" t="s">
        <v>197</v>
      </c>
      <c r="B142" s="15" t="s">
        <v>171</v>
      </c>
      <c r="C142" s="16">
        <v>0</v>
      </c>
      <c r="D142" s="11">
        <v>42</v>
      </c>
      <c r="E142" s="11">
        <v>20</v>
      </c>
      <c r="F142" s="11">
        <v>0</v>
      </c>
      <c r="G142" s="11">
        <v>134.38999999999999</v>
      </c>
      <c r="H142" s="3"/>
      <c r="I142" s="11">
        <v>200</v>
      </c>
      <c r="J142" s="11">
        <v>200</v>
      </c>
      <c r="K142" s="3"/>
      <c r="L142" s="11">
        <v>200</v>
      </c>
      <c r="M142" s="38">
        <f t="shared" si="4"/>
        <v>1</v>
      </c>
    </row>
    <row r="143" spans="1:13" hidden="1" x14ac:dyDescent="0.25">
      <c r="A143" s="14" t="s">
        <v>198</v>
      </c>
      <c r="B143" s="15" t="s">
        <v>132</v>
      </c>
      <c r="C143" s="16">
        <v>270</v>
      </c>
      <c r="D143" s="11"/>
      <c r="E143" s="11">
        <v>661.55</v>
      </c>
      <c r="F143" s="11">
        <v>1301.17</v>
      </c>
      <c r="G143" s="11">
        <v>1747.34</v>
      </c>
      <c r="H143" s="3"/>
      <c r="I143" s="11">
        <v>487</v>
      </c>
      <c r="J143" s="11">
        <v>487</v>
      </c>
      <c r="K143" s="3"/>
      <c r="L143" s="11">
        <f>+'[1]Non-Union - 3.5%'!$R$43</f>
        <v>499.66487999999998</v>
      </c>
      <c r="M143" s="38">
        <f t="shared" si="4"/>
        <v>1.0260059137577002</v>
      </c>
    </row>
    <row r="144" spans="1:13" hidden="1" x14ac:dyDescent="0.25">
      <c r="A144" s="14" t="s">
        <v>199</v>
      </c>
      <c r="B144" s="15" t="s">
        <v>200</v>
      </c>
      <c r="C144" s="16">
        <v>502</v>
      </c>
      <c r="D144" s="11">
        <v>545.34</v>
      </c>
      <c r="E144" s="11">
        <v>738.29</v>
      </c>
      <c r="F144" s="11">
        <v>1088.67</v>
      </c>
      <c r="G144" s="11">
        <v>1300.55</v>
      </c>
      <c r="H144" s="3"/>
      <c r="I144" s="11">
        <v>1000</v>
      </c>
      <c r="J144" s="11">
        <v>1000</v>
      </c>
      <c r="K144" s="3"/>
      <c r="L144" s="11">
        <v>1500</v>
      </c>
      <c r="M144" s="38">
        <f t="shared" si="4"/>
        <v>1.5</v>
      </c>
    </row>
    <row r="145" spans="1:13" hidden="1" x14ac:dyDescent="0.25">
      <c r="A145" s="14" t="s">
        <v>201</v>
      </c>
      <c r="B145" s="15" t="s">
        <v>182</v>
      </c>
      <c r="C145" s="16">
        <v>960</v>
      </c>
      <c r="D145" s="11">
        <v>1524.36</v>
      </c>
      <c r="E145" s="11">
        <v>1848.74</v>
      </c>
      <c r="F145" s="11">
        <v>1790.09</v>
      </c>
      <c r="G145" s="11">
        <v>1692.08</v>
      </c>
      <c r="H145" s="3"/>
      <c r="I145" s="11">
        <v>2500</v>
      </c>
      <c r="J145" s="11">
        <v>2500</v>
      </c>
      <c r="K145" s="3"/>
      <c r="L145" s="11">
        <v>2500</v>
      </c>
      <c r="M145" s="38">
        <f t="shared" si="4"/>
        <v>1</v>
      </c>
    </row>
    <row r="146" spans="1:13" hidden="1" x14ac:dyDescent="0.25">
      <c r="A146" s="14">
        <v>6060610</v>
      </c>
      <c r="B146" s="15" t="s">
        <v>184</v>
      </c>
      <c r="C146" s="16"/>
      <c r="D146" s="11"/>
      <c r="E146" s="11"/>
      <c r="F146" s="11">
        <v>453.95</v>
      </c>
      <c r="G146" s="11">
        <v>0</v>
      </c>
      <c r="H146" s="3"/>
      <c r="I146" s="11"/>
      <c r="J146" s="11"/>
      <c r="K146" s="3"/>
      <c r="L146" s="11"/>
    </row>
    <row r="147" spans="1:13" hidden="1" x14ac:dyDescent="0.25">
      <c r="A147" s="14" t="s">
        <v>202</v>
      </c>
      <c r="B147" s="15" t="s">
        <v>156</v>
      </c>
      <c r="C147" s="16">
        <v>145</v>
      </c>
      <c r="D147" s="11">
        <v>200.74</v>
      </c>
      <c r="E147" s="11">
        <v>0</v>
      </c>
      <c r="F147" s="11"/>
      <c r="G147" s="11">
        <v>205</v>
      </c>
      <c r="H147" s="3"/>
      <c r="I147" s="11">
        <v>500</v>
      </c>
      <c r="J147" s="11">
        <v>500</v>
      </c>
      <c r="K147" s="3"/>
      <c r="L147" s="11">
        <v>500</v>
      </c>
      <c r="M147" s="38">
        <f>+L147/J147</f>
        <v>1</v>
      </c>
    </row>
    <row r="148" spans="1:13" hidden="1" x14ac:dyDescent="0.25">
      <c r="A148" s="14" t="s">
        <v>203</v>
      </c>
      <c r="B148" s="15" t="s">
        <v>158</v>
      </c>
      <c r="C148" s="16">
        <v>155</v>
      </c>
      <c r="D148" s="11">
        <v>165</v>
      </c>
      <c r="E148" s="11">
        <v>165</v>
      </c>
      <c r="F148" s="11">
        <v>903.91</v>
      </c>
      <c r="G148" s="11">
        <v>70</v>
      </c>
      <c r="H148" s="3"/>
      <c r="I148" s="11">
        <v>1000</v>
      </c>
      <c r="J148" s="11">
        <v>1000</v>
      </c>
      <c r="K148" s="3"/>
      <c r="L148" s="11">
        <v>500</v>
      </c>
      <c r="M148" s="38">
        <f>+L148/J148</f>
        <v>0.5</v>
      </c>
    </row>
    <row r="149" spans="1:13" hidden="1" x14ac:dyDescent="0.25">
      <c r="A149" s="14" t="s">
        <v>204</v>
      </c>
      <c r="B149" s="15" t="s">
        <v>160</v>
      </c>
      <c r="C149" s="16">
        <v>864</v>
      </c>
      <c r="D149" s="11">
        <v>1547.8</v>
      </c>
      <c r="E149" s="11">
        <v>913.43</v>
      </c>
      <c r="F149" s="11">
        <v>1486.03</v>
      </c>
      <c r="G149" s="11">
        <v>1402.02</v>
      </c>
      <c r="H149" s="3"/>
      <c r="I149" s="11">
        <v>2500</v>
      </c>
      <c r="J149" s="11">
        <v>2500</v>
      </c>
      <c r="K149" s="3"/>
      <c r="L149" s="11">
        <v>2000</v>
      </c>
      <c r="M149" s="38">
        <f>+L149/J149</f>
        <v>0.8</v>
      </c>
    </row>
    <row r="150" spans="1:13" hidden="1" x14ac:dyDescent="0.25">
      <c r="A150" s="14" t="s">
        <v>205</v>
      </c>
      <c r="B150" s="15" t="s">
        <v>80</v>
      </c>
      <c r="C150" s="16">
        <v>99</v>
      </c>
      <c r="D150" s="11">
        <v>53.38</v>
      </c>
      <c r="E150" s="11">
        <v>52</v>
      </c>
      <c r="F150" s="11">
        <v>75.03</v>
      </c>
      <c r="G150" s="11">
        <v>0</v>
      </c>
      <c r="H150" s="3"/>
      <c r="I150" s="11">
        <v>250</v>
      </c>
      <c r="J150" s="11">
        <v>250</v>
      </c>
      <c r="K150" s="3"/>
      <c r="L150" s="11">
        <v>250</v>
      </c>
      <c r="M150" s="38">
        <f>+L150/J150</f>
        <v>1</v>
      </c>
    </row>
    <row r="151" spans="1:13" hidden="1" x14ac:dyDescent="0.25">
      <c r="A151" s="14"/>
      <c r="B151" s="15"/>
      <c r="C151" s="16"/>
      <c r="D151" s="11"/>
      <c r="E151" s="11"/>
      <c r="F151" s="11"/>
      <c r="G151" s="11"/>
      <c r="H151" s="3"/>
      <c r="I151" s="11"/>
      <c r="J151" s="11"/>
      <c r="K151" s="3"/>
      <c r="L151" s="11"/>
    </row>
    <row r="152" spans="1:13" hidden="1" x14ac:dyDescent="0.25">
      <c r="A152" s="29"/>
      <c r="B152" s="30" t="s">
        <v>206</v>
      </c>
      <c r="C152" s="16">
        <f>SUM(C138:C150)</f>
        <v>70753</v>
      </c>
      <c r="D152" s="11">
        <f>SUM(D138:D150)</f>
        <v>75846.850000000006</v>
      </c>
      <c r="E152" s="11">
        <f>SUM(E138:E150)</f>
        <v>77715.17</v>
      </c>
      <c r="F152" s="11">
        <f>SUM(F138:F150)</f>
        <v>107102.64999999998</v>
      </c>
      <c r="G152" s="11">
        <f>SUM(G138:G150)</f>
        <v>90565.73</v>
      </c>
      <c r="H152" s="3"/>
      <c r="I152" s="11">
        <f>SUM(I138:I150)</f>
        <v>145714</v>
      </c>
      <c r="J152" s="11">
        <f>SUM(J138:J150)</f>
        <v>145714</v>
      </c>
      <c r="K152" s="3"/>
      <c r="L152" s="11">
        <f>SUM(L138:L150)</f>
        <v>151128.85088000001</v>
      </c>
      <c r="M152" s="38">
        <f>+L152/J152</f>
        <v>1.0371608141976749</v>
      </c>
    </row>
    <row r="153" spans="1:13" hidden="1" x14ac:dyDescent="0.25">
      <c r="A153" s="29"/>
      <c r="B153" s="30"/>
      <c r="C153" s="16"/>
      <c r="D153" s="11"/>
      <c r="E153" s="11"/>
      <c r="F153" s="11"/>
      <c r="G153" s="11"/>
      <c r="H153" s="3"/>
      <c r="I153" s="11"/>
      <c r="J153" s="11"/>
      <c r="K153" s="3"/>
      <c r="L153" s="11"/>
    </row>
    <row r="154" spans="1:13" hidden="1" x14ac:dyDescent="0.25">
      <c r="A154" s="14" t="s">
        <v>207</v>
      </c>
      <c r="B154" s="15" t="s">
        <v>124</v>
      </c>
      <c r="C154" s="16">
        <v>41240</v>
      </c>
      <c r="D154" s="11">
        <v>60236.07</v>
      </c>
      <c r="E154" s="11">
        <v>33683.4</v>
      </c>
      <c r="F154" s="11">
        <v>39820.85</v>
      </c>
      <c r="G154" s="11">
        <v>25463.07</v>
      </c>
      <c r="H154" s="3"/>
      <c r="I154" s="11">
        <v>62859</v>
      </c>
      <c r="J154" s="11">
        <v>40000</v>
      </c>
      <c r="K154" s="3"/>
      <c r="L154" s="11">
        <f>+'[1]Non-Union - 3.5%'!$I$47</f>
        <v>29062.799999999996</v>
      </c>
      <c r="M154" s="38">
        <f t="shared" ref="M154:M160" si="5">+L154/J154</f>
        <v>0.72656999999999994</v>
      </c>
    </row>
    <row r="155" spans="1:13" hidden="1" x14ac:dyDescent="0.25">
      <c r="A155" s="14" t="s">
        <v>208</v>
      </c>
      <c r="B155" s="15" t="s">
        <v>126</v>
      </c>
      <c r="C155" s="16">
        <v>3874</v>
      </c>
      <c r="D155" s="11">
        <v>5318.45</v>
      </c>
      <c r="E155" s="11">
        <v>2923.34</v>
      </c>
      <c r="F155" s="11">
        <v>3373.75</v>
      </c>
      <c r="G155" s="11">
        <v>1995.67</v>
      </c>
      <c r="H155" s="3"/>
      <c r="I155" s="11">
        <v>5029</v>
      </c>
      <c r="J155" s="11">
        <v>3200</v>
      </c>
      <c r="K155" s="3"/>
      <c r="L155" s="11">
        <f>+'[1]Non-Union - 3.5%'!$P$47</f>
        <v>2325.0239999999999</v>
      </c>
      <c r="M155" s="38">
        <f t="shared" si="5"/>
        <v>0.72656999999999994</v>
      </c>
    </row>
    <row r="156" spans="1:13" hidden="1" x14ac:dyDescent="0.25">
      <c r="A156" s="14" t="s">
        <v>209</v>
      </c>
      <c r="B156" s="15" t="s">
        <v>171</v>
      </c>
      <c r="C156" s="16">
        <v>18</v>
      </c>
      <c r="D156" s="11">
        <v>11.7</v>
      </c>
      <c r="E156" s="11">
        <v>0</v>
      </c>
      <c r="F156" s="11"/>
      <c r="G156" s="11">
        <v>324.13</v>
      </c>
      <c r="H156" s="3"/>
      <c r="I156" s="11"/>
      <c r="J156" s="11"/>
      <c r="K156" s="3"/>
      <c r="L156" s="11">
        <v>250</v>
      </c>
    </row>
    <row r="157" spans="1:13" hidden="1" x14ac:dyDescent="0.25">
      <c r="A157" s="14" t="s">
        <v>210</v>
      </c>
      <c r="B157" s="15" t="s">
        <v>132</v>
      </c>
      <c r="C157" s="16">
        <v>111</v>
      </c>
      <c r="D157" s="11">
        <v>87.01</v>
      </c>
      <c r="E157" s="11">
        <v>647.65</v>
      </c>
      <c r="F157" s="11">
        <v>1301.17</v>
      </c>
      <c r="G157" s="11">
        <v>610.53</v>
      </c>
      <c r="H157" s="3"/>
      <c r="I157" s="11">
        <v>82</v>
      </c>
      <c r="J157" s="11">
        <v>82</v>
      </c>
      <c r="K157" s="3"/>
      <c r="L157" s="11">
        <f>+'[1]Non-Union - 3.5%'!$R$47</f>
        <v>37.781639999999996</v>
      </c>
      <c r="M157" s="38">
        <f t="shared" si="5"/>
        <v>0.4607517073170731</v>
      </c>
    </row>
    <row r="158" spans="1:13" hidden="1" x14ac:dyDescent="0.25">
      <c r="A158" s="14">
        <v>6071300</v>
      </c>
      <c r="B158" s="15" t="s">
        <v>211</v>
      </c>
      <c r="C158" s="16">
        <v>0</v>
      </c>
      <c r="D158" s="11">
        <v>421.17</v>
      </c>
      <c r="E158" s="11">
        <v>188.65</v>
      </c>
      <c r="F158" s="11"/>
      <c r="G158" s="11">
        <v>0</v>
      </c>
      <c r="H158" s="3"/>
      <c r="I158" s="11">
        <v>250</v>
      </c>
      <c r="J158" s="11">
        <v>250</v>
      </c>
      <c r="K158" s="3"/>
      <c r="L158" s="11">
        <v>250</v>
      </c>
      <c r="M158" s="38">
        <f t="shared" si="5"/>
        <v>1</v>
      </c>
    </row>
    <row r="159" spans="1:13" hidden="1" x14ac:dyDescent="0.25">
      <c r="A159" s="14" t="s">
        <v>212</v>
      </c>
      <c r="B159" s="15" t="s">
        <v>160</v>
      </c>
      <c r="C159" s="16">
        <v>749</v>
      </c>
      <c r="D159" s="11">
        <v>1967.46</v>
      </c>
      <c r="E159" s="11">
        <v>1154.2</v>
      </c>
      <c r="F159" s="11">
        <v>629.27</v>
      </c>
      <c r="G159" s="11">
        <v>907.21</v>
      </c>
      <c r="H159" s="3"/>
      <c r="I159" s="11">
        <v>1200</v>
      </c>
      <c r="J159" s="11">
        <v>1200</v>
      </c>
      <c r="K159" s="3"/>
      <c r="L159" s="11">
        <v>1200</v>
      </c>
      <c r="M159" s="38">
        <f t="shared" si="5"/>
        <v>1</v>
      </c>
    </row>
    <row r="160" spans="1:13" hidden="1" x14ac:dyDescent="0.25">
      <c r="A160" s="14" t="s">
        <v>213</v>
      </c>
      <c r="B160" s="15" t="s">
        <v>80</v>
      </c>
      <c r="C160" s="16">
        <v>444</v>
      </c>
      <c r="D160" s="11">
        <v>1106.8800000000001</v>
      </c>
      <c r="E160" s="11">
        <v>0</v>
      </c>
      <c r="F160" s="11"/>
      <c r="G160" s="11">
        <v>0</v>
      </c>
      <c r="H160" s="3"/>
      <c r="I160" s="11">
        <v>500</v>
      </c>
      <c r="J160" s="11">
        <v>500</v>
      </c>
      <c r="K160" s="3"/>
      <c r="L160" s="11">
        <v>250</v>
      </c>
      <c r="M160" s="38">
        <f t="shared" si="5"/>
        <v>0.5</v>
      </c>
    </row>
    <row r="161" spans="1:13" hidden="1" x14ac:dyDescent="0.25">
      <c r="A161" s="14"/>
      <c r="B161" s="15"/>
      <c r="C161" s="16"/>
      <c r="D161" s="11"/>
      <c r="E161" s="11"/>
      <c r="F161" s="11"/>
      <c r="G161" s="11"/>
      <c r="H161" s="3"/>
      <c r="I161" s="11"/>
      <c r="J161" s="11"/>
      <c r="K161" s="3"/>
      <c r="L161" s="11"/>
    </row>
    <row r="162" spans="1:13" hidden="1" x14ac:dyDescent="0.25">
      <c r="A162" s="29"/>
      <c r="B162" s="30" t="s">
        <v>214</v>
      </c>
      <c r="C162" s="16">
        <f>SUM(C154:C160)</f>
        <v>46436</v>
      </c>
      <c r="D162" s="11">
        <f>SUM(D154:D160)</f>
        <v>69148.740000000005</v>
      </c>
      <c r="E162" s="11">
        <f>SUM(E154:E160)</f>
        <v>38597.240000000005</v>
      </c>
      <c r="F162" s="11">
        <f>SUM(F154:F160)</f>
        <v>45125.039999999994</v>
      </c>
      <c r="G162" s="11">
        <f>SUM(G154:G160)</f>
        <v>29300.609999999997</v>
      </c>
      <c r="H162" s="3"/>
      <c r="I162" s="11">
        <f>SUM(I154:I160)</f>
        <v>69920</v>
      </c>
      <c r="J162" s="11">
        <f>SUM(J154:J160)</f>
        <v>45232</v>
      </c>
      <c r="K162" s="3"/>
      <c r="L162" s="11">
        <f>SUM(L154:L160)</f>
        <v>33375.605639999994</v>
      </c>
      <c r="M162" s="38">
        <f>+L162/J162</f>
        <v>0.73787596480367867</v>
      </c>
    </row>
    <row r="163" spans="1:13" hidden="1" x14ac:dyDescent="0.25">
      <c r="A163" s="29"/>
      <c r="B163" s="30"/>
      <c r="C163" s="16"/>
      <c r="D163" s="11"/>
      <c r="E163" s="11"/>
      <c r="F163" s="11"/>
      <c r="G163" s="11"/>
      <c r="H163" s="3"/>
      <c r="I163" s="11"/>
      <c r="J163" s="11"/>
      <c r="K163" s="3"/>
      <c r="L163" s="11"/>
    </row>
    <row r="164" spans="1:13" hidden="1" x14ac:dyDescent="0.25">
      <c r="A164" s="17" t="s">
        <v>21</v>
      </c>
      <c r="B164" s="18" t="s">
        <v>215</v>
      </c>
      <c r="C164" s="11">
        <f>+C162+C152+C136+C111+C86</f>
        <v>1151613</v>
      </c>
      <c r="D164" s="11">
        <f>+D162+D152+D136+D111+D86</f>
        <v>1341454.58</v>
      </c>
      <c r="E164" s="11">
        <f>+E162+E152+E136+E111+E86</f>
        <v>1196697.2400000002</v>
      </c>
      <c r="F164" s="11">
        <f>+F162+F152+F136+F111+F86</f>
        <v>1526616.7560000001</v>
      </c>
      <c r="G164" s="11">
        <f>+G162+G152+G136+G111+G86</f>
        <v>1215212.9099999999</v>
      </c>
      <c r="H164" s="3"/>
      <c r="I164" s="11">
        <f>+I162+I152+I136+I111+I86</f>
        <v>1709098.3</v>
      </c>
      <c r="J164" s="11">
        <f>+J162+J152+J136+J111+J86</f>
        <v>1824010.3</v>
      </c>
      <c r="K164" s="3"/>
      <c r="L164" s="11">
        <f>+L162+L152+L136+L111+L86</f>
        <v>1771859.0770402863</v>
      </c>
      <c r="M164" s="38">
        <f>+L164/J164</f>
        <v>0.97140848220006559</v>
      </c>
    </row>
    <row r="165" spans="1:13" hidden="1" x14ac:dyDescent="0.25">
      <c r="D165" s="11"/>
      <c r="E165" s="11"/>
      <c r="F165" s="11"/>
      <c r="G165" s="11"/>
      <c r="H165" s="3"/>
      <c r="I165" s="11"/>
      <c r="J165" s="11"/>
      <c r="K165" s="3"/>
      <c r="L165" s="11"/>
    </row>
    <row r="166" spans="1:13" hidden="1" x14ac:dyDescent="0.25">
      <c r="A166" s="9" t="s">
        <v>216</v>
      </c>
      <c r="B166" s="10" t="s">
        <v>217</v>
      </c>
      <c r="D166" s="11"/>
      <c r="E166" s="11"/>
      <c r="F166" s="11"/>
      <c r="G166" s="11"/>
      <c r="H166" s="3"/>
      <c r="I166" s="11"/>
      <c r="J166" s="11"/>
      <c r="K166" s="3"/>
      <c r="L166" s="11"/>
    </row>
    <row r="167" spans="1:13" hidden="1" x14ac:dyDescent="0.25">
      <c r="A167" s="12" t="s">
        <v>9</v>
      </c>
      <c r="B167" s="13" t="s">
        <v>10</v>
      </c>
      <c r="D167" s="11"/>
      <c r="E167" s="11"/>
      <c r="F167" s="11"/>
      <c r="G167" s="11"/>
      <c r="H167" s="3"/>
      <c r="I167" s="11"/>
      <c r="J167" s="11"/>
      <c r="K167" s="3"/>
      <c r="L167" s="11"/>
    </row>
    <row r="168" spans="1:13" hidden="1" x14ac:dyDescent="0.25">
      <c r="A168" s="14" t="s">
        <v>218</v>
      </c>
      <c r="B168" s="15" t="s">
        <v>219</v>
      </c>
      <c r="C168" s="16">
        <v>676230</v>
      </c>
      <c r="D168" s="11">
        <v>793144.54</v>
      </c>
      <c r="E168" s="11">
        <v>725138.85</v>
      </c>
      <c r="F168" s="11">
        <v>1037671.5</v>
      </c>
      <c r="G168" s="11">
        <v>861248.2</v>
      </c>
      <c r="H168" s="3"/>
      <c r="I168" s="11">
        <v>1150000</v>
      </c>
      <c r="J168" s="11">
        <v>1320000</v>
      </c>
      <c r="K168" s="3"/>
      <c r="L168" s="11">
        <f>+'[1]Non-Union - 3.5%'!$I$17+[1]Union!$H$22+[1]Union!$U$22+[1]Union!$V$22+[1]Union!$W$22</f>
        <v>1347217.3961057691</v>
      </c>
      <c r="M168" s="38">
        <f t="shared" ref="M168:M185" si="6">+L168/J168</f>
        <v>1.0206192394740674</v>
      </c>
    </row>
    <row r="169" spans="1:13" hidden="1" x14ac:dyDescent="0.25">
      <c r="A169" s="14" t="s">
        <v>220</v>
      </c>
      <c r="B169" s="15" t="s">
        <v>221</v>
      </c>
      <c r="C169" s="16">
        <v>0</v>
      </c>
      <c r="D169" s="11">
        <v>2250</v>
      </c>
      <c r="E169" s="11">
        <v>9570</v>
      </c>
      <c r="F169" s="11">
        <v>50469.64</v>
      </c>
      <c r="G169" s="11">
        <v>31345</v>
      </c>
      <c r="H169" s="3"/>
      <c r="I169" s="11">
        <v>55120</v>
      </c>
      <c r="J169" s="11">
        <v>55120</v>
      </c>
      <c r="K169" s="3"/>
      <c r="L169" s="11">
        <v>50000</v>
      </c>
      <c r="M169" s="38">
        <f t="shared" si="6"/>
        <v>0.90711175616835993</v>
      </c>
    </row>
    <row r="170" spans="1:13" hidden="1" x14ac:dyDescent="0.25">
      <c r="A170" s="14" t="s">
        <v>222</v>
      </c>
      <c r="B170" s="15" t="s">
        <v>223</v>
      </c>
      <c r="C170" s="16">
        <v>55881</v>
      </c>
      <c r="D170" s="11">
        <v>57543.17</v>
      </c>
      <c r="E170" s="11">
        <v>55670.48</v>
      </c>
      <c r="F170" s="11">
        <v>82622.080000000002</v>
      </c>
      <c r="G170" s="11">
        <v>62208.480000000003</v>
      </c>
      <c r="H170" s="3"/>
      <c r="I170" s="11">
        <f>8650+12100+68163</f>
        <v>88913</v>
      </c>
      <c r="J170" s="11">
        <v>110009.60000000001</v>
      </c>
      <c r="K170" s="3"/>
      <c r="L170" s="11">
        <f>9253+[1]Union!$O$22+[1]Union!$Z$22</f>
        <v>107777.22048846152</v>
      </c>
      <c r="M170" s="38">
        <f t="shared" si="6"/>
        <v>0.97970741179371179</v>
      </c>
    </row>
    <row r="171" spans="1:13" hidden="1" x14ac:dyDescent="0.25">
      <c r="A171" s="14" t="s">
        <v>224</v>
      </c>
      <c r="B171" s="15" t="s">
        <v>225</v>
      </c>
      <c r="C171" s="16">
        <v>152064</v>
      </c>
      <c r="D171" s="11">
        <v>142017.5</v>
      </c>
      <c r="E171" s="11">
        <v>140830.78</v>
      </c>
      <c r="F171" s="11">
        <v>192240.68</v>
      </c>
      <c r="G171" s="11">
        <v>181109.85</v>
      </c>
      <c r="H171" s="3"/>
      <c r="I171" s="11">
        <f>6469+266647+10641+2672+1879</f>
        <v>288308</v>
      </c>
      <c r="J171" s="11">
        <v>288308</v>
      </c>
      <c r="K171" s="3"/>
      <c r="L171" s="11">
        <f>7200+[1]Union!$J$22+[1]Union!$K$22+[1]Union!$L$22+[1]Union!$M$22</f>
        <v>352847.2680000001</v>
      </c>
      <c r="M171" s="38">
        <f t="shared" si="6"/>
        <v>1.223855279770246</v>
      </c>
    </row>
    <row r="172" spans="1:13" hidden="1" x14ac:dyDescent="0.25">
      <c r="A172" s="14" t="s">
        <v>226</v>
      </c>
      <c r="B172" s="15" t="s">
        <v>227</v>
      </c>
      <c r="C172" s="16">
        <v>80802</v>
      </c>
      <c r="D172" s="11">
        <v>98566.28</v>
      </c>
      <c r="E172" s="11">
        <v>68124.479999999996</v>
      </c>
      <c r="F172" s="11">
        <v>90168.43</v>
      </c>
      <c r="G172" s="11">
        <v>85964.77</v>
      </c>
      <c r="H172" s="3"/>
      <c r="I172" s="11">
        <f>144847+18380</f>
        <v>163227</v>
      </c>
      <c r="J172" s="11">
        <v>163227</v>
      </c>
      <c r="K172" s="3"/>
      <c r="L172" s="11">
        <f>464+[1]Union!$N$22</f>
        <v>157782.92819999999</v>
      </c>
      <c r="M172" s="38">
        <f t="shared" si="6"/>
        <v>0.9666472348324725</v>
      </c>
    </row>
    <row r="173" spans="1:13" hidden="1" x14ac:dyDescent="0.25">
      <c r="A173" s="14" t="s">
        <v>228</v>
      </c>
      <c r="B173" s="15" t="s">
        <v>229</v>
      </c>
      <c r="C173" s="16">
        <v>10188</v>
      </c>
      <c r="D173" s="11">
        <v>16231.68</v>
      </c>
      <c r="E173" s="11">
        <v>5561.98</v>
      </c>
      <c r="F173" s="11">
        <v>77009.759999999995</v>
      </c>
      <c r="G173" s="11">
        <v>24155.46</v>
      </c>
      <c r="H173" s="3"/>
      <c r="I173" s="11">
        <v>20000</v>
      </c>
      <c r="J173" s="11">
        <v>20000</v>
      </c>
      <c r="K173" s="3"/>
      <c r="L173" s="11">
        <v>20000</v>
      </c>
      <c r="M173" s="38">
        <f t="shared" si="6"/>
        <v>1</v>
      </c>
    </row>
    <row r="174" spans="1:13" hidden="1" x14ac:dyDescent="0.25">
      <c r="A174" s="14" t="s">
        <v>230</v>
      </c>
      <c r="B174" s="15" t="s">
        <v>231</v>
      </c>
      <c r="C174" s="16">
        <v>25001</v>
      </c>
      <c r="D174" s="11">
        <v>31230.12</v>
      </c>
      <c r="E174" s="11">
        <v>19763.8</v>
      </c>
      <c r="F174" s="11">
        <v>8095.98</v>
      </c>
      <c r="G174" s="11">
        <v>33114.26</v>
      </c>
      <c r="H174" s="3"/>
      <c r="I174" s="11">
        <f>29055+5158+3687</f>
        <v>37900</v>
      </c>
      <c r="J174" s="11">
        <v>37900</v>
      </c>
      <c r="K174" s="3"/>
      <c r="L174" s="11">
        <f>3944+[1]Union!$Q$22+[1]Union!$Y$22</f>
        <v>45939.948983206727</v>
      </c>
      <c r="M174" s="38">
        <f t="shared" si="6"/>
        <v>1.2121358570766947</v>
      </c>
    </row>
    <row r="175" spans="1:13" hidden="1" x14ac:dyDescent="0.25">
      <c r="A175" s="14" t="s">
        <v>232</v>
      </c>
      <c r="B175" s="15" t="s">
        <v>233</v>
      </c>
      <c r="C175" s="16">
        <v>120533</v>
      </c>
      <c r="D175" s="11">
        <v>128146.94</v>
      </c>
      <c r="E175" s="11">
        <v>101451.3</v>
      </c>
      <c r="F175" s="11">
        <v>223940.33</v>
      </c>
      <c r="G175" s="11">
        <v>221517.37</v>
      </c>
      <c r="H175" s="3"/>
      <c r="I175" s="11">
        <f>270263+51628</f>
        <v>321891</v>
      </c>
      <c r="J175" s="11">
        <v>321891</v>
      </c>
      <c r="K175" s="3"/>
      <c r="L175" s="11">
        <f>+'[1]Non-Union - 3.5%'!$I$27+'[1]Non-Union - 3.5%'!$V$27</f>
        <v>353446.86481349997</v>
      </c>
      <c r="M175" s="38">
        <f t="shared" si="6"/>
        <v>1.098032765170508</v>
      </c>
    </row>
    <row r="176" spans="1:13" hidden="1" x14ac:dyDescent="0.25">
      <c r="A176" s="14" t="s">
        <v>234</v>
      </c>
      <c r="B176" s="15" t="s">
        <v>235</v>
      </c>
      <c r="C176" s="16">
        <v>10228</v>
      </c>
      <c r="D176" s="11">
        <v>11300.56</v>
      </c>
      <c r="E176" s="11">
        <v>8147.5</v>
      </c>
      <c r="F176" s="11">
        <v>17331.79</v>
      </c>
      <c r="G176" s="11">
        <v>15040.61</v>
      </c>
      <c r="H176" s="3"/>
      <c r="I176" s="11">
        <f>21621+4130</f>
        <v>25751</v>
      </c>
      <c r="J176" s="11">
        <v>25751</v>
      </c>
      <c r="K176" s="3"/>
      <c r="L176" s="11">
        <f>+'[1]Non-Union - 3.5%'!$P$27+'[1]Non-Union - 3.5%'!$Z$27</f>
        <v>28275.74918508</v>
      </c>
      <c r="M176" s="38">
        <f t="shared" si="6"/>
        <v>1.0980447044806028</v>
      </c>
    </row>
    <row r="177" spans="1:13" hidden="1" x14ac:dyDescent="0.25">
      <c r="A177" s="14" t="s">
        <v>236</v>
      </c>
      <c r="B177" s="15" t="s">
        <v>237</v>
      </c>
      <c r="C177" s="16">
        <v>41198</v>
      </c>
      <c r="D177" s="11">
        <v>39635.67</v>
      </c>
      <c r="E177" s="11">
        <v>23581.19</v>
      </c>
      <c r="F177" s="11">
        <v>78593.440000000002</v>
      </c>
      <c r="G177" s="11">
        <v>70617.97</v>
      </c>
      <c r="H177" s="3"/>
      <c r="I177" s="11">
        <f>122947+5856+1474</f>
        <v>130277</v>
      </c>
      <c r="J177" s="11">
        <v>130277</v>
      </c>
      <c r="K177" s="3"/>
      <c r="L177" s="11">
        <f>+SUM('[1]Non-Union - 3.5%'!$K$27:$N$27)</f>
        <v>129595.01999999999</v>
      </c>
      <c r="M177" s="38">
        <f t="shared" si="6"/>
        <v>0.99476515424825551</v>
      </c>
    </row>
    <row r="178" spans="1:13" hidden="1" x14ac:dyDescent="0.25">
      <c r="A178" s="14" t="s">
        <v>238</v>
      </c>
      <c r="B178" s="15" t="s">
        <v>239</v>
      </c>
      <c r="C178" s="16">
        <v>1799</v>
      </c>
      <c r="D178" s="11">
        <v>2200.7800000000002</v>
      </c>
      <c r="E178" s="11">
        <v>3043.2</v>
      </c>
      <c r="F178" s="11">
        <v>1929.9</v>
      </c>
      <c r="G178" s="11">
        <v>1994.23</v>
      </c>
      <c r="H178" s="3"/>
      <c r="I178" s="11">
        <f>4974+986</f>
        <v>5960</v>
      </c>
      <c r="J178" s="11">
        <v>5960</v>
      </c>
      <c r="K178" s="3"/>
      <c r="L178" s="11">
        <f>+'[1]Non-Union - 3.5%'!$O$27+'[1]Non-Union - 3.5%'!$X$27</f>
        <v>3215.8542699999998</v>
      </c>
      <c r="M178" s="38">
        <f t="shared" si="6"/>
        <v>0.53957286409395966</v>
      </c>
    </row>
    <row r="179" spans="1:13" hidden="1" x14ac:dyDescent="0.25">
      <c r="A179" s="14">
        <v>6030250</v>
      </c>
      <c r="B179" s="15" t="s">
        <v>240</v>
      </c>
      <c r="C179" s="16"/>
      <c r="D179" s="11"/>
      <c r="E179" s="11"/>
      <c r="F179" s="11">
        <v>218.25</v>
      </c>
      <c r="G179" s="11">
        <v>2698.36</v>
      </c>
      <c r="H179" s="3"/>
      <c r="I179" s="11"/>
      <c r="J179" s="11">
        <v>2700</v>
      </c>
      <c r="K179" s="3"/>
      <c r="L179" s="11">
        <v>1500</v>
      </c>
      <c r="M179" s="38">
        <f t="shared" si="6"/>
        <v>0.55555555555555558</v>
      </c>
    </row>
    <row r="180" spans="1:13" hidden="1" x14ac:dyDescent="0.25">
      <c r="A180" s="14" t="s">
        <v>241</v>
      </c>
      <c r="B180" s="15" t="s">
        <v>242</v>
      </c>
      <c r="C180" s="16">
        <v>226</v>
      </c>
      <c r="D180" s="11">
        <v>161.86000000000001</v>
      </c>
      <c r="E180" s="11">
        <v>1384.45</v>
      </c>
      <c r="F180" s="11">
        <v>2698.66</v>
      </c>
      <c r="G180" s="11">
        <v>5311.77</v>
      </c>
      <c r="H180" s="3"/>
      <c r="I180" s="11">
        <f>351+67</f>
        <v>418</v>
      </c>
      <c r="J180" s="11">
        <v>7500</v>
      </c>
      <c r="K180" s="3"/>
      <c r="L180" s="11">
        <f>+'[1]Non-Union - 3.5%'!$R$27+'[1]Non-Union - 3.5%'!$Y$27</f>
        <v>459.48092425754999</v>
      </c>
      <c r="M180" s="38">
        <f t="shared" si="6"/>
        <v>6.1264123234339996E-2</v>
      </c>
    </row>
    <row r="181" spans="1:13" hidden="1" x14ac:dyDescent="0.25">
      <c r="A181" s="14" t="s">
        <v>243</v>
      </c>
      <c r="B181" s="15" t="s">
        <v>134</v>
      </c>
      <c r="C181" s="16">
        <v>157168</v>
      </c>
      <c r="D181" s="11">
        <v>166288.71</v>
      </c>
      <c r="E181" s="11">
        <v>205211.96</v>
      </c>
      <c r="F181" s="11">
        <v>202842.41</v>
      </c>
      <c r="G181" s="11">
        <v>177363.55</v>
      </c>
      <c r="H181" s="3"/>
      <c r="I181" s="11">
        <v>190320</v>
      </c>
      <c r="J181" s="11">
        <v>190320</v>
      </c>
      <c r="K181" s="3"/>
      <c r="L181" s="11">
        <v>196737</v>
      </c>
      <c r="M181" s="38">
        <f t="shared" si="6"/>
        <v>1.0337168978562421</v>
      </c>
    </row>
    <row r="182" spans="1:13" hidden="1" x14ac:dyDescent="0.25">
      <c r="A182" s="14" t="s">
        <v>244</v>
      </c>
      <c r="B182" s="15" t="s">
        <v>136</v>
      </c>
      <c r="C182" s="16">
        <v>13223</v>
      </c>
      <c r="D182" s="11">
        <v>20974.02</v>
      </c>
      <c r="E182" s="11">
        <v>19302.919999999998</v>
      </c>
      <c r="F182" s="11">
        <v>17279.099999999999</v>
      </c>
      <c r="G182" s="11">
        <v>14898.52</v>
      </c>
      <c r="H182" s="3"/>
      <c r="I182" s="11">
        <v>16250</v>
      </c>
      <c r="J182" s="11">
        <v>16250</v>
      </c>
      <c r="K182" s="3"/>
      <c r="L182" s="11">
        <v>19673.7</v>
      </c>
      <c r="M182" s="38">
        <f t="shared" si="6"/>
        <v>1.2106892307692307</v>
      </c>
    </row>
    <row r="183" spans="1:13" hidden="1" x14ac:dyDescent="0.25">
      <c r="A183" s="14" t="s">
        <v>245</v>
      </c>
      <c r="B183" s="15" t="s">
        <v>176</v>
      </c>
      <c r="C183" s="16">
        <v>3513</v>
      </c>
      <c r="D183" s="11">
        <v>3147.89</v>
      </c>
      <c r="E183" s="11">
        <v>2830.45</v>
      </c>
      <c r="F183" s="11">
        <v>11016.29</v>
      </c>
      <c r="G183" s="11">
        <v>17254.490000000002</v>
      </c>
      <c r="H183" s="3"/>
      <c r="I183" s="11">
        <v>8000</v>
      </c>
      <c r="J183" s="11">
        <v>18000</v>
      </c>
      <c r="K183" s="3"/>
      <c r="L183" s="11">
        <v>12000</v>
      </c>
      <c r="M183" s="38">
        <f t="shared" si="6"/>
        <v>0.66666666666666663</v>
      </c>
    </row>
    <row r="184" spans="1:13" hidden="1" x14ac:dyDescent="0.25">
      <c r="A184" s="14" t="s">
        <v>246</v>
      </c>
      <c r="B184" s="15" t="s">
        <v>138</v>
      </c>
      <c r="C184" s="16">
        <v>7876</v>
      </c>
      <c r="D184" s="11">
        <v>8659.57</v>
      </c>
      <c r="E184" s="11">
        <v>4580.3500000000004</v>
      </c>
      <c r="F184" s="11">
        <v>5397.32</v>
      </c>
      <c r="G184" s="11">
        <v>3477.22</v>
      </c>
      <c r="H184" s="3"/>
      <c r="I184" s="11">
        <v>6489.91</v>
      </c>
      <c r="J184" s="11">
        <v>6489.91</v>
      </c>
      <c r="K184" s="3"/>
      <c r="L184" s="11">
        <v>6708.73</v>
      </c>
      <c r="M184" s="38">
        <f t="shared" si="6"/>
        <v>1.0337169544724041</v>
      </c>
    </row>
    <row r="185" spans="1:13" hidden="1" x14ac:dyDescent="0.25">
      <c r="A185" s="14" t="s">
        <v>247</v>
      </c>
      <c r="B185" s="15" t="s">
        <v>140</v>
      </c>
      <c r="C185" s="16">
        <v>22435</v>
      </c>
      <c r="D185" s="11">
        <v>18414.25</v>
      </c>
      <c r="E185" s="11">
        <v>15920.44</v>
      </c>
      <c r="F185" s="11">
        <v>26310.71</v>
      </c>
      <c r="G185" s="11">
        <v>13795.04</v>
      </c>
      <c r="H185" s="3"/>
      <c r="I185" s="11">
        <v>15500</v>
      </c>
      <c r="J185" s="11">
        <v>15500</v>
      </c>
      <c r="K185" s="3"/>
      <c r="L185" s="11">
        <v>15500</v>
      </c>
      <c r="M185" s="38">
        <f t="shared" si="6"/>
        <v>1</v>
      </c>
    </row>
    <row r="186" spans="1:13" hidden="1" x14ac:dyDescent="0.25">
      <c r="A186" s="14" t="s">
        <v>248</v>
      </c>
      <c r="B186" s="15" t="s">
        <v>142</v>
      </c>
      <c r="C186" s="16">
        <v>2450</v>
      </c>
      <c r="D186" s="11">
        <v>2907.5</v>
      </c>
      <c r="E186" s="11">
        <v>2212.98</v>
      </c>
      <c r="F186" s="11">
        <v>2995</v>
      </c>
      <c r="G186" s="11">
        <v>0</v>
      </c>
      <c r="H186" s="3"/>
      <c r="I186" s="11"/>
      <c r="J186" s="11">
        <v>0</v>
      </c>
      <c r="K186" s="3"/>
      <c r="L186" s="11"/>
    </row>
    <row r="187" spans="1:13" hidden="1" x14ac:dyDescent="0.25">
      <c r="A187" s="14" t="s">
        <v>249</v>
      </c>
      <c r="B187" s="15" t="s">
        <v>144</v>
      </c>
      <c r="C187" s="16">
        <v>212</v>
      </c>
      <c r="D187" s="11">
        <v>427.5</v>
      </c>
      <c r="E187" s="11">
        <v>432</v>
      </c>
      <c r="F187" s="11">
        <v>438</v>
      </c>
      <c r="G187" s="11">
        <v>0</v>
      </c>
      <c r="H187" s="3"/>
      <c r="I187" s="11"/>
      <c r="J187" s="11">
        <v>0</v>
      </c>
      <c r="K187" s="3"/>
      <c r="L187" s="11"/>
    </row>
    <row r="188" spans="1:13" hidden="1" x14ac:dyDescent="0.25">
      <c r="A188" s="14" t="s">
        <v>250</v>
      </c>
      <c r="B188" s="15" t="s">
        <v>146</v>
      </c>
      <c r="C188" s="16">
        <v>3711</v>
      </c>
      <c r="D188" s="11">
        <v>2791.67</v>
      </c>
      <c r="E188" s="11">
        <v>2687.27</v>
      </c>
      <c r="F188" s="11">
        <v>5448.95</v>
      </c>
      <c r="G188" s="11">
        <v>0</v>
      </c>
      <c r="H188" s="3"/>
      <c r="I188" s="11"/>
      <c r="J188" s="11">
        <v>0</v>
      </c>
      <c r="K188" s="3"/>
      <c r="L188" s="11"/>
    </row>
    <row r="189" spans="1:13" hidden="1" x14ac:dyDescent="0.25">
      <c r="A189" s="14" t="s">
        <v>251</v>
      </c>
      <c r="B189" s="15" t="s">
        <v>182</v>
      </c>
      <c r="C189" s="16">
        <v>23160</v>
      </c>
      <c r="D189" s="11">
        <v>40171.89</v>
      </c>
      <c r="E189" s="11">
        <v>39764.980000000003</v>
      </c>
      <c r="F189" s="11">
        <v>47323.88</v>
      </c>
      <c r="G189" s="11">
        <v>39158.04</v>
      </c>
      <c r="H189" s="3"/>
      <c r="I189" s="11">
        <v>55000</v>
      </c>
      <c r="J189" s="11">
        <v>55000</v>
      </c>
      <c r="K189" s="3"/>
      <c r="L189" s="11">
        <v>55000</v>
      </c>
      <c r="M189" s="38">
        <f t="shared" ref="M189:M202" si="7">+L189/J189</f>
        <v>1</v>
      </c>
    </row>
    <row r="190" spans="1:13" hidden="1" x14ac:dyDescent="0.25">
      <c r="A190" s="14">
        <v>6030603</v>
      </c>
      <c r="B190" s="15" t="s">
        <v>252</v>
      </c>
      <c r="C190" s="16"/>
      <c r="D190" s="11"/>
      <c r="E190" s="11"/>
      <c r="F190" s="11"/>
      <c r="G190" s="11">
        <v>1053.7</v>
      </c>
      <c r="H190" s="3"/>
      <c r="I190" s="11"/>
      <c r="J190" s="11">
        <v>2500</v>
      </c>
      <c r="K190" s="3"/>
      <c r="L190" s="11">
        <v>5000</v>
      </c>
      <c r="M190" s="38">
        <f t="shared" si="7"/>
        <v>2</v>
      </c>
    </row>
    <row r="191" spans="1:13" hidden="1" x14ac:dyDescent="0.25">
      <c r="A191" s="14">
        <v>6030605</v>
      </c>
      <c r="B191" s="15" t="s">
        <v>148</v>
      </c>
      <c r="C191" s="16"/>
      <c r="D191" s="11"/>
      <c r="E191" s="11"/>
      <c r="F191" s="11">
        <v>60.52</v>
      </c>
      <c r="G191" s="11">
        <v>298.3</v>
      </c>
      <c r="H191" s="3"/>
      <c r="I191" s="11"/>
      <c r="J191" s="11">
        <v>500</v>
      </c>
      <c r="K191" s="3"/>
      <c r="L191" s="11">
        <v>500</v>
      </c>
      <c r="M191" s="38">
        <f t="shared" si="7"/>
        <v>1</v>
      </c>
    </row>
    <row r="192" spans="1:13" hidden="1" x14ac:dyDescent="0.25">
      <c r="A192" s="14" t="s">
        <v>253</v>
      </c>
      <c r="B192" s="15" t="s">
        <v>254</v>
      </c>
      <c r="C192" s="16">
        <v>34396</v>
      </c>
      <c r="D192" s="11">
        <v>27464.74</v>
      </c>
      <c r="E192" s="11">
        <v>37672.65</v>
      </c>
      <c r="F192" s="11">
        <v>37423.78</v>
      </c>
      <c r="G192" s="11">
        <v>30506.62</v>
      </c>
      <c r="H192" s="3"/>
      <c r="I192" s="11">
        <v>25000</v>
      </c>
      <c r="J192" s="11">
        <v>35000</v>
      </c>
      <c r="K192" s="3"/>
      <c r="L192" s="11">
        <v>30000</v>
      </c>
      <c r="M192" s="38">
        <f t="shared" si="7"/>
        <v>0.8571428571428571</v>
      </c>
    </row>
    <row r="193" spans="1:13" hidden="1" x14ac:dyDescent="0.25">
      <c r="A193" s="14" t="s">
        <v>255</v>
      </c>
      <c r="B193" s="15" t="s">
        <v>152</v>
      </c>
      <c r="C193" s="16">
        <v>10778</v>
      </c>
      <c r="D193" s="11">
        <v>10367.9</v>
      </c>
      <c r="E193" s="11">
        <v>12796.5</v>
      </c>
      <c r="F193" s="11">
        <v>5873</v>
      </c>
      <c r="G193" s="11">
        <v>2134</v>
      </c>
      <c r="H193" s="3"/>
      <c r="I193" s="11">
        <v>20000</v>
      </c>
      <c r="J193" s="11">
        <v>5000</v>
      </c>
      <c r="K193" s="3"/>
      <c r="L193" s="11">
        <v>5000</v>
      </c>
      <c r="M193" s="38">
        <f t="shared" si="7"/>
        <v>1</v>
      </c>
    </row>
    <row r="194" spans="1:13" hidden="1" x14ac:dyDescent="0.25">
      <c r="A194" s="14">
        <v>6031125</v>
      </c>
      <c r="B194" s="15" t="s">
        <v>256</v>
      </c>
      <c r="C194" s="16"/>
      <c r="D194" s="11"/>
      <c r="E194" s="11"/>
      <c r="F194" s="11"/>
      <c r="G194" s="11"/>
      <c r="H194" s="3"/>
      <c r="I194" s="11"/>
      <c r="J194" s="11"/>
      <c r="K194" s="3"/>
      <c r="L194" s="11">
        <v>5000</v>
      </c>
    </row>
    <row r="195" spans="1:13" hidden="1" x14ac:dyDescent="0.25">
      <c r="A195" s="14" t="s">
        <v>257</v>
      </c>
      <c r="B195" s="15" t="s">
        <v>154</v>
      </c>
      <c r="C195" s="16">
        <v>79702</v>
      </c>
      <c r="D195" s="11">
        <v>130573.42</v>
      </c>
      <c r="E195" s="11">
        <v>122123.95</v>
      </c>
      <c r="F195" s="11">
        <v>133717.14000000001</v>
      </c>
      <c r="G195" s="11">
        <v>93612.93</v>
      </c>
      <c r="H195" s="3"/>
      <c r="I195" s="11">
        <v>150000</v>
      </c>
      <c r="J195" s="11">
        <v>150000</v>
      </c>
      <c r="K195" s="3"/>
      <c r="L195" s="11">
        <v>150000</v>
      </c>
      <c r="M195" s="38">
        <f t="shared" si="7"/>
        <v>1</v>
      </c>
    </row>
    <row r="196" spans="1:13" hidden="1" x14ac:dyDescent="0.25">
      <c r="A196" s="14" t="s">
        <v>258</v>
      </c>
      <c r="B196" s="15" t="s">
        <v>156</v>
      </c>
      <c r="C196" s="16">
        <v>1251</v>
      </c>
      <c r="D196" s="11">
        <v>1205.47</v>
      </c>
      <c r="E196" s="11">
        <v>676.74</v>
      </c>
      <c r="F196" s="11">
        <v>26669.61</v>
      </c>
      <c r="G196" s="11">
        <v>20247.98</v>
      </c>
      <c r="H196" s="3"/>
      <c r="I196" s="11">
        <v>1000</v>
      </c>
      <c r="J196" s="11">
        <v>25000</v>
      </c>
      <c r="K196" s="3"/>
      <c r="L196" s="11">
        <v>30000</v>
      </c>
      <c r="M196" s="38">
        <f t="shared" si="7"/>
        <v>1.2</v>
      </c>
    </row>
    <row r="197" spans="1:13" hidden="1" x14ac:dyDescent="0.25">
      <c r="A197" s="14" t="s">
        <v>259</v>
      </c>
      <c r="B197" s="15" t="s">
        <v>260</v>
      </c>
      <c r="C197" s="16">
        <v>12089</v>
      </c>
      <c r="D197" s="11">
        <v>7365.48</v>
      </c>
      <c r="E197" s="11">
        <v>12852.77</v>
      </c>
      <c r="F197" s="11">
        <v>30031.31</v>
      </c>
      <c r="G197" s="11">
        <v>7534.9</v>
      </c>
      <c r="H197" s="3"/>
      <c r="I197" s="11">
        <v>15000</v>
      </c>
      <c r="J197" s="11">
        <v>13000</v>
      </c>
      <c r="K197" s="3"/>
      <c r="L197" s="11">
        <v>20000</v>
      </c>
      <c r="M197" s="38">
        <f t="shared" si="7"/>
        <v>1.5384615384615385</v>
      </c>
    </row>
    <row r="198" spans="1:13" hidden="1" x14ac:dyDescent="0.25">
      <c r="A198" s="14">
        <v>6031425</v>
      </c>
      <c r="B198" s="15" t="s">
        <v>261</v>
      </c>
      <c r="C198" s="16">
        <v>0</v>
      </c>
      <c r="D198" s="11"/>
      <c r="E198" s="11"/>
      <c r="F198" s="11">
        <v>95</v>
      </c>
      <c r="G198" s="11">
        <v>596.29999999999995</v>
      </c>
      <c r="H198" s="3"/>
      <c r="I198" s="11"/>
      <c r="J198" s="11">
        <v>1000</v>
      </c>
      <c r="K198" s="3"/>
      <c r="L198" s="11">
        <v>2500</v>
      </c>
      <c r="M198" s="38">
        <f t="shared" si="7"/>
        <v>2.5</v>
      </c>
    </row>
    <row r="199" spans="1:13" hidden="1" x14ac:dyDescent="0.25">
      <c r="A199" s="14">
        <v>6031450</v>
      </c>
      <c r="B199" s="15" t="s">
        <v>262</v>
      </c>
      <c r="C199" s="16">
        <v>0</v>
      </c>
      <c r="D199" s="11"/>
      <c r="E199" s="11"/>
      <c r="F199" s="11">
        <v>3769.13</v>
      </c>
      <c r="G199" s="11">
        <v>950</v>
      </c>
      <c r="H199" s="3"/>
      <c r="I199" s="11"/>
      <c r="J199" s="11">
        <v>1000</v>
      </c>
      <c r="K199" s="3"/>
      <c r="L199" s="11">
        <v>2500</v>
      </c>
      <c r="M199" s="38">
        <f t="shared" si="7"/>
        <v>2.5</v>
      </c>
    </row>
    <row r="200" spans="1:13" hidden="1" x14ac:dyDescent="0.25">
      <c r="A200" s="14">
        <v>6031475</v>
      </c>
      <c r="B200" s="15" t="s">
        <v>263</v>
      </c>
      <c r="C200" s="16">
        <v>0</v>
      </c>
      <c r="D200" s="11"/>
      <c r="E200" s="11"/>
      <c r="F200" s="11">
        <v>24300.38</v>
      </c>
      <c r="G200" s="11">
        <v>22633.52</v>
      </c>
      <c r="H200" s="3"/>
      <c r="I200" s="11">
        <v>14000</v>
      </c>
      <c r="J200" s="11">
        <v>25000</v>
      </c>
      <c r="K200" s="3"/>
      <c r="L200" s="11">
        <v>35000</v>
      </c>
      <c r="M200" s="38">
        <f t="shared" si="7"/>
        <v>1.4</v>
      </c>
    </row>
    <row r="201" spans="1:13" hidden="1" x14ac:dyDescent="0.25">
      <c r="A201" s="14" t="s">
        <v>264</v>
      </c>
      <c r="B201" s="15" t="s">
        <v>160</v>
      </c>
      <c r="C201" s="16">
        <v>3315</v>
      </c>
      <c r="D201" s="11">
        <v>12980.28</v>
      </c>
      <c r="E201" s="11">
        <v>9569.81</v>
      </c>
      <c r="F201" s="11">
        <v>30857.39</v>
      </c>
      <c r="G201" s="11">
        <v>13232.95</v>
      </c>
      <c r="H201" s="3"/>
      <c r="I201" s="11">
        <v>12000</v>
      </c>
      <c r="J201" s="11">
        <v>15000</v>
      </c>
      <c r="K201" s="3"/>
      <c r="L201" s="11">
        <v>15000</v>
      </c>
      <c r="M201" s="38">
        <f t="shared" si="7"/>
        <v>1</v>
      </c>
    </row>
    <row r="202" spans="1:13" hidden="1" x14ac:dyDescent="0.25">
      <c r="A202" s="14">
        <v>6031550</v>
      </c>
      <c r="B202" s="15" t="s">
        <v>265</v>
      </c>
      <c r="C202" s="16">
        <v>0</v>
      </c>
      <c r="D202" s="11"/>
      <c r="E202" s="11"/>
      <c r="F202" s="11">
        <v>38652.86</v>
      </c>
      <c r="G202" s="11">
        <v>19372.22</v>
      </c>
      <c r="H202" s="3"/>
      <c r="I202" s="11">
        <v>8000</v>
      </c>
      <c r="J202" s="11">
        <v>20000</v>
      </c>
      <c r="K202" s="3"/>
      <c r="L202" s="11">
        <v>12000</v>
      </c>
      <c r="M202" s="38">
        <f t="shared" si="7"/>
        <v>0.6</v>
      </c>
    </row>
    <row r="203" spans="1:13" hidden="1" x14ac:dyDescent="0.25">
      <c r="A203" s="14">
        <v>6031600</v>
      </c>
      <c r="B203" s="15" t="s">
        <v>162</v>
      </c>
      <c r="C203" s="16">
        <v>0</v>
      </c>
      <c r="D203" s="11"/>
      <c r="E203" s="11"/>
      <c r="F203" s="11">
        <v>127.5</v>
      </c>
      <c r="G203" s="11">
        <v>0</v>
      </c>
      <c r="H203" s="3"/>
      <c r="I203" s="11"/>
      <c r="J203" s="11">
        <v>0</v>
      </c>
      <c r="K203" s="3"/>
      <c r="L203" s="11"/>
    </row>
    <row r="204" spans="1:13" hidden="1" x14ac:dyDescent="0.25">
      <c r="A204" s="14" t="s">
        <v>266</v>
      </c>
      <c r="B204" s="15" t="s">
        <v>80</v>
      </c>
      <c r="C204" s="16">
        <v>7736</v>
      </c>
      <c r="D204" s="11">
        <v>5581.8</v>
      </c>
      <c r="E204" s="11">
        <v>2006.93</v>
      </c>
      <c r="F204" s="11">
        <v>9088.06</v>
      </c>
      <c r="G204" s="11">
        <v>10108.780000000001</v>
      </c>
      <c r="H204" s="3"/>
      <c r="I204" s="11">
        <v>5000</v>
      </c>
      <c r="J204" s="11">
        <v>11000</v>
      </c>
      <c r="K204" s="3"/>
      <c r="L204" s="11">
        <v>15000</v>
      </c>
      <c r="M204" s="38">
        <f>+L204/J204</f>
        <v>1.3636363636363635</v>
      </c>
    </row>
    <row r="205" spans="1:13" hidden="1" x14ac:dyDescent="0.25">
      <c r="A205" s="14" t="s">
        <v>267</v>
      </c>
      <c r="B205" s="15" t="s">
        <v>164</v>
      </c>
      <c r="C205" s="16">
        <v>22395</v>
      </c>
      <c r="D205" s="11">
        <v>13233.24</v>
      </c>
      <c r="E205" s="11">
        <v>6173.44</v>
      </c>
      <c r="F205" s="11">
        <v>18739.400000000001</v>
      </c>
      <c r="G205" s="11">
        <v>48228.57</v>
      </c>
      <c r="H205" s="3"/>
      <c r="I205" s="11">
        <v>10000</v>
      </c>
      <c r="J205" s="11">
        <v>50000</v>
      </c>
      <c r="K205" s="3"/>
      <c r="L205" s="11">
        <v>50000</v>
      </c>
      <c r="M205" s="38">
        <f>+L205/J205</f>
        <v>1</v>
      </c>
    </row>
    <row r="206" spans="1:13" hidden="1" x14ac:dyDescent="0.25">
      <c r="A206" s="14" t="s">
        <v>268</v>
      </c>
      <c r="B206" s="15" t="s">
        <v>269</v>
      </c>
      <c r="C206" s="16">
        <v>0</v>
      </c>
      <c r="D206" s="11">
        <v>1016.49</v>
      </c>
      <c r="E206" s="11">
        <v>746.03</v>
      </c>
      <c r="F206" s="11">
        <v>3306.25</v>
      </c>
      <c r="G206" s="11">
        <v>1580.17</v>
      </c>
      <c r="H206" s="3"/>
      <c r="I206" s="11">
        <v>1000</v>
      </c>
      <c r="J206" s="11">
        <v>1000</v>
      </c>
      <c r="K206" s="3"/>
      <c r="L206" s="11">
        <v>1500</v>
      </c>
      <c r="M206" s="38">
        <f>+L206/J206</f>
        <v>1.5</v>
      </c>
    </row>
    <row r="207" spans="1:13" hidden="1" x14ac:dyDescent="0.25">
      <c r="A207" s="14" t="s">
        <v>270</v>
      </c>
      <c r="B207" s="15" t="s">
        <v>191</v>
      </c>
      <c r="C207" s="16">
        <v>69</v>
      </c>
      <c r="D207" s="11">
        <v>141252</v>
      </c>
      <c r="E207" s="11">
        <v>86987.44</v>
      </c>
      <c r="F207" s="11">
        <v>13770.45</v>
      </c>
      <c r="G207" s="11">
        <v>23304.49</v>
      </c>
      <c r="H207" s="3"/>
      <c r="I207" s="11">
        <v>315000</v>
      </c>
      <c r="J207" s="11">
        <v>20000</v>
      </c>
      <c r="K207" s="3"/>
      <c r="L207" s="11">
        <v>10000</v>
      </c>
      <c r="M207" s="38">
        <f>+L207/J207</f>
        <v>0.5</v>
      </c>
    </row>
    <row r="208" spans="1:13" hidden="1" x14ac:dyDescent="0.25">
      <c r="A208" s="21"/>
      <c r="B208" s="22"/>
      <c r="C208" s="16"/>
      <c r="D208" s="11"/>
      <c r="E208" s="11"/>
      <c r="F208" s="11"/>
      <c r="G208" s="11"/>
      <c r="H208" s="3"/>
      <c r="I208" s="11"/>
      <c r="J208" s="11"/>
      <c r="K208" s="3"/>
      <c r="L208" s="11"/>
    </row>
    <row r="209" spans="1:13" hidden="1" x14ac:dyDescent="0.25">
      <c r="A209" s="17" t="s">
        <v>21</v>
      </c>
      <c r="B209" s="18" t="s">
        <v>271</v>
      </c>
      <c r="C209" s="19">
        <f>SUM(C168:C208)</f>
        <v>1579629</v>
      </c>
      <c r="D209" s="11">
        <f>SUM(D168:D208)</f>
        <v>1937252.9199999997</v>
      </c>
      <c r="E209" s="11">
        <f>SUM(E168:E208)</f>
        <v>1746817.6199999994</v>
      </c>
      <c r="F209" s="11">
        <f>SUM(F168:F208)</f>
        <v>2558523.8799999994</v>
      </c>
      <c r="G209" s="11">
        <f>SUM(G168:G208)</f>
        <v>2157668.6200000006</v>
      </c>
      <c r="H209" s="3"/>
      <c r="I209" s="11">
        <f>SUM(I168:I208)</f>
        <v>3155324.91</v>
      </c>
      <c r="J209" s="11">
        <f>SUM(J168:J208)</f>
        <v>3165203.5100000002</v>
      </c>
      <c r="K209" s="3"/>
      <c r="L209" s="11">
        <f>SUM(L168:L208)</f>
        <v>3292677.1609702753</v>
      </c>
      <c r="M209" s="38">
        <f>+L209/J209</f>
        <v>1.040273445472792</v>
      </c>
    </row>
    <row r="210" spans="1:13" hidden="1" x14ac:dyDescent="0.25">
      <c r="D210" s="11"/>
      <c r="E210" s="11"/>
      <c r="F210" s="11"/>
      <c r="G210" s="11"/>
      <c r="H210" s="3"/>
      <c r="I210" s="11"/>
      <c r="J210" s="11"/>
      <c r="K210" s="3"/>
      <c r="L210" s="11"/>
    </row>
    <row r="211" spans="1:13" hidden="1" x14ac:dyDescent="0.25">
      <c r="A211" s="9" t="s">
        <v>272</v>
      </c>
      <c r="B211" s="10" t="s">
        <v>273</v>
      </c>
      <c r="D211" s="11"/>
      <c r="E211" s="11"/>
      <c r="F211" s="11"/>
      <c r="G211" s="11"/>
      <c r="H211" s="3"/>
      <c r="I211" s="11"/>
      <c r="J211" s="11"/>
      <c r="K211" s="3"/>
      <c r="L211" s="11"/>
    </row>
    <row r="212" spans="1:13" hidden="1" x14ac:dyDescent="0.25">
      <c r="A212" s="12" t="s">
        <v>9</v>
      </c>
      <c r="B212" s="13" t="s">
        <v>10</v>
      </c>
      <c r="D212" s="11"/>
      <c r="E212" s="11"/>
      <c r="F212" s="11"/>
      <c r="G212" s="11"/>
      <c r="H212" s="3"/>
      <c r="I212" s="11"/>
      <c r="J212" s="11"/>
      <c r="K212" s="3"/>
      <c r="L212" s="11"/>
    </row>
    <row r="213" spans="1:13" hidden="1" x14ac:dyDescent="0.25">
      <c r="A213" s="14" t="s">
        <v>274</v>
      </c>
      <c r="B213" s="15" t="s">
        <v>275</v>
      </c>
      <c r="C213" s="16">
        <v>9277</v>
      </c>
      <c r="D213" s="11">
        <v>5577.97</v>
      </c>
      <c r="E213" s="11">
        <v>4875.72</v>
      </c>
      <c r="F213" s="11">
        <v>9487.18</v>
      </c>
      <c r="G213" s="11">
        <v>7207</v>
      </c>
      <c r="H213" s="3"/>
      <c r="I213" s="11">
        <v>7500</v>
      </c>
      <c r="J213" s="11">
        <v>7500</v>
      </c>
      <c r="K213" s="3"/>
      <c r="L213" s="11">
        <v>7500</v>
      </c>
      <c r="M213" s="38">
        <f>+L213/J213</f>
        <v>1</v>
      </c>
    </row>
    <row r="214" spans="1:13" hidden="1" x14ac:dyDescent="0.25">
      <c r="A214" s="14" t="s">
        <v>276</v>
      </c>
      <c r="B214" s="15" t="s">
        <v>277</v>
      </c>
      <c r="C214" s="16">
        <v>27128</v>
      </c>
      <c r="D214" s="11">
        <v>25347.39</v>
      </c>
      <c r="E214" s="11">
        <v>24004.85</v>
      </c>
      <c r="F214" s="11">
        <v>50514.7</v>
      </c>
      <c r="G214" s="11">
        <v>49979.66</v>
      </c>
      <c r="H214" s="3"/>
      <c r="I214" s="11">
        <v>70000</v>
      </c>
      <c r="J214" s="11">
        <v>70000</v>
      </c>
      <c r="K214" s="3"/>
      <c r="L214" s="11">
        <v>70000</v>
      </c>
      <c r="M214" s="38">
        <f>+L214/J214</f>
        <v>1</v>
      </c>
    </row>
    <row r="215" spans="1:13" hidden="1" x14ac:dyDescent="0.25">
      <c r="A215" s="14" t="s">
        <v>278</v>
      </c>
      <c r="B215" s="15" t="s">
        <v>279</v>
      </c>
      <c r="C215" s="16">
        <v>14531</v>
      </c>
      <c r="D215" s="11">
        <v>19867.900000000001</v>
      </c>
      <c r="E215" s="11">
        <v>39492.120000000003</v>
      </c>
      <c r="F215" s="11">
        <v>23190.560000000001</v>
      </c>
      <c r="G215" s="11">
        <v>10967.22</v>
      </c>
      <c r="H215" s="3"/>
      <c r="I215" s="11">
        <v>20000</v>
      </c>
      <c r="J215" s="11">
        <v>20000</v>
      </c>
      <c r="K215" s="3"/>
      <c r="L215" s="11">
        <v>20000</v>
      </c>
      <c r="M215" s="38">
        <f>+L215/J215</f>
        <v>1</v>
      </c>
    </row>
    <row r="216" spans="1:13" hidden="1" x14ac:dyDescent="0.25">
      <c r="A216" s="14" t="s">
        <v>280</v>
      </c>
      <c r="B216" s="15" t="s">
        <v>281</v>
      </c>
      <c r="C216" s="16">
        <v>11628</v>
      </c>
      <c r="D216" s="11">
        <v>14296.15</v>
      </c>
      <c r="E216" s="11">
        <v>7727.36</v>
      </c>
      <c r="F216" s="11">
        <v>8328.17</v>
      </c>
      <c r="G216" s="11">
        <v>9746.52</v>
      </c>
      <c r="H216" s="3"/>
      <c r="I216" s="11">
        <v>10000</v>
      </c>
      <c r="J216" s="11">
        <v>10000</v>
      </c>
      <c r="K216" s="3"/>
      <c r="L216" s="11">
        <v>10000</v>
      </c>
      <c r="M216" s="38">
        <f>+L216/J216</f>
        <v>1</v>
      </c>
    </row>
    <row r="217" spans="1:13" hidden="1" x14ac:dyDescent="0.25">
      <c r="A217" s="14" t="s">
        <v>282</v>
      </c>
      <c r="B217" s="15" t="s">
        <v>283</v>
      </c>
      <c r="C217" s="16">
        <v>0</v>
      </c>
      <c r="D217" s="11">
        <v>368.57</v>
      </c>
      <c r="E217" s="11">
        <v>0</v>
      </c>
      <c r="F217" s="11">
        <v>32.909999999999997</v>
      </c>
      <c r="G217" s="11">
        <v>0</v>
      </c>
      <c r="H217" s="3"/>
      <c r="I217" s="11"/>
      <c r="J217" s="11">
        <v>0</v>
      </c>
      <c r="K217" s="3"/>
      <c r="L217" s="11"/>
    </row>
    <row r="218" spans="1:13" hidden="1" x14ac:dyDescent="0.25">
      <c r="A218" s="14" t="s">
        <v>284</v>
      </c>
      <c r="B218" s="15" t="s">
        <v>285</v>
      </c>
      <c r="C218" s="16">
        <v>758</v>
      </c>
      <c r="D218" s="11">
        <v>1656.96</v>
      </c>
      <c r="E218" s="11">
        <v>-2061</v>
      </c>
      <c r="F218" s="11">
        <v>16859.53</v>
      </c>
      <c r="G218" s="11">
        <v>1583.02</v>
      </c>
      <c r="H218" s="3"/>
      <c r="I218" s="11">
        <v>500</v>
      </c>
      <c r="J218" s="11">
        <v>1500</v>
      </c>
      <c r="K218" s="3"/>
      <c r="L218" s="11">
        <v>500</v>
      </c>
      <c r="M218" s="38">
        <f>+L218/J218</f>
        <v>0.33333333333333331</v>
      </c>
    </row>
    <row r="219" spans="1:13" hidden="1" x14ac:dyDescent="0.25">
      <c r="A219" s="14"/>
      <c r="B219" s="15"/>
      <c r="C219" s="16"/>
      <c r="D219" s="11"/>
      <c r="E219" s="11"/>
      <c r="F219" s="11"/>
      <c r="G219" s="11"/>
      <c r="H219" s="3"/>
      <c r="I219" s="11"/>
      <c r="J219" s="11"/>
      <c r="K219" s="3"/>
      <c r="L219" s="11"/>
    </row>
    <row r="220" spans="1:13" hidden="1" x14ac:dyDescent="0.25">
      <c r="A220" s="29"/>
      <c r="B220" s="30" t="s">
        <v>286</v>
      </c>
      <c r="C220" s="16">
        <f>SUM(C213:C218)</f>
        <v>63322</v>
      </c>
      <c r="D220" s="11">
        <f>SUM(D213:D218)</f>
        <v>67114.94</v>
      </c>
      <c r="E220" s="11">
        <f>SUM(E213:E218)</f>
        <v>74039.05</v>
      </c>
      <c r="F220" s="11">
        <f>SUM(F213:F218)</f>
        <v>108413.05</v>
      </c>
      <c r="G220" s="11">
        <f>SUM(G213:G218)</f>
        <v>79483.420000000013</v>
      </c>
      <c r="H220" s="3"/>
      <c r="I220" s="11">
        <f>SUM(I213:I218)</f>
        <v>108000</v>
      </c>
      <c r="J220" s="11">
        <f>SUM(J213:J218)</f>
        <v>109000</v>
      </c>
      <c r="K220" s="3"/>
      <c r="L220" s="11">
        <f>SUM(L213:L218)</f>
        <v>108000</v>
      </c>
      <c r="M220" s="38">
        <f>+L220/J220</f>
        <v>0.99082568807339455</v>
      </c>
    </row>
    <row r="221" spans="1:13" hidden="1" x14ac:dyDescent="0.25">
      <c r="A221" s="29"/>
      <c r="B221" s="30"/>
      <c r="C221" s="16"/>
      <c r="D221" s="11"/>
      <c r="E221" s="11"/>
      <c r="F221" s="11"/>
      <c r="G221" s="11"/>
      <c r="H221" s="3"/>
      <c r="I221" s="11"/>
      <c r="J221" s="11"/>
      <c r="K221" s="3"/>
      <c r="L221" s="11"/>
    </row>
    <row r="222" spans="1:13" hidden="1" x14ac:dyDescent="0.25">
      <c r="A222" s="14" t="s">
        <v>287</v>
      </c>
      <c r="B222" s="15" t="s">
        <v>124</v>
      </c>
      <c r="C222" s="16">
        <v>48451</v>
      </c>
      <c r="D222" s="11">
        <v>88856.51</v>
      </c>
      <c r="E222" s="11">
        <v>74977.039999999994</v>
      </c>
      <c r="F222" s="11">
        <v>104204.26</v>
      </c>
      <c r="G222" s="11">
        <v>66398.89</v>
      </c>
      <c r="H222" s="3"/>
      <c r="I222" s="11">
        <v>103599</v>
      </c>
      <c r="J222" s="11">
        <v>103599</v>
      </c>
      <c r="K222" s="3"/>
      <c r="L222" s="11">
        <f>+'[1]Non-Union - 3.5%'!$I$32+'[1]Non-Union - 3.5%'!$V$32</f>
        <v>108255.20399999998</v>
      </c>
      <c r="M222" s="38">
        <f t="shared" ref="M222:M237" si="8">+L222/J222</f>
        <v>1.0449444878811569</v>
      </c>
    </row>
    <row r="223" spans="1:13" hidden="1" x14ac:dyDescent="0.25">
      <c r="A223" s="14" t="s">
        <v>288</v>
      </c>
      <c r="B223" s="15" t="s">
        <v>126</v>
      </c>
      <c r="C223" s="16">
        <v>3883</v>
      </c>
      <c r="D223" s="11">
        <v>7534.55</v>
      </c>
      <c r="E223" s="11">
        <v>6082.32</v>
      </c>
      <c r="F223" s="11">
        <v>9557.49</v>
      </c>
      <c r="G223" s="11">
        <v>5362.49</v>
      </c>
      <c r="H223" s="3"/>
      <c r="I223" s="11">
        <v>8288</v>
      </c>
      <c r="J223" s="11">
        <v>8288</v>
      </c>
      <c r="K223" s="3"/>
      <c r="L223" s="11">
        <f>+'[1]Non-Union - 3.5%'!$P$32+'[1]Non-Union - 3.5%'!$Z$32</f>
        <v>8660.4163200000003</v>
      </c>
      <c r="M223" s="38">
        <f t="shared" si="8"/>
        <v>1.0449344015444015</v>
      </c>
    </row>
    <row r="224" spans="1:13" hidden="1" x14ac:dyDescent="0.25">
      <c r="A224" s="14" t="s">
        <v>289</v>
      </c>
      <c r="B224" s="15" t="s">
        <v>128</v>
      </c>
      <c r="C224" s="16">
        <v>11397</v>
      </c>
      <c r="D224" s="11">
        <v>11398.2</v>
      </c>
      <c r="E224" s="11">
        <v>12847.24</v>
      </c>
      <c r="F224" s="11">
        <v>36232.839999999997</v>
      </c>
      <c r="G224" s="11">
        <v>43496.77</v>
      </c>
      <c r="H224" s="3"/>
      <c r="I224" s="11">
        <v>50740</v>
      </c>
      <c r="J224" s="11">
        <v>50740</v>
      </c>
      <c r="K224" s="3"/>
      <c r="L224" s="11">
        <f>+SUM('[1]Non-Union - 3.5%'!$K$32:$N$32)</f>
        <v>81043.34</v>
      </c>
      <c r="M224" s="38">
        <f t="shared" si="8"/>
        <v>1.5972278281434764</v>
      </c>
    </row>
    <row r="225" spans="1:13" hidden="1" x14ac:dyDescent="0.25">
      <c r="A225" s="14" t="s">
        <v>290</v>
      </c>
      <c r="B225" s="15" t="s">
        <v>130</v>
      </c>
      <c r="C225" s="16">
        <v>1389</v>
      </c>
      <c r="D225" s="11">
        <v>1644.01</v>
      </c>
      <c r="E225" s="11">
        <v>2017.34</v>
      </c>
      <c r="F225" s="11">
        <v>1439.93</v>
      </c>
      <c r="G225" s="11">
        <v>1134.0999999999999</v>
      </c>
      <c r="H225" s="3"/>
      <c r="I225" s="11">
        <v>3108</v>
      </c>
      <c r="J225" s="11">
        <v>3108</v>
      </c>
      <c r="K225" s="3"/>
      <c r="L225" s="11">
        <f>+'[1]Non-Union - 3.5%'!$O$32+'[1]Non-Union - 3.5%'!$X$32</f>
        <v>1757.7979424999996</v>
      </c>
      <c r="M225" s="38">
        <f t="shared" si="8"/>
        <v>0.56557205357142848</v>
      </c>
    </row>
    <row r="226" spans="1:13" hidden="1" x14ac:dyDescent="0.25">
      <c r="A226" s="14" t="s">
        <v>291</v>
      </c>
      <c r="B226" s="15" t="s">
        <v>171</v>
      </c>
      <c r="C226" s="16">
        <v>619</v>
      </c>
      <c r="D226" s="11">
        <v>1144.03</v>
      </c>
      <c r="E226" s="11">
        <v>1059.58</v>
      </c>
      <c r="F226" s="11">
        <v>1475.13</v>
      </c>
      <c r="G226" s="11">
        <v>853.75</v>
      </c>
      <c r="H226" s="3"/>
      <c r="I226" s="11">
        <v>1000</v>
      </c>
      <c r="J226" s="11">
        <v>1000</v>
      </c>
      <c r="K226" s="3"/>
      <c r="L226" s="11">
        <v>1000</v>
      </c>
      <c r="M226" s="38">
        <f t="shared" si="8"/>
        <v>1</v>
      </c>
    </row>
    <row r="227" spans="1:13" hidden="1" x14ac:dyDescent="0.25">
      <c r="A227" s="14" t="s">
        <v>292</v>
      </c>
      <c r="B227" s="15" t="s">
        <v>132</v>
      </c>
      <c r="C227" s="16">
        <v>2386</v>
      </c>
      <c r="D227" s="11">
        <v>1856.23</v>
      </c>
      <c r="E227" s="11">
        <v>1566.85</v>
      </c>
      <c r="F227" s="11">
        <v>1388.72</v>
      </c>
      <c r="G227" s="11">
        <v>2564.87</v>
      </c>
      <c r="H227" s="3"/>
      <c r="I227" s="11">
        <v>3191</v>
      </c>
      <c r="J227" s="11">
        <v>3191</v>
      </c>
      <c r="K227" s="3"/>
      <c r="L227" s="11">
        <f>+'[1]Non-Union - 3.5%'!$R$32+'[1]Non-Union - 3.5%'!$Y$32</f>
        <v>3334.2602831999998</v>
      </c>
      <c r="M227" s="38">
        <f t="shared" si="8"/>
        <v>1.0448951059855844</v>
      </c>
    </row>
    <row r="228" spans="1:13" hidden="1" x14ac:dyDescent="0.25">
      <c r="A228" s="14">
        <v>6040300</v>
      </c>
      <c r="B228" s="15" t="s">
        <v>134</v>
      </c>
      <c r="C228" s="16">
        <v>0</v>
      </c>
      <c r="D228" s="11">
        <v>0</v>
      </c>
      <c r="E228" s="11">
        <v>8572.33</v>
      </c>
      <c r="F228" s="11">
        <v>8903.25</v>
      </c>
      <c r="G228" s="11">
        <v>11898</v>
      </c>
      <c r="H228" s="3"/>
      <c r="I228" s="11">
        <v>10000</v>
      </c>
      <c r="J228" s="11">
        <v>10000</v>
      </c>
      <c r="K228" s="3"/>
      <c r="L228" s="11">
        <v>10000</v>
      </c>
      <c r="M228" s="38">
        <f t="shared" si="8"/>
        <v>1</v>
      </c>
    </row>
    <row r="229" spans="1:13" hidden="1" x14ac:dyDescent="0.25">
      <c r="A229" s="14">
        <v>6040310</v>
      </c>
      <c r="B229" s="15" t="s">
        <v>136</v>
      </c>
      <c r="C229" s="16">
        <v>0</v>
      </c>
      <c r="D229" s="11">
        <v>0</v>
      </c>
      <c r="E229" s="11">
        <v>706.65</v>
      </c>
      <c r="F229" s="11">
        <v>830.74</v>
      </c>
      <c r="G229" s="11">
        <v>1017.92</v>
      </c>
      <c r="H229" s="3"/>
      <c r="I229" s="11">
        <v>900</v>
      </c>
      <c r="J229" s="11">
        <v>900</v>
      </c>
      <c r="K229" s="3"/>
      <c r="L229" s="11">
        <v>1000</v>
      </c>
      <c r="M229" s="38">
        <f t="shared" si="8"/>
        <v>1.1111111111111112</v>
      </c>
    </row>
    <row r="230" spans="1:13" hidden="1" x14ac:dyDescent="0.25">
      <c r="A230" s="14">
        <v>6040350</v>
      </c>
      <c r="B230" s="15" t="s">
        <v>138</v>
      </c>
      <c r="C230" s="16"/>
      <c r="D230" s="11"/>
      <c r="E230" s="11"/>
      <c r="F230" s="11">
        <v>563.01</v>
      </c>
      <c r="G230" s="11">
        <v>227.32</v>
      </c>
      <c r="H230" s="3"/>
      <c r="I230" s="11"/>
      <c r="J230" s="11">
        <v>0</v>
      </c>
      <c r="K230" s="3"/>
      <c r="L230" s="11">
        <f>+L228*3.08/100</f>
        <v>308</v>
      </c>
    </row>
    <row r="231" spans="1:13" hidden="1" x14ac:dyDescent="0.25">
      <c r="A231" s="14" t="s">
        <v>293</v>
      </c>
      <c r="B231" s="15" t="s">
        <v>140</v>
      </c>
      <c r="C231" s="16">
        <v>4014</v>
      </c>
      <c r="D231" s="11">
        <v>4235.8900000000003</v>
      </c>
      <c r="E231" s="11">
        <v>2757.43</v>
      </c>
      <c r="F231" s="11">
        <v>3496.7</v>
      </c>
      <c r="G231" s="11">
        <v>2711.72</v>
      </c>
      <c r="H231" s="3"/>
      <c r="I231" s="11">
        <v>2500</v>
      </c>
      <c r="J231" s="11">
        <v>2500</v>
      </c>
      <c r="K231" s="3"/>
      <c r="L231" s="11">
        <v>3000</v>
      </c>
      <c r="M231" s="38">
        <f t="shared" si="8"/>
        <v>1.2</v>
      </c>
    </row>
    <row r="232" spans="1:13" hidden="1" x14ac:dyDescent="0.25">
      <c r="A232" s="14" t="s">
        <v>294</v>
      </c>
      <c r="B232" s="15" t="s">
        <v>146</v>
      </c>
      <c r="C232" s="16">
        <v>473</v>
      </c>
      <c r="D232" s="11">
        <v>853.69</v>
      </c>
      <c r="E232" s="11">
        <v>16.989999999999998</v>
      </c>
      <c r="F232" s="11">
        <v>1099.22</v>
      </c>
      <c r="G232" s="11">
        <v>3000</v>
      </c>
      <c r="H232" s="3"/>
      <c r="I232" s="11">
        <v>1000</v>
      </c>
      <c r="J232" s="11">
        <v>1000</v>
      </c>
      <c r="K232" s="3"/>
      <c r="L232" s="11">
        <v>1500</v>
      </c>
      <c r="M232" s="38">
        <f t="shared" si="8"/>
        <v>1.5</v>
      </c>
    </row>
    <row r="233" spans="1:13" hidden="1" x14ac:dyDescent="0.25">
      <c r="A233" s="14" t="s">
        <v>295</v>
      </c>
      <c r="B233" s="15" t="s">
        <v>182</v>
      </c>
      <c r="C233" s="16">
        <v>2193</v>
      </c>
      <c r="D233" s="11">
        <v>5278.05</v>
      </c>
      <c r="E233" s="11">
        <v>5053.07</v>
      </c>
      <c r="F233" s="11">
        <v>5451.43</v>
      </c>
      <c r="G233" s="11">
        <v>4691.25</v>
      </c>
      <c r="H233" s="3"/>
      <c r="I233" s="11">
        <v>8000</v>
      </c>
      <c r="J233" s="11">
        <v>8000</v>
      </c>
      <c r="K233" s="3"/>
      <c r="L233" s="11">
        <v>8000</v>
      </c>
      <c r="M233" s="38">
        <f t="shared" si="8"/>
        <v>1</v>
      </c>
    </row>
    <row r="234" spans="1:13" hidden="1" x14ac:dyDescent="0.25">
      <c r="A234" s="14" t="s">
        <v>296</v>
      </c>
      <c r="B234" s="15" t="s">
        <v>254</v>
      </c>
      <c r="C234" s="16">
        <v>2199</v>
      </c>
      <c r="D234" s="11">
        <v>176.26</v>
      </c>
      <c r="E234" s="11">
        <v>2403.52</v>
      </c>
      <c r="F234" s="11">
        <v>2389.83</v>
      </c>
      <c r="G234" s="11">
        <v>332.52</v>
      </c>
      <c r="H234" s="3"/>
      <c r="I234" s="11">
        <v>2500</v>
      </c>
      <c r="J234" s="11">
        <v>2500</v>
      </c>
      <c r="K234" s="3"/>
      <c r="L234" s="11">
        <v>500</v>
      </c>
      <c r="M234" s="38">
        <f t="shared" si="8"/>
        <v>0.2</v>
      </c>
    </row>
    <row r="235" spans="1:13" hidden="1" x14ac:dyDescent="0.25">
      <c r="A235" s="14" t="s">
        <v>297</v>
      </c>
      <c r="B235" s="15" t="s">
        <v>160</v>
      </c>
      <c r="C235" s="16">
        <v>0</v>
      </c>
      <c r="D235" s="11">
        <v>6329.32</v>
      </c>
      <c r="E235" s="11">
        <v>4338.3</v>
      </c>
      <c r="F235" s="11">
        <v>6937.69</v>
      </c>
      <c r="G235" s="11">
        <v>2950.44</v>
      </c>
      <c r="H235" s="3"/>
      <c r="I235" s="11">
        <v>5000</v>
      </c>
      <c r="J235" s="11">
        <v>5000</v>
      </c>
      <c r="K235" s="3"/>
      <c r="L235" s="11">
        <v>5000</v>
      </c>
      <c r="M235" s="38">
        <f t="shared" si="8"/>
        <v>1</v>
      </c>
    </row>
    <row r="236" spans="1:13" hidden="1" x14ac:dyDescent="0.25">
      <c r="A236" s="14" t="s">
        <v>298</v>
      </c>
      <c r="B236" s="15" t="s">
        <v>80</v>
      </c>
      <c r="C236" s="16">
        <v>2718</v>
      </c>
      <c r="D236" s="11">
        <v>177.96</v>
      </c>
      <c r="E236" s="11">
        <v>142.22999999999999</v>
      </c>
      <c r="F236" s="11">
        <v>521.03</v>
      </c>
      <c r="G236" s="11">
        <v>36.24</v>
      </c>
      <c r="H236" s="3"/>
      <c r="I236" s="11">
        <v>150</v>
      </c>
      <c r="J236" s="11">
        <v>150</v>
      </c>
      <c r="K236" s="3"/>
      <c r="L236" s="11">
        <v>150</v>
      </c>
      <c r="M236" s="38">
        <f t="shared" si="8"/>
        <v>1</v>
      </c>
    </row>
    <row r="237" spans="1:13" hidden="1" x14ac:dyDescent="0.25">
      <c r="A237" s="14" t="s">
        <v>299</v>
      </c>
      <c r="B237" s="15" t="s">
        <v>164</v>
      </c>
      <c r="C237" s="16">
        <v>380</v>
      </c>
      <c r="D237" s="11">
        <v>75.31</v>
      </c>
      <c r="E237" s="11">
        <v>377.06</v>
      </c>
      <c r="F237" s="11">
        <v>117.86</v>
      </c>
      <c r="G237" s="11">
        <v>93.92</v>
      </c>
      <c r="H237" s="3"/>
      <c r="I237" s="11">
        <v>2500</v>
      </c>
      <c r="J237" s="11">
        <v>2500</v>
      </c>
      <c r="K237" s="3"/>
      <c r="L237" s="11">
        <v>2500</v>
      </c>
      <c r="M237" s="38">
        <f t="shared" si="8"/>
        <v>1</v>
      </c>
    </row>
    <row r="238" spans="1:13" hidden="1" x14ac:dyDescent="0.25">
      <c r="A238" s="14">
        <v>6042000</v>
      </c>
      <c r="B238" s="15" t="s">
        <v>300</v>
      </c>
      <c r="C238" s="16">
        <v>3327</v>
      </c>
      <c r="D238" s="11">
        <v>9920</v>
      </c>
      <c r="E238" s="11">
        <v>35098.980000000003</v>
      </c>
      <c r="F238" s="11">
        <v>3079.11</v>
      </c>
      <c r="G238" s="11"/>
      <c r="H238" s="3"/>
      <c r="I238" s="11"/>
      <c r="J238" s="11"/>
      <c r="K238" s="3"/>
      <c r="L238" s="11">
        <v>5000</v>
      </c>
    </row>
    <row r="239" spans="1:13" hidden="1" x14ac:dyDescent="0.25">
      <c r="A239" s="14"/>
      <c r="B239" s="15"/>
      <c r="C239" s="16"/>
      <c r="D239" s="11"/>
      <c r="E239" s="11"/>
      <c r="F239" s="11"/>
      <c r="G239" s="11"/>
      <c r="H239" s="3"/>
      <c r="I239" s="11"/>
      <c r="J239" s="11"/>
      <c r="K239" s="3"/>
      <c r="L239" s="11"/>
    </row>
    <row r="240" spans="1:13" hidden="1" x14ac:dyDescent="0.25">
      <c r="A240" s="29"/>
      <c r="B240" s="30" t="s">
        <v>301</v>
      </c>
      <c r="C240" s="16">
        <f>SUM(C222:C238)</f>
        <v>83429</v>
      </c>
      <c r="D240" s="11">
        <f>SUM(D222:D238)</f>
        <v>139480.01</v>
      </c>
      <c r="E240" s="11">
        <f>SUM(E222:E238)</f>
        <v>158016.93</v>
      </c>
      <c r="F240" s="11">
        <f>SUM(F222:F238)</f>
        <v>187688.23999999996</v>
      </c>
      <c r="G240" s="11">
        <f>SUM(G222:G238)</f>
        <v>146770.20000000001</v>
      </c>
      <c r="H240" s="3"/>
      <c r="I240" s="11">
        <f>SUM(I222:I238)</f>
        <v>202476</v>
      </c>
      <c r="J240" s="11">
        <f>SUM(J222:J238)</f>
        <v>202476</v>
      </c>
      <c r="K240" s="3"/>
      <c r="L240" s="11">
        <f>SUM(L222:L238)</f>
        <v>241009.0185457</v>
      </c>
      <c r="M240" s="38">
        <f>+L240/J240</f>
        <v>1.1903090664854106</v>
      </c>
    </row>
    <row r="241" spans="1:13" hidden="1" x14ac:dyDescent="0.25">
      <c r="A241" s="29"/>
      <c r="B241" s="30"/>
      <c r="C241" s="16"/>
      <c r="D241" s="11"/>
      <c r="E241" s="11"/>
      <c r="F241" s="11"/>
      <c r="G241" s="11"/>
      <c r="H241" s="3"/>
      <c r="I241" s="11"/>
      <c r="J241" s="11"/>
      <c r="K241" s="3"/>
      <c r="L241" s="11"/>
    </row>
    <row r="242" spans="1:13" hidden="1" x14ac:dyDescent="0.25">
      <c r="A242" s="17" t="s">
        <v>21</v>
      </c>
      <c r="B242" s="18" t="s">
        <v>302</v>
      </c>
      <c r="C242" s="25">
        <f>+C240+C220</f>
        <v>146751</v>
      </c>
      <c r="D242" s="11">
        <f>+D240+D220</f>
        <v>206594.95</v>
      </c>
      <c r="E242" s="11">
        <f t="shared" ref="E242:J242" si="9">+E240+E220</f>
        <v>232055.97999999998</v>
      </c>
      <c r="F242" s="11">
        <f t="shared" si="9"/>
        <v>296101.28999999998</v>
      </c>
      <c r="G242" s="11">
        <f t="shared" si="9"/>
        <v>226253.62000000002</v>
      </c>
      <c r="H242" s="3"/>
      <c r="I242" s="11">
        <f t="shared" si="9"/>
        <v>310476</v>
      </c>
      <c r="J242" s="11">
        <f t="shared" si="9"/>
        <v>311476</v>
      </c>
      <c r="K242" s="3"/>
      <c r="L242" s="11">
        <f>+L240+L220</f>
        <v>349009.0185457</v>
      </c>
      <c r="M242" s="38">
        <f>+L242/J242</f>
        <v>1.1205005154352181</v>
      </c>
    </row>
    <row r="243" spans="1:13" hidden="1" x14ac:dyDescent="0.25">
      <c r="D243" s="11"/>
      <c r="E243" s="11"/>
      <c r="F243" s="11"/>
      <c r="G243" s="11"/>
      <c r="H243" s="3"/>
      <c r="I243" s="11"/>
      <c r="J243" s="11"/>
      <c r="K243" s="3"/>
      <c r="L243" s="11"/>
    </row>
    <row r="244" spans="1:13" x14ac:dyDescent="0.25">
      <c r="A244" s="9" t="s">
        <v>303</v>
      </c>
      <c r="B244" s="10" t="s">
        <v>304</v>
      </c>
      <c r="D244" s="11"/>
      <c r="E244" s="11"/>
      <c r="F244" s="11"/>
      <c r="G244" s="11"/>
      <c r="H244" s="3"/>
      <c r="I244" s="11"/>
      <c r="J244" s="11"/>
      <c r="K244" s="3"/>
      <c r="L244" s="11"/>
    </row>
    <row r="245" spans="1:13" x14ac:dyDescent="0.25">
      <c r="A245" s="12" t="s">
        <v>9</v>
      </c>
      <c r="B245" s="13" t="s">
        <v>10</v>
      </c>
      <c r="D245" s="11"/>
      <c r="E245" s="11"/>
      <c r="F245" s="11"/>
      <c r="G245" s="11"/>
      <c r="H245" s="3"/>
      <c r="I245" s="11"/>
      <c r="J245" s="11"/>
      <c r="K245" s="3"/>
      <c r="L245" s="11"/>
    </row>
    <row r="246" spans="1:13" x14ac:dyDescent="0.25">
      <c r="A246" s="14" t="s">
        <v>305</v>
      </c>
      <c r="B246" s="15" t="s">
        <v>124</v>
      </c>
      <c r="C246" s="16">
        <v>342053</v>
      </c>
      <c r="D246" s="11">
        <v>325114.84999999998</v>
      </c>
      <c r="E246" s="11">
        <v>17769.150000000001</v>
      </c>
      <c r="F246" s="11">
        <v>23319.919999999998</v>
      </c>
      <c r="G246" s="11">
        <v>16313.84</v>
      </c>
      <c r="H246" s="3"/>
      <c r="I246" s="11">
        <v>25000</v>
      </c>
      <c r="J246" s="11">
        <v>25000</v>
      </c>
      <c r="K246" s="3"/>
      <c r="L246" s="11">
        <v>25875</v>
      </c>
      <c r="M246" s="38">
        <f t="shared" ref="M246:M251" si="10">+L246/J246</f>
        <v>1.0349999999999999</v>
      </c>
    </row>
    <row r="247" spans="1:13" x14ac:dyDescent="0.25">
      <c r="A247" s="14" t="s">
        <v>306</v>
      </c>
      <c r="B247" s="15" t="s">
        <v>126</v>
      </c>
      <c r="C247" s="16">
        <v>32251</v>
      </c>
      <c r="D247" s="11">
        <v>31248.5</v>
      </c>
      <c r="E247" s="11">
        <v>1603.74</v>
      </c>
      <c r="F247" s="11">
        <v>1976.08</v>
      </c>
      <c r="G247" s="11">
        <v>1306.32</v>
      </c>
      <c r="H247" s="3"/>
      <c r="I247" s="11">
        <v>2000</v>
      </c>
      <c r="J247" s="11">
        <v>2000</v>
      </c>
      <c r="K247" s="3"/>
      <c r="L247" s="11">
        <v>2070</v>
      </c>
      <c r="M247" s="38">
        <f t="shared" si="10"/>
        <v>1.0349999999999999</v>
      </c>
    </row>
    <row r="248" spans="1:13" x14ac:dyDescent="0.25">
      <c r="A248" s="14" t="s">
        <v>307</v>
      </c>
      <c r="B248" s="15" t="s">
        <v>128</v>
      </c>
      <c r="C248" s="16">
        <v>490</v>
      </c>
      <c r="D248" s="11">
        <v>704.4</v>
      </c>
      <c r="E248" s="11">
        <v>587</v>
      </c>
      <c r="F248" s="11">
        <v>704.4</v>
      </c>
      <c r="G248" s="11">
        <v>469.6</v>
      </c>
      <c r="H248" s="3"/>
      <c r="I248" s="11">
        <v>704</v>
      </c>
      <c r="J248" s="11">
        <v>704</v>
      </c>
      <c r="K248" s="3"/>
      <c r="L248" s="11">
        <v>704</v>
      </c>
      <c r="M248" s="38">
        <f t="shared" si="10"/>
        <v>1</v>
      </c>
    </row>
    <row r="249" spans="1:13" x14ac:dyDescent="0.25">
      <c r="A249" s="14" t="s">
        <v>308</v>
      </c>
      <c r="B249" s="15" t="s">
        <v>132</v>
      </c>
      <c r="C249" s="16">
        <v>13150</v>
      </c>
      <c r="D249" s="11">
        <v>11541.18</v>
      </c>
      <c r="E249" s="11">
        <v>782</v>
      </c>
      <c r="F249" s="11">
        <v>1295.52</v>
      </c>
      <c r="G249" s="11">
        <v>444.12</v>
      </c>
      <c r="H249" s="3"/>
      <c r="I249" s="11">
        <v>770</v>
      </c>
      <c r="J249" s="11">
        <v>770</v>
      </c>
      <c r="K249" s="3"/>
      <c r="L249" s="11">
        <v>797</v>
      </c>
      <c r="M249" s="38">
        <f t="shared" si="10"/>
        <v>1.035064935064935</v>
      </c>
    </row>
    <row r="250" spans="1:13" x14ac:dyDescent="0.25">
      <c r="A250" s="14">
        <v>6080300</v>
      </c>
      <c r="B250" s="15" t="s">
        <v>134</v>
      </c>
      <c r="C250" s="16">
        <v>0</v>
      </c>
      <c r="D250" s="11">
        <v>0</v>
      </c>
      <c r="E250" s="11">
        <v>356886.9</v>
      </c>
      <c r="F250" s="11">
        <v>364909.6</v>
      </c>
      <c r="G250" s="11">
        <v>402072.36</v>
      </c>
      <c r="H250" s="3"/>
      <c r="I250" s="11">
        <v>401992.5</v>
      </c>
      <c r="J250" s="11">
        <v>401992.5</v>
      </c>
      <c r="K250" s="3"/>
      <c r="L250" s="11">
        <v>445434.38</v>
      </c>
      <c r="M250" s="38">
        <f t="shared" si="10"/>
        <v>1.1080663942735249</v>
      </c>
    </row>
    <row r="251" spans="1:13" x14ac:dyDescent="0.25">
      <c r="A251" s="14">
        <v>6080310</v>
      </c>
      <c r="B251" s="15" t="s">
        <v>136</v>
      </c>
      <c r="C251" s="16">
        <v>0</v>
      </c>
      <c r="D251" s="11">
        <v>0</v>
      </c>
      <c r="E251" s="11">
        <f>33729.62+40.32</f>
        <v>33769.94</v>
      </c>
      <c r="F251" s="11">
        <v>32756.37</v>
      </c>
      <c r="G251" s="11">
        <v>36872.15</v>
      </c>
      <c r="H251" s="3"/>
      <c r="I251" s="11">
        <v>40199.25</v>
      </c>
      <c r="J251" s="11">
        <v>40199.25</v>
      </c>
      <c r="K251" s="3"/>
      <c r="L251" s="11">
        <v>40089.089999999997</v>
      </c>
      <c r="M251" s="38">
        <f t="shared" si="10"/>
        <v>0.99725965036661124</v>
      </c>
    </row>
    <row r="252" spans="1:13" x14ac:dyDescent="0.25">
      <c r="A252" s="14">
        <v>6080320</v>
      </c>
      <c r="B252" s="15" t="s">
        <v>309</v>
      </c>
      <c r="C252" s="16">
        <v>0</v>
      </c>
      <c r="D252" s="11">
        <v>0</v>
      </c>
      <c r="E252" s="11">
        <v>0</v>
      </c>
      <c r="F252" s="11">
        <v>0</v>
      </c>
      <c r="G252" s="11">
        <v>0</v>
      </c>
      <c r="H252" s="3"/>
      <c r="I252" s="11">
        <v>1000</v>
      </c>
      <c r="J252" s="11">
        <v>1000</v>
      </c>
      <c r="K252" s="3"/>
      <c r="L252" s="11">
        <v>0</v>
      </c>
    </row>
    <row r="253" spans="1:13" x14ac:dyDescent="0.25">
      <c r="A253" s="14">
        <v>6080350</v>
      </c>
      <c r="B253" s="15" t="s">
        <v>176</v>
      </c>
      <c r="C253" s="16">
        <v>0</v>
      </c>
      <c r="D253" s="11">
        <v>6569</v>
      </c>
      <c r="E253" s="11">
        <v>4785.88</v>
      </c>
      <c r="F253" s="11">
        <v>12720.3</v>
      </c>
      <c r="G253" s="11">
        <v>5261.6</v>
      </c>
      <c r="H253" s="3"/>
      <c r="I253" s="11">
        <v>10000</v>
      </c>
      <c r="J253" s="11">
        <v>10000</v>
      </c>
      <c r="K253" s="3"/>
      <c r="L253" s="11">
        <v>10000</v>
      </c>
      <c r="M253" s="38">
        <f t="shared" ref="M253:M258" si="11">+L253/J253</f>
        <v>1</v>
      </c>
    </row>
    <row r="254" spans="1:13" x14ac:dyDescent="0.25">
      <c r="A254" s="14">
        <v>6080360</v>
      </c>
      <c r="B254" s="15" t="s">
        <v>138</v>
      </c>
      <c r="C254" s="16">
        <v>0</v>
      </c>
      <c r="D254" s="11">
        <v>0</v>
      </c>
      <c r="E254" s="11">
        <v>7996.8</v>
      </c>
      <c r="F254" s="11">
        <v>31738.97</v>
      </c>
      <c r="G254" s="11">
        <v>-4259.54</v>
      </c>
      <c r="H254" s="3"/>
      <c r="I254" s="11">
        <v>12381.37</v>
      </c>
      <c r="J254" s="11">
        <v>12381.37</v>
      </c>
      <c r="K254" s="3"/>
      <c r="L254" s="11">
        <v>13719.368</v>
      </c>
      <c r="M254" s="38">
        <f t="shared" si="11"/>
        <v>1.1080654241008869</v>
      </c>
    </row>
    <row r="255" spans="1:13" x14ac:dyDescent="0.25">
      <c r="A255" s="14" t="s">
        <v>310</v>
      </c>
      <c r="B255" s="15" t="s">
        <v>140</v>
      </c>
      <c r="C255" s="16">
        <v>7273</v>
      </c>
      <c r="D255" s="11">
        <v>6086.12</v>
      </c>
      <c r="E255" s="11">
        <v>5902.42</v>
      </c>
      <c r="F255" s="11">
        <v>7997.13</v>
      </c>
      <c r="G255" s="11">
        <v>5212.95</v>
      </c>
      <c r="H255" s="3"/>
      <c r="I255" s="11">
        <v>8000</v>
      </c>
      <c r="J255" s="11">
        <v>8000</v>
      </c>
      <c r="K255" s="3"/>
      <c r="L255" s="11">
        <v>8000</v>
      </c>
      <c r="M255" s="38">
        <f t="shared" si="11"/>
        <v>1</v>
      </c>
    </row>
    <row r="256" spans="1:13" x14ac:dyDescent="0.25">
      <c r="A256" s="14" t="s">
        <v>311</v>
      </c>
      <c r="B256" s="15" t="s">
        <v>142</v>
      </c>
      <c r="C256" s="16">
        <v>1200</v>
      </c>
      <c r="D256" s="11">
        <v>1710</v>
      </c>
      <c r="E256" s="11">
        <v>1800</v>
      </c>
      <c r="F256" s="11">
        <v>3000</v>
      </c>
      <c r="G256" s="11">
        <v>1808</v>
      </c>
      <c r="H256" s="3"/>
      <c r="I256" s="11">
        <v>2340</v>
      </c>
      <c r="J256" s="11">
        <v>2340</v>
      </c>
      <c r="K256" s="3"/>
      <c r="L256" s="11">
        <v>3800</v>
      </c>
      <c r="M256" s="38">
        <f t="shared" si="11"/>
        <v>1.6239316239316239</v>
      </c>
    </row>
    <row r="257" spans="1:13" x14ac:dyDescent="0.25">
      <c r="A257" s="14">
        <v>6080520</v>
      </c>
      <c r="B257" s="15" t="s">
        <v>144</v>
      </c>
      <c r="C257" s="16"/>
      <c r="D257" s="11"/>
      <c r="E257" s="11"/>
      <c r="F257" s="11">
        <v>0</v>
      </c>
      <c r="G257" s="11">
        <v>444</v>
      </c>
      <c r="H257" s="3"/>
      <c r="I257" s="11"/>
      <c r="J257" s="11"/>
      <c r="K257" s="3"/>
      <c r="L257" s="11">
        <v>500</v>
      </c>
    </row>
    <row r="258" spans="1:13" x14ac:dyDescent="0.25">
      <c r="A258" s="14" t="s">
        <v>312</v>
      </c>
      <c r="B258" s="15" t="s">
        <v>146</v>
      </c>
      <c r="C258" s="16">
        <v>4475</v>
      </c>
      <c r="D258" s="11">
        <v>4265.8500000000004</v>
      </c>
      <c r="E258" s="11">
        <v>754.95</v>
      </c>
      <c r="F258" s="11">
        <v>12486.38</v>
      </c>
      <c r="G258" s="11">
        <v>1051.9100000000001</v>
      </c>
      <c r="H258" s="3"/>
      <c r="I258" s="11">
        <v>1500</v>
      </c>
      <c r="J258" s="11">
        <v>1500</v>
      </c>
      <c r="K258" s="3"/>
      <c r="L258" s="11">
        <v>1500</v>
      </c>
      <c r="M258" s="38">
        <f t="shared" si="11"/>
        <v>1</v>
      </c>
    </row>
    <row r="259" spans="1:13" x14ac:dyDescent="0.25">
      <c r="A259" s="14" t="s">
        <v>313</v>
      </c>
      <c r="B259" s="15" t="s">
        <v>314</v>
      </c>
      <c r="C259" s="16">
        <v>0</v>
      </c>
      <c r="D259" s="11">
        <v>5</v>
      </c>
      <c r="E259" s="11">
        <v>0</v>
      </c>
      <c r="F259" s="11">
        <v>0</v>
      </c>
      <c r="G259" s="11">
        <v>0</v>
      </c>
      <c r="H259" s="3"/>
      <c r="I259" s="11"/>
      <c r="J259" s="11"/>
      <c r="K259" s="3"/>
      <c r="L259" s="11"/>
    </row>
    <row r="260" spans="1:13" x14ac:dyDescent="0.25">
      <c r="A260" s="14" t="s">
        <v>315</v>
      </c>
      <c r="B260" s="15" t="s">
        <v>182</v>
      </c>
      <c r="C260" s="16">
        <v>386</v>
      </c>
      <c r="D260" s="11">
        <v>926.91</v>
      </c>
      <c r="E260" s="11">
        <v>988.02</v>
      </c>
      <c r="F260" s="11">
        <v>780.24</v>
      </c>
      <c r="G260" s="11">
        <v>782.45</v>
      </c>
      <c r="H260" s="3"/>
      <c r="I260" s="11">
        <v>1000</v>
      </c>
      <c r="J260" s="11">
        <v>1000</v>
      </c>
      <c r="K260" s="3"/>
      <c r="L260" s="11">
        <v>1000</v>
      </c>
      <c r="M260" s="38">
        <f t="shared" ref="M260:M268" si="12">+L260/J260</f>
        <v>1</v>
      </c>
    </row>
    <row r="261" spans="1:13" x14ac:dyDescent="0.25">
      <c r="A261" s="14" t="s">
        <v>316</v>
      </c>
      <c r="B261" s="15" t="s">
        <v>184</v>
      </c>
      <c r="C261" s="16">
        <v>1368</v>
      </c>
      <c r="D261" s="11">
        <v>1940.01</v>
      </c>
      <c r="E261" s="11">
        <v>2239.4</v>
      </c>
      <c r="F261" s="11">
        <v>2928.07</v>
      </c>
      <c r="G261" s="11">
        <v>666.59</v>
      </c>
      <c r="H261" s="3"/>
      <c r="I261" s="11">
        <v>1500</v>
      </c>
      <c r="J261" s="11">
        <v>1500</v>
      </c>
      <c r="K261" s="3"/>
      <c r="L261" s="11">
        <v>1000</v>
      </c>
      <c r="M261" s="38">
        <f t="shared" si="12"/>
        <v>0.66666666666666663</v>
      </c>
    </row>
    <row r="262" spans="1:13" x14ac:dyDescent="0.25">
      <c r="A262" s="14" t="s">
        <v>317</v>
      </c>
      <c r="B262" s="15" t="s">
        <v>154</v>
      </c>
      <c r="C262" s="16">
        <v>995</v>
      </c>
      <c r="D262" s="11">
        <v>1017.96</v>
      </c>
      <c r="E262" s="11">
        <v>843.3</v>
      </c>
      <c r="F262" s="11">
        <v>1314.66</v>
      </c>
      <c r="G262" s="11">
        <v>975.36</v>
      </c>
      <c r="H262" s="3"/>
      <c r="I262" s="11">
        <v>750</v>
      </c>
      <c r="J262" s="11">
        <v>750</v>
      </c>
      <c r="K262" s="3"/>
      <c r="L262" s="11">
        <v>1000</v>
      </c>
      <c r="M262" s="38">
        <f t="shared" si="12"/>
        <v>1.3333333333333333</v>
      </c>
    </row>
    <row r="263" spans="1:13" x14ac:dyDescent="0.25">
      <c r="A263" s="14" t="s">
        <v>318</v>
      </c>
      <c r="B263" s="15" t="s">
        <v>156</v>
      </c>
      <c r="C263" s="16">
        <v>500</v>
      </c>
      <c r="D263" s="11">
        <v>0</v>
      </c>
      <c r="E263" s="11">
        <v>0</v>
      </c>
      <c r="F263" s="11">
        <v>500</v>
      </c>
      <c r="G263" s="11">
        <v>0</v>
      </c>
      <c r="H263" s="3"/>
      <c r="I263" s="11">
        <v>500</v>
      </c>
      <c r="J263" s="11">
        <v>500</v>
      </c>
      <c r="K263" s="3"/>
      <c r="L263" s="11">
        <v>500</v>
      </c>
      <c r="M263" s="38">
        <f t="shared" si="12"/>
        <v>1</v>
      </c>
    </row>
    <row r="264" spans="1:13" x14ac:dyDescent="0.25">
      <c r="A264" s="14" t="s">
        <v>319</v>
      </c>
      <c r="B264" s="15" t="s">
        <v>158</v>
      </c>
      <c r="C264" s="16">
        <v>10420</v>
      </c>
      <c r="D264" s="11">
        <v>9835.7000000000007</v>
      </c>
      <c r="E264" s="11">
        <v>7220</v>
      </c>
      <c r="F264" s="11">
        <v>5075</v>
      </c>
      <c r="G264" s="11">
        <v>9020</v>
      </c>
      <c r="H264" s="3"/>
      <c r="I264" s="11">
        <v>10000</v>
      </c>
      <c r="J264" s="11">
        <v>10000</v>
      </c>
      <c r="K264" s="3"/>
      <c r="L264" s="11">
        <v>10000</v>
      </c>
      <c r="M264" s="38">
        <f t="shared" si="12"/>
        <v>1</v>
      </c>
    </row>
    <row r="265" spans="1:13" x14ac:dyDescent="0.25">
      <c r="A265" s="14" t="s">
        <v>320</v>
      </c>
      <c r="B265" s="15" t="s">
        <v>160</v>
      </c>
      <c r="C265" s="16">
        <v>1896</v>
      </c>
      <c r="D265" s="11">
        <v>6397.81</v>
      </c>
      <c r="E265" s="11">
        <v>4957.8999999999996</v>
      </c>
      <c r="F265" s="11">
        <v>4915.72</v>
      </c>
      <c r="G265" s="11">
        <v>2333.67</v>
      </c>
      <c r="H265" s="3"/>
      <c r="I265" s="11">
        <v>6000</v>
      </c>
      <c r="J265" s="11">
        <v>6000</v>
      </c>
      <c r="K265" s="3"/>
      <c r="L265" s="11">
        <v>5000</v>
      </c>
      <c r="M265" s="38">
        <f t="shared" si="12"/>
        <v>0.83333333333333337</v>
      </c>
    </row>
    <row r="266" spans="1:13" x14ac:dyDescent="0.25">
      <c r="A266" s="14" t="s">
        <v>321</v>
      </c>
      <c r="B266" s="15" t="s">
        <v>162</v>
      </c>
      <c r="C266" s="16">
        <v>811</v>
      </c>
      <c r="D266" s="11">
        <v>705.48</v>
      </c>
      <c r="E266" s="11">
        <v>1026.3399999999999</v>
      </c>
      <c r="F266" s="11">
        <v>0</v>
      </c>
      <c r="G266" s="11">
        <v>1248.79</v>
      </c>
      <c r="H266" s="3"/>
      <c r="I266" s="11"/>
      <c r="J266" s="11"/>
      <c r="K266" s="3"/>
      <c r="L266" s="11">
        <v>1500</v>
      </c>
    </row>
    <row r="267" spans="1:13" x14ac:dyDescent="0.25">
      <c r="A267" s="14" t="s">
        <v>322</v>
      </c>
      <c r="B267" s="15" t="s">
        <v>80</v>
      </c>
      <c r="C267" s="16">
        <v>388</v>
      </c>
      <c r="D267" s="11">
        <v>703.29</v>
      </c>
      <c r="E267" s="11">
        <v>568.28</v>
      </c>
      <c r="F267" s="11">
        <v>779.64</v>
      </c>
      <c r="G267" s="11">
        <v>483.23</v>
      </c>
      <c r="H267" s="3"/>
      <c r="I267" s="11"/>
      <c r="J267" s="11"/>
      <c r="K267" s="3"/>
      <c r="L267" s="11">
        <v>500</v>
      </c>
    </row>
    <row r="268" spans="1:13" x14ac:dyDescent="0.25">
      <c r="A268" s="14" t="s">
        <v>323</v>
      </c>
      <c r="B268" s="15" t="s">
        <v>164</v>
      </c>
      <c r="C268" s="16">
        <v>7135</v>
      </c>
      <c r="D268" s="11">
        <v>5008.47</v>
      </c>
      <c r="E268" s="11">
        <v>1193.99</v>
      </c>
      <c r="F268" s="11">
        <v>3410.95</v>
      </c>
      <c r="G268" s="11">
        <v>1638.72</v>
      </c>
      <c r="H268" s="3"/>
      <c r="I268" s="11">
        <v>2500</v>
      </c>
      <c r="J268" s="11">
        <v>2500</v>
      </c>
      <c r="K268" s="3"/>
      <c r="L268" s="11">
        <v>2500</v>
      </c>
      <c r="M268" s="38">
        <f t="shared" si="12"/>
        <v>1</v>
      </c>
    </row>
    <row r="269" spans="1:13" x14ac:dyDescent="0.25">
      <c r="A269" s="14">
        <v>6082000</v>
      </c>
      <c r="B269" s="15" t="s">
        <v>191</v>
      </c>
      <c r="C269" s="16">
        <v>7039</v>
      </c>
      <c r="D269" s="11">
        <v>7670</v>
      </c>
      <c r="E269" s="11">
        <v>4505</v>
      </c>
      <c r="F269" s="11">
        <v>3557</v>
      </c>
      <c r="G269" s="11">
        <v>0</v>
      </c>
      <c r="H269" s="3"/>
      <c r="I269" s="11"/>
      <c r="J269" s="11"/>
      <c r="K269" s="3"/>
      <c r="L269" s="11"/>
    </row>
    <row r="270" spans="1:13" x14ac:dyDescent="0.25">
      <c r="A270" s="21"/>
      <c r="B270" s="22"/>
      <c r="C270" s="16"/>
      <c r="D270" s="11"/>
      <c r="E270" s="11"/>
      <c r="F270" s="11"/>
      <c r="G270" s="11"/>
      <c r="H270" s="3"/>
      <c r="I270" s="11"/>
      <c r="J270" s="11"/>
      <c r="K270" s="3"/>
      <c r="L270" s="11"/>
    </row>
    <row r="271" spans="1:13" x14ac:dyDescent="0.25">
      <c r="A271" s="17" t="s">
        <v>21</v>
      </c>
      <c r="B271" s="18" t="s">
        <v>324</v>
      </c>
      <c r="C271" s="19">
        <f>SUM(C246:C270)</f>
        <v>431830</v>
      </c>
      <c r="D271" s="11">
        <f>SUM(D246:D270)</f>
        <v>421450.52999999991</v>
      </c>
      <c r="E271" s="11">
        <f>SUM(E246:E270)</f>
        <v>456181.01000000013</v>
      </c>
      <c r="F271" s="11">
        <f>SUM(F246:F270)</f>
        <v>516165.9499999999</v>
      </c>
      <c r="G271" s="11">
        <f>SUM(G246:G270)</f>
        <v>484146.11999999994</v>
      </c>
      <c r="H271" s="3"/>
      <c r="I271" s="11">
        <f>SUM(I246:I270)</f>
        <v>528137.12</v>
      </c>
      <c r="J271" s="11">
        <f>SUM(J246:J270)</f>
        <v>528137.12</v>
      </c>
      <c r="K271" s="3"/>
      <c r="L271" s="11">
        <f>SUM(L246:L270)</f>
        <v>575488.83799999999</v>
      </c>
      <c r="M271" s="38">
        <f>+L271/J271</f>
        <v>1.0896580001799532</v>
      </c>
    </row>
    <row r="272" spans="1:13" hidden="1" x14ac:dyDescent="0.25">
      <c r="D272" s="11"/>
      <c r="E272" s="11"/>
      <c r="F272" s="11"/>
      <c r="G272" s="11"/>
      <c r="H272" s="3"/>
      <c r="I272" s="11"/>
      <c r="J272" s="11"/>
      <c r="K272" s="3"/>
      <c r="L272" s="11"/>
    </row>
    <row r="273" spans="1:13" hidden="1" x14ac:dyDescent="0.25">
      <c r="A273" s="23" t="s">
        <v>86</v>
      </c>
      <c r="B273" s="24" t="s">
        <v>325</v>
      </c>
      <c r="C273" s="11">
        <f>+C271+C242+C209+C164</f>
        <v>3309823</v>
      </c>
      <c r="D273" s="11">
        <f>+D271+D242+D209+D164</f>
        <v>3906752.9799999995</v>
      </c>
      <c r="E273" s="11">
        <f>+E271+E242+E209+E164</f>
        <v>3631751.8499999996</v>
      </c>
      <c r="F273" s="11">
        <f>+F271+F242+F209+F164</f>
        <v>4897407.8759999992</v>
      </c>
      <c r="G273" s="11">
        <f>+G271+G242+G209+G164</f>
        <v>4083281.2700000005</v>
      </c>
      <c r="H273" s="3"/>
      <c r="I273" s="11">
        <f>+I271+I242+I209+I164</f>
        <v>5703036.3300000001</v>
      </c>
      <c r="J273" s="11">
        <f>+J271+J242+J209+J164</f>
        <v>5828826.9300000006</v>
      </c>
      <c r="K273" s="3"/>
      <c r="L273" s="11">
        <f>+L271+L242+L209+L164</f>
        <v>5989034.0945562609</v>
      </c>
      <c r="M273" s="38">
        <f>+L273/J273</f>
        <v>1.0274853184835016</v>
      </c>
    </row>
    <row r="274" spans="1:13" hidden="1" x14ac:dyDescent="0.25">
      <c r="D274" s="11"/>
      <c r="E274" s="11"/>
      <c r="F274" s="11"/>
      <c r="G274" s="11"/>
      <c r="H274" s="3"/>
      <c r="I274" s="11"/>
      <c r="J274" s="11"/>
      <c r="K274" s="3"/>
      <c r="L274" s="11"/>
    </row>
    <row r="275" spans="1:13" hidden="1" x14ac:dyDescent="0.25">
      <c r="D275" s="11"/>
      <c r="E275" s="11"/>
      <c r="F275" s="11"/>
      <c r="G275" s="11"/>
      <c r="H275" s="3"/>
      <c r="I275" s="11"/>
      <c r="J275" s="11"/>
      <c r="K275" s="3"/>
      <c r="L275" s="11"/>
    </row>
    <row r="276" spans="1:13" hidden="1" x14ac:dyDescent="0.25">
      <c r="A276" s="31"/>
      <c r="B276" s="32" t="s">
        <v>326</v>
      </c>
      <c r="C276" s="11">
        <f>+C63-C273</f>
        <v>933839</v>
      </c>
      <c r="D276" s="11">
        <f>+D63-D273</f>
        <v>2023199.9200000009</v>
      </c>
      <c r="E276" s="11">
        <f>+E63-E273</f>
        <v>1136378.6200000001</v>
      </c>
      <c r="F276" s="11">
        <f>+F63-F273</f>
        <v>874954.35400000121</v>
      </c>
      <c r="G276" s="11">
        <f>+G63-G273</f>
        <v>1688182.71</v>
      </c>
      <c r="H276" s="3"/>
      <c r="I276" s="11">
        <f>+I63-I273</f>
        <v>56968.669999999925</v>
      </c>
      <c r="J276" s="11">
        <f>+J63-J273</f>
        <v>349673.06999999937</v>
      </c>
      <c r="K276" s="3"/>
      <c r="L276" s="11">
        <f>+L63-L273</f>
        <v>-249534.09455626085</v>
      </c>
      <c r="M276" s="38">
        <f>+L276/J276</f>
        <v>-0.71362113918655878</v>
      </c>
    </row>
    <row r="277" spans="1:13" hidden="1" x14ac:dyDescent="0.25">
      <c r="D277" s="11"/>
      <c r="E277" s="11"/>
      <c r="F277" s="11"/>
      <c r="G277" s="11"/>
      <c r="H277" s="11"/>
      <c r="I277" s="11"/>
      <c r="J277" s="11"/>
      <c r="K277" s="11"/>
      <c r="L277" s="11"/>
    </row>
    <row r="278" spans="1:13" hidden="1" x14ac:dyDescent="0.25">
      <c r="A278" s="33"/>
      <c r="B278" s="33"/>
      <c r="C278" s="33"/>
      <c r="D278" s="11"/>
      <c r="E278" s="11"/>
      <c r="F278" s="11"/>
      <c r="G278" s="11"/>
      <c r="H278" s="11"/>
      <c r="I278" s="11"/>
      <c r="J278" s="11"/>
      <c r="K278" s="11"/>
      <c r="L278" s="11"/>
    </row>
    <row r="279" spans="1:13" x14ac:dyDescent="0.25">
      <c r="A279" s="33"/>
      <c r="B279" s="33"/>
      <c r="C279" s="34"/>
      <c r="D279" s="11"/>
      <c r="E279" s="11"/>
      <c r="F279" s="11"/>
      <c r="G279" s="11"/>
      <c r="H279" s="11"/>
      <c r="I279" s="11"/>
      <c r="J279" s="11"/>
      <c r="K279" s="11"/>
      <c r="L279" s="11"/>
    </row>
    <row r="280" spans="1:13" x14ac:dyDescent="0.25">
      <c r="A280" s="33"/>
      <c r="B280" s="33"/>
      <c r="C280" s="33"/>
      <c r="D280" s="35"/>
      <c r="E280" s="35"/>
      <c r="F280" s="35"/>
      <c r="G280" s="35"/>
      <c r="H280" s="11"/>
      <c r="I280" s="36"/>
      <c r="J280" s="36"/>
      <c r="K280" s="11"/>
      <c r="L280" s="36"/>
    </row>
    <row r="281" spans="1:13" x14ac:dyDescent="0.25">
      <c r="A281" s="33"/>
      <c r="B281" s="33"/>
      <c r="C281" s="33"/>
      <c r="D281" s="35"/>
      <c r="E281" s="35"/>
      <c r="F281" s="35"/>
      <c r="G281" s="35"/>
      <c r="H281" s="11"/>
      <c r="I281" s="35"/>
      <c r="J281" s="35"/>
      <c r="K281" s="11"/>
      <c r="L281" s="35"/>
    </row>
    <row r="282" spans="1:13" x14ac:dyDescent="0.25">
      <c r="A282" s="33"/>
      <c r="B282" s="33"/>
      <c r="C282" s="33"/>
      <c r="D282" s="35"/>
      <c r="E282" s="35"/>
      <c r="F282" s="35"/>
      <c r="G282" s="35"/>
      <c r="H282" s="11"/>
      <c r="I282" s="35"/>
      <c r="J282" s="35"/>
      <c r="K282" s="11"/>
      <c r="L282" s="35"/>
    </row>
    <row r="283" spans="1:13" x14ac:dyDescent="0.25">
      <c r="A283" s="33"/>
      <c r="B283" s="33"/>
      <c r="C283" s="33"/>
      <c r="D283" s="35"/>
      <c r="E283" s="35"/>
      <c r="F283" s="35"/>
      <c r="G283" s="35"/>
      <c r="H283" s="11"/>
      <c r="I283" s="35"/>
      <c r="J283" s="35"/>
      <c r="K283" s="11"/>
      <c r="L283" s="35"/>
    </row>
    <row r="284" spans="1:13" x14ac:dyDescent="0.25">
      <c r="A284" s="33"/>
      <c r="B284" s="33"/>
      <c r="C284" s="33"/>
      <c r="D284" s="35"/>
      <c r="E284" s="35"/>
      <c r="F284" s="35"/>
      <c r="G284" s="35"/>
      <c r="H284" s="11"/>
      <c r="I284" s="35"/>
      <c r="J284" s="35"/>
      <c r="K284" s="11"/>
      <c r="L284" s="35"/>
    </row>
    <row r="285" spans="1:13" x14ac:dyDescent="0.25">
      <c r="A285" s="33"/>
      <c r="B285" s="33"/>
      <c r="C285" s="33"/>
      <c r="D285" s="35"/>
      <c r="E285" s="35"/>
      <c r="F285" s="35"/>
      <c r="G285" s="35"/>
      <c r="H285" s="11"/>
      <c r="I285" s="35"/>
      <c r="J285" s="35"/>
      <c r="K285" s="11"/>
      <c r="L285" s="35"/>
    </row>
    <row r="286" spans="1:13" x14ac:dyDescent="0.25">
      <c r="A286" s="33"/>
      <c r="B286" s="33"/>
      <c r="C286" s="33"/>
      <c r="D286" s="35"/>
      <c r="E286" s="35"/>
      <c r="F286" s="35"/>
      <c r="G286" s="35"/>
      <c r="H286" s="11"/>
      <c r="I286" s="35"/>
      <c r="J286" s="35"/>
      <c r="K286" s="11"/>
      <c r="L286" s="35"/>
    </row>
    <row r="287" spans="1:13" x14ac:dyDescent="0.25">
      <c r="A287" s="33"/>
      <c r="B287" s="33"/>
      <c r="C287" s="33"/>
      <c r="D287" s="35"/>
      <c r="E287" s="35"/>
      <c r="F287" s="35"/>
      <c r="G287" s="35"/>
      <c r="H287" s="11"/>
      <c r="I287" s="35"/>
      <c r="J287" s="35"/>
      <c r="K287" s="11"/>
      <c r="L287" s="35"/>
    </row>
    <row r="288" spans="1:13" x14ac:dyDescent="0.25">
      <c r="A288" s="33"/>
      <c r="B288" s="33"/>
      <c r="C288" s="33"/>
      <c r="D288" s="35"/>
      <c r="E288" s="35"/>
      <c r="F288" s="35"/>
      <c r="G288" s="35"/>
      <c r="H288" s="11"/>
      <c r="I288" s="35"/>
      <c r="J288" s="35"/>
      <c r="K288" s="11"/>
      <c r="L288" s="35"/>
    </row>
    <row r="289" spans="1:12" x14ac:dyDescent="0.25">
      <c r="A289" s="33"/>
      <c r="B289" s="33"/>
      <c r="C289" s="33"/>
      <c r="D289" s="35"/>
      <c r="E289" s="35"/>
      <c r="F289" s="35"/>
      <c r="G289" s="35"/>
      <c r="H289" s="11"/>
      <c r="I289" s="35"/>
      <c r="J289" s="35"/>
      <c r="K289" s="11"/>
      <c r="L289" s="35"/>
    </row>
    <row r="290" spans="1:12" x14ac:dyDescent="0.25">
      <c r="A290" s="33"/>
      <c r="B290" s="33"/>
      <c r="C290" s="33"/>
      <c r="D290" s="35"/>
      <c r="E290" s="35"/>
      <c r="F290" s="35"/>
      <c r="G290" s="35"/>
      <c r="H290" s="11"/>
      <c r="I290" s="35"/>
      <c r="J290" s="35"/>
      <c r="K290" s="11"/>
      <c r="L290" s="35"/>
    </row>
    <row r="291" spans="1:12" x14ac:dyDescent="0.25">
      <c r="A291" s="33"/>
      <c r="B291" s="33"/>
      <c r="C291" s="33"/>
      <c r="D291" s="35"/>
      <c r="E291" s="35"/>
      <c r="F291" s="35"/>
      <c r="G291" s="35"/>
      <c r="H291" s="11"/>
      <c r="I291" s="35"/>
      <c r="J291" s="35"/>
      <c r="K291" s="11"/>
      <c r="L291" s="35"/>
    </row>
    <row r="292" spans="1:12" x14ac:dyDescent="0.25">
      <c r="A292" s="33"/>
      <c r="B292" s="33"/>
      <c r="C292" s="33"/>
      <c r="D292" s="35"/>
      <c r="E292" s="35"/>
      <c r="F292" s="35"/>
      <c r="G292" s="35"/>
      <c r="H292" s="11"/>
      <c r="I292" s="35"/>
      <c r="J292" s="35"/>
      <c r="K292" s="11"/>
      <c r="L292" s="35"/>
    </row>
    <row r="293" spans="1:12" x14ac:dyDescent="0.25">
      <c r="A293" s="33"/>
      <c r="B293" s="33"/>
      <c r="C293" s="33"/>
      <c r="D293" s="35"/>
      <c r="E293" s="35"/>
      <c r="F293" s="35"/>
      <c r="G293" s="35"/>
      <c r="H293" s="11"/>
      <c r="I293" s="35"/>
      <c r="J293" s="35"/>
      <c r="K293" s="11"/>
      <c r="L293" s="35"/>
    </row>
    <row r="294" spans="1:12" x14ac:dyDescent="0.25">
      <c r="A294" s="33"/>
      <c r="B294" s="33"/>
      <c r="C294" s="33"/>
      <c r="D294" s="35"/>
      <c r="E294" s="35"/>
      <c r="F294" s="35"/>
      <c r="G294" s="35"/>
      <c r="H294" s="11"/>
      <c r="I294" s="35"/>
      <c r="J294" s="35"/>
      <c r="K294" s="11"/>
      <c r="L294" s="35"/>
    </row>
    <row r="295" spans="1:12" x14ac:dyDescent="0.25">
      <c r="A295" s="33"/>
      <c r="B295" s="33"/>
      <c r="C295" s="33"/>
      <c r="D295" s="35"/>
      <c r="E295" s="35"/>
      <c r="F295" s="35"/>
      <c r="G295" s="35"/>
      <c r="H295" s="11"/>
      <c r="I295" s="35"/>
      <c r="J295" s="35"/>
      <c r="K295" s="11"/>
      <c r="L295" s="35"/>
    </row>
    <row r="296" spans="1:12" x14ac:dyDescent="0.25">
      <c r="A296" s="33"/>
      <c r="B296" s="33"/>
      <c r="C296" s="33"/>
      <c r="D296" s="35"/>
      <c r="E296" s="35"/>
      <c r="F296" s="35"/>
      <c r="G296" s="35"/>
      <c r="H296" s="11"/>
      <c r="I296" s="35"/>
      <c r="J296" s="35"/>
      <c r="K296" s="11"/>
      <c r="L296" s="35"/>
    </row>
    <row r="297" spans="1:12" x14ac:dyDescent="0.25">
      <c r="A297" s="33"/>
      <c r="B297" s="33"/>
      <c r="C297" s="33"/>
      <c r="D297" s="35"/>
      <c r="E297" s="35"/>
      <c r="F297" s="35"/>
      <c r="G297" s="35"/>
      <c r="H297" s="11"/>
      <c r="I297" s="35"/>
      <c r="J297" s="35"/>
      <c r="K297" s="11"/>
      <c r="L297" s="35"/>
    </row>
    <row r="298" spans="1:12" x14ac:dyDescent="0.25">
      <c r="A298" s="33"/>
      <c r="B298" s="33"/>
      <c r="C298" s="33"/>
      <c r="D298" s="35"/>
      <c r="E298" s="35"/>
      <c r="F298" s="35"/>
      <c r="G298" s="35"/>
      <c r="H298" s="11"/>
      <c r="I298" s="35"/>
      <c r="J298" s="35"/>
      <c r="K298" s="11"/>
      <c r="L298" s="35"/>
    </row>
    <row r="299" spans="1:12" x14ac:dyDescent="0.25">
      <c r="A299" s="33"/>
      <c r="B299" s="33"/>
      <c r="C299" s="33"/>
      <c r="D299" s="35"/>
      <c r="E299" s="35"/>
      <c r="F299" s="35"/>
      <c r="G299" s="35"/>
      <c r="H299" s="11"/>
      <c r="I299" s="35"/>
      <c r="J299" s="35"/>
      <c r="K299" s="11"/>
      <c r="L299" s="35"/>
    </row>
    <row r="300" spans="1:12" x14ac:dyDescent="0.25">
      <c r="A300" s="33"/>
      <c r="B300" s="33"/>
      <c r="C300" s="33"/>
      <c r="D300" s="35"/>
      <c r="E300" s="35"/>
      <c r="F300" s="35"/>
      <c r="G300" s="35"/>
      <c r="H300" s="11"/>
      <c r="I300" s="35"/>
      <c r="J300" s="35"/>
      <c r="K300" s="11"/>
      <c r="L300" s="35"/>
    </row>
    <row r="301" spans="1:12" x14ac:dyDescent="0.25">
      <c r="A301" s="33"/>
      <c r="B301" s="33"/>
      <c r="C301" s="33"/>
      <c r="D301" s="35"/>
      <c r="E301" s="35"/>
      <c r="F301" s="35"/>
      <c r="G301" s="35"/>
      <c r="H301" s="11"/>
      <c r="I301" s="35"/>
      <c r="J301" s="35"/>
      <c r="K301" s="11"/>
      <c r="L301" s="35"/>
    </row>
    <row r="302" spans="1:12" x14ac:dyDescent="0.25">
      <c r="A302" s="33"/>
      <c r="B302" s="33"/>
      <c r="C302" s="33"/>
      <c r="D302" s="35"/>
      <c r="E302" s="35"/>
      <c r="F302" s="35"/>
      <c r="G302" s="35"/>
      <c r="H302" s="11"/>
      <c r="I302" s="35"/>
      <c r="J302" s="35"/>
      <c r="K302" s="11"/>
      <c r="L302" s="35"/>
    </row>
    <row r="303" spans="1:12" x14ac:dyDescent="0.25">
      <c r="A303" s="33"/>
      <c r="B303" s="33"/>
      <c r="C303" s="33"/>
      <c r="D303" s="35"/>
      <c r="E303" s="35"/>
      <c r="F303" s="35"/>
      <c r="G303" s="35"/>
      <c r="H303" s="11"/>
      <c r="I303" s="35"/>
      <c r="J303" s="35"/>
      <c r="K303" s="11"/>
      <c r="L303" s="35"/>
    </row>
    <row r="304" spans="1:12" x14ac:dyDescent="0.25">
      <c r="A304" s="33"/>
      <c r="B304" s="33"/>
      <c r="C304" s="33"/>
      <c r="D304" s="35"/>
      <c r="E304" s="35"/>
      <c r="F304" s="35"/>
      <c r="G304" s="35"/>
      <c r="H304" s="11"/>
      <c r="I304" s="35"/>
      <c r="J304" s="35"/>
      <c r="K304" s="11"/>
      <c r="L304" s="35"/>
    </row>
    <row r="305" spans="1:12" x14ac:dyDescent="0.25">
      <c r="A305" s="33"/>
      <c r="B305" s="33"/>
      <c r="C305" s="33"/>
      <c r="D305" s="35"/>
      <c r="E305" s="35"/>
      <c r="F305" s="35"/>
      <c r="G305" s="35"/>
      <c r="H305" s="11"/>
      <c r="I305" s="35"/>
      <c r="J305" s="35"/>
      <c r="K305" s="11"/>
      <c r="L305" s="35"/>
    </row>
    <row r="306" spans="1:12" x14ac:dyDescent="0.25">
      <c r="A306" s="33"/>
      <c r="B306" s="33"/>
      <c r="C306" s="33"/>
      <c r="D306" s="35"/>
      <c r="E306" s="35"/>
      <c r="F306" s="35"/>
      <c r="G306" s="35"/>
      <c r="H306" s="11"/>
      <c r="I306" s="35"/>
      <c r="J306" s="35"/>
      <c r="K306" s="11"/>
      <c r="L306" s="35"/>
    </row>
    <row r="307" spans="1:12" x14ac:dyDescent="0.25">
      <c r="A307" s="33"/>
      <c r="B307" s="33"/>
      <c r="C307" s="33"/>
      <c r="D307" s="35"/>
      <c r="E307" s="35"/>
      <c r="F307" s="35"/>
      <c r="G307" s="35"/>
      <c r="H307" s="11"/>
      <c r="I307" s="35"/>
      <c r="J307" s="35"/>
      <c r="K307" s="11"/>
      <c r="L307" s="35"/>
    </row>
    <row r="308" spans="1:12" x14ac:dyDescent="0.25">
      <c r="A308" s="33"/>
      <c r="B308" s="33"/>
      <c r="C308" s="33"/>
      <c r="D308" s="35"/>
      <c r="E308" s="35"/>
      <c r="F308" s="35"/>
      <c r="G308" s="35"/>
      <c r="H308" s="11"/>
      <c r="I308" s="35"/>
      <c r="J308" s="35"/>
      <c r="K308" s="11"/>
      <c r="L308" s="35"/>
    </row>
    <row r="309" spans="1:12" x14ac:dyDescent="0.25">
      <c r="A309" s="33"/>
      <c r="B309" s="33"/>
      <c r="C309" s="33"/>
      <c r="D309" s="35"/>
      <c r="E309" s="35"/>
      <c r="F309" s="35"/>
      <c r="G309" s="35"/>
      <c r="H309" s="11"/>
      <c r="I309" s="35"/>
      <c r="J309" s="35"/>
      <c r="K309" s="11"/>
      <c r="L309" s="35"/>
    </row>
    <row r="310" spans="1:12" x14ac:dyDescent="0.25">
      <c r="A310" s="33"/>
      <c r="B310" s="33"/>
      <c r="C310" s="33"/>
      <c r="D310" s="35"/>
      <c r="E310" s="35"/>
      <c r="F310" s="35"/>
      <c r="G310" s="35"/>
      <c r="H310" s="11"/>
      <c r="I310" s="35"/>
      <c r="J310" s="35"/>
      <c r="K310" s="11"/>
      <c r="L310" s="35"/>
    </row>
    <row r="311" spans="1:12" x14ac:dyDescent="0.25">
      <c r="A311" s="33"/>
      <c r="B311" s="33"/>
      <c r="C311" s="33"/>
      <c r="D311" s="35"/>
      <c r="E311" s="35"/>
      <c r="F311" s="35"/>
      <c r="G311" s="35"/>
      <c r="H311" s="11"/>
      <c r="I311" s="35"/>
      <c r="J311" s="35"/>
      <c r="K311" s="11"/>
      <c r="L311" s="35"/>
    </row>
    <row r="312" spans="1:12" x14ac:dyDescent="0.25">
      <c r="A312" s="33"/>
      <c r="B312" s="33"/>
      <c r="C312" s="33"/>
      <c r="D312" s="35"/>
      <c r="E312" s="35"/>
      <c r="F312" s="35"/>
      <c r="G312" s="35"/>
      <c r="H312" s="11"/>
      <c r="I312" s="35"/>
      <c r="J312" s="35"/>
      <c r="K312" s="11"/>
      <c r="L312" s="35"/>
    </row>
    <row r="313" spans="1:12" x14ac:dyDescent="0.25">
      <c r="A313" s="33"/>
      <c r="B313" s="33"/>
      <c r="C313" s="33"/>
      <c r="D313" s="35"/>
      <c r="E313" s="35"/>
      <c r="F313" s="35"/>
      <c r="G313" s="35"/>
      <c r="H313" s="11"/>
      <c r="I313" s="35"/>
      <c r="J313" s="35"/>
      <c r="K313" s="11"/>
      <c r="L313" s="35"/>
    </row>
    <row r="314" spans="1:12" x14ac:dyDescent="0.25">
      <c r="A314" s="33"/>
      <c r="B314" s="33"/>
      <c r="C314" s="33"/>
      <c r="D314" s="35"/>
      <c r="E314" s="35"/>
      <c r="F314" s="35"/>
      <c r="G314" s="35"/>
      <c r="H314" s="11"/>
      <c r="I314" s="35"/>
      <c r="J314" s="35"/>
      <c r="K314" s="11"/>
      <c r="L314" s="35"/>
    </row>
    <row r="315" spans="1:12" x14ac:dyDescent="0.25">
      <c r="A315" s="33"/>
      <c r="B315" s="33"/>
      <c r="C315" s="33"/>
      <c r="D315" s="35"/>
      <c r="E315" s="35"/>
      <c r="F315" s="35"/>
      <c r="G315" s="35"/>
      <c r="H315" s="11"/>
      <c r="I315" s="35"/>
      <c r="J315" s="35"/>
      <c r="K315" s="11"/>
      <c r="L315" s="35"/>
    </row>
    <row r="316" spans="1:12" x14ac:dyDescent="0.25">
      <c r="A316" s="33"/>
      <c r="B316" s="33"/>
      <c r="C316" s="33"/>
      <c r="D316" s="35"/>
      <c r="E316" s="35"/>
      <c r="F316" s="35"/>
      <c r="G316" s="35"/>
      <c r="H316" s="11"/>
      <c r="I316" s="35"/>
      <c r="J316" s="35"/>
      <c r="K316" s="11"/>
      <c r="L316" s="35"/>
    </row>
    <row r="317" spans="1:12" x14ac:dyDescent="0.25">
      <c r="A317" s="33"/>
      <c r="B317" s="33"/>
      <c r="C317" s="33"/>
      <c r="D317" s="35"/>
      <c r="E317" s="35"/>
      <c r="F317" s="35"/>
      <c r="G317" s="35"/>
      <c r="H317" s="11"/>
      <c r="I317" s="35"/>
      <c r="J317" s="35"/>
      <c r="K317" s="11"/>
      <c r="L317" s="35"/>
    </row>
    <row r="318" spans="1:12" x14ac:dyDescent="0.25">
      <c r="A318" s="33"/>
      <c r="B318" s="33"/>
      <c r="C318" s="33"/>
      <c r="D318" s="35"/>
      <c r="E318" s="35"/>
      <c r="F318" s="35"/>
      <c r="G318" s="35"/>
      <c r="H318" s="11"/>
      <c r="I318" s="35"/>
      <c r="J318" s="35"/>
      <c r="K318" s="11"/>
      <c r="L318" s="35"/>
    </row>
    <row r="319" spans="1:12" x14ac:dyDescent="0.25">
      <c r="A319" s="33"/>
      <c r="B319" s="33"/>
      <c r="C319" s="33"/>
      <c r="D319" s="35"/>
      <c r="E319" s="35"/>
      <c r="F319" s="35"/>
      <c r="G319" s="35"/>
      <c r="H319" s="11"/>
      <c r="I319" s="35"/>
      <c r="J319" s="35"/>
      <c r="K319" s="11"/>
      <c r="L319" s="35"/>
    </row>
    <row r="320" spans="1:12" x14ac:dyDescent="0.25">
      <c r="A320" s="33"/>
      <c r="B320" s="33"/>
      <c r="C320" s="33"/>
      <c r="D320" s="35"/>
      <c r="E320" s="35"/>
      <c r="F320" s="35"/>
      <c r="G320" s="35"/>
      <c r="H320" s="11"/>
      <c r="I320" s="35"/>
      <c r="J320" s="35"/>
      <c r="K320" s="11"/>
      <c r="L320" s="35"/>
    </row>
    <row r="321" spans="1:12" x14ac:dyDescent="0.25">
      <c r="A321" s="33"/>
      <c r="B321" s="33"/>
      <c r="C321" s="33"/>
      <c r="D321" s="35"/>
      <c r="E321" s="35"/>
      <c r="F321" s="35"/>
      <c r="G321" s="35"/>
      <c r="H321" s="11"/>
      <c r="I321" s="35"/>
      <c r="J321" s="35"/>
      <c r="K321" s="11"/>
      <c r="L321" s="35"/>
    </row>
    <row r="322" spans="1:12" x14ac:dyDescent="0.25">
      <c r="A322" s="33"/>
      <c r="B322" s="33"/>
      <c r="C322" s="33"/>
      <c r="D322" s="35"/>
      <c r="E322" s="35"/>
      <c r="F322" s="35"/>
      <c r="G322" s="35"/>
      <c r="H322" s="11"/>
      <c r="I322" s="35"/>
      <c r="J322" s="35"/>
      <c r="K322" s="11"/>
      <c r="L322" s="35"/>
    </row>
    <row r="323" spans="1:12" x14ac:dyDescent="0.25">
      <c r="A323" s="33"/>
      <c r="B323" s="33"/>
      <c r="C323" s="33"/>
      <c r="D323" s="35"/>
      <c r="E323" s="35"/>
      <c r="F323" s="35"/>
      <c r="G323" s="35"/>
      <c r="H323" s="11"/>
      <c r="I323" s="35"/>
      <c r="J323" s="35"/>
      <c r="K323" s="11"/>
      <c r="L323" s="35"/>
    </row>
    <row r="324" spans="1:12" x14ac:dyDescent="0.25">
      <c r="A324" s="33"/>
      <c r="B324" s="33"/>
      <c r="C324" s="33"/>
      <c r="D324" s="35"/>
      <c r="E324" s="35"/>
      <c r="F324" s="35"/>
      <c r="G324" s="35"/>
      <c r="H324" s="11"/>
      <c r="I324" s="35"/>
      <c r="J324" s="35"/>
      <c r="K324" s="11"/>
      <c r="L324" s="35"/>
    </row>
    <row r="325" spans="1:12" x14ac:dyDescent="0.25">
      <c r="A325" s="33"/>
      <c r="B325" s="33"/>
      <c r="C325" s="33"/>
      <c r="D325" s="35"/>
      <c r="E325" s="35"/>
      <c r="F325" s="35"/>
      <c r="G325" s="35"/>
      <c r="H325" s="11"/>
      <c r="I325" s="35"/>
      <c r="J325" s="35"/>
      <c r="K325" s="11"/>
      <c r="L325" s="35"/>
    </row>
    <row r="326" spans="1:12" x14ac:dyDescent="0.25">
      <c r="A326" s="33"/>
      <c r="B326" s="33"/>
      <c r="C326" s="33"/>
      <c r="D326" s="35"/>
      <c r="E326" s="35"/>
      <c r="F326" s="35"/>
      <c r="G326" s="35"/>
      <c r="H326" s="11"/>
      <c r="I326" s="35"/>
      <c r="J326" s="35"/>
      <c r="K326" s="11"/>
      <c r="L326" s="35"/>
    </row>
    <row r="327" spans="1:12" x14ac:dyDescent="0.25">
      <c r="A327" s="33"/>
      <c r="B327" s="33"/>
      <c r="C327" s="33"/>
      <c r="D327" s="35"/>
      <c r="E327" s="35"/>
      <c r="F327" s="35"/>
      <c r="G327" s="35"/>
      <c r="H327" s="11"/>
      <c r="I327" s="35"/>
      <c r="J327" s="35"/>
      <c r="K327" s="11"/>
      <c r="L327" s="35"/>
    </row>
    <row r="328" spans="1:12" x14ac:dyDescent="0.25">
      <c r="A328" s="33"/>
      <c r="B328" s="33"/>
      <c r="C328" s="33"/>
      <c r="D328" s="35"/>
      <c r="E328" s="35"/>
      <c r="F328" s="35"/>
      <c r="G328" s="35"/>
      <c r="H328" s="11"/>
      <c r="I328" s="35"/>
      <c r="J328" s="35"/>
      <c r="K328" s="11"/>
      <c r="L328" s="35"/>
    </row>
    <row r="329" spans="1:12" x14ac:dyDescent="0.25">
      <c r="A329" s="33"/>
      <c r="B329" s="33"/>
      <c r="C329" s="33"/>
      <c r="D329" s="35"/>
      <c r="E329" s="35"/>
      <c r="F329" s="35"/>
      <c r="G329" s="35"/>
      <c r="H329" s="11"/>
      <c r="I329" s="35"/>
      <c r="J329" s="35"/>
      <c r="K329" s="11"/>
      <c r="L329" s="35"/>
    </row>
    <row r="330" spans="1:12" x14ac:dyDescent="0.25">
      <c r="A330" s="33"/>
      <c r="B330" s="33"/>
      <c r="C330" s="33"/>
      <c r="D330" s="35"/>
      <c r="E330" s="35"/>
      <c r="F330" s="35"/>
      <c r="G330" s="35"/>
      <c r="H330" s="11"/>
      <c r="I330" s="35"/>
      <c r="J330" s="35"/>
      <c r="K330" s="11"/>
      <c r="L330" s="35"/>
    </row>
    <row r="331" spans="1:12" x14ac:dyDescent="0.25">
      <c r="A331" s="33"/>
      <c r="B331" s="33"/>
      <c r="C331" s="33"/>
      <c r="D331" s="35"/>
      <c r="E331" s="35"/>
      <c r="F331" s="35"/>
      <c r="G331" s="35"/>
      <c r="H331" s="11"/>
      <c r="I331" s="35"/>
      <c r="J331" s="35"/>
      <c r="K331" s="11"/>
      <c r="L331" s="35"/>
    </row>
    <row r="332" spans="1:12" x14ac:dyDescent="0.25">
      <c r="A332" s="33"/>
      <c r="B332" s="33"/>
      <c r="C332" s="33"/>
      <c r="D332" s="35"/>
      <c r="E332" s="35"/>
      <c r="F332" s="35"/>
      <c r="G332" s="35"/>
      <c r="H332" s="11"/>
      <c r="I332" s="35"/>
      <c r="J332" s="35"/>
      <c r="K332" s="11"/>
      <c r="L332" s="35"/>
    </row>
    <row r="333" spans="1:12" x14ac:dyDescent="0.25">
      <c r="A333" s="33"/>
      <c r="B333" s="33"/>
      <c r="C333" s="33"/>
      <c r="D333" s="35"/>
      <c r="E333" s="35"/>
      <c r="F333" s="35"/>
      <c r="G333" s="35"/>
      <c r="H333" s="11"/>
      <c r="I333" s="35"/>
      <c r="J333" s="35"/>
      <c r="K333" s="11"/>
      <c r="L333" s="35"/>
    </row>
    <row r="334" spans="1:12" x14ac:dyDescent="0.25">
      <c r="A334" s="33"/>
      <c r="B334" s="33"/>
      <c r="C334" s="33"/>
      <c r="D334" s="35"/>
      <c r="E334" s="35"/>
      <c r="F334" s="35"/>
      <c r="G334" s="35"/>
      <c r="H334" s="11"/>
      <c r="I334" s="35"/>
      <c r="J334" s="35"/>
      <c r="K334" s="11"/>
      <c r="L334" s="35"/>
    </row>
    <row r="335" spans="1:12" x14ac:dyDescent="0.25">
      <c r="A335" s="33"/>
      <c r="B335" s="33"/>
      <c r="C335" s="33"/>
      <c r="D335" s="35"/>
      <c r="E335" s="35"/>
      <c r="F335" s="35"/>
      <c r="G335" s="35"/>
      <c r="H335" s="11"/>
      <c r="I335" s="35"/>
      <c r="J335" s="35"/>
      <c r="K335" s="11"/>
      <c r="L335" s="35"/>
    </row>
    <row r="336" spans="1:12" x14ac:dyDescent="0.25">
      <c r="A336" s="33"/>
      <c r="B336" s="33"/>
      <c r="C336" s="33"/>
      <c r="D336" s="35"/>
      <c r="E336" s="35"/>
      <c r="F336" s="35"/>
      <c r="G336" s="35"/>
      <c r="H336" s="11"/>
      <c r="I336" s="35"/>
      <c r="J336" s="35"/>
      <c r="K336" s="11"/>
      <c r="L336" s="35"/>
    </row>
    <row r="337" spans="1:12" x14ac:dyDescent="0.25">
      <c r="A337" s="33"/>
      <c r="B337" s="33"/>
      <c r="C337" s="33"/>
      <c r="D337" s="35"/>
      <c r="E337" s="35"/>
      <c r="F337" s="35"/>
      <c r="G337" s="35"/>
      <c r="H337" s="11"/>
      <c r="I337" s="35"/>
      <c r="J337" s="35"/>
      <c r="K337" s="11"/>
      <c r="L337" s="35"/>
    </row>
    <row r="338" spans="1:12" x14ac:dyDescent="0.25">
      <c r="A338" s="33"/>
      <c r="B338" s="33"/>
      <c r="C338" s="33"/>
      <c r="D338" s="35"/>
      <c r="E338" s="35"/>
      <c r="F338" s="35"/>
      <c r="G338" s="35"/>
      <c r="H338" s="11"/>
      <c r="I338" s="35"/>
      <c r="J338" s="35"/>
      <c r="K338" s="11"/>
      <c r="L338" s="35"/>
    </row>
    <row r="339" spans="1:12" x14ac:dyDescent="0.25">
      <c r="A339" s="33"/>
      <c r="B339" s="33"/>
      <c r="C339" s="33"/>
      <c r="D339" s="35"/>
      <c r="E339" s="35"/>
      <c r="F339" s="35"/>
      <c r="G339" s="35"/>
      <c r="H339" s="11"/>
      <c r="I339" s="35"/>
      <c r="J339" s="35"/>
      <c r="K339" s="11"/>
      <c r="L339" s="35"/>
    </row>
    <row r="340" spans="1:12" x14ac:dyDescent="0.25">
      <c r="A340" s="33"/>
      <c r="B340" s="33"/>
      <c r="C340" s="33"/>
      <c r="D340" s="35"/>
      <c r="E340" s="35"/>
      <c r="F340" s="35"/>
      <c r="G340" s="35"/>
      <c r="H340" s="11"/>
      <c r="I340" s="35"/>
      <c r="J340" s="35"/>
      <c r="K340" s="11"/>
      <c r="L340" s="35"/>
    </row>
    <row r="341" spans="1:12" x14ac:dyDescent="0.25">
      <c r="A341" s="33"/>
      <c r="B341" s="33"/>
      <c r="C341" s="33"/>
      <c r="D341" s="35"/>
      <c r="E341" s="35"/>
      <c r="F341" s="35"/>
      <c r="G341" s="35"/>
      <c r="H341" s="11"/>
      <c r="I341" s="35"/>
      <c r="J341" s="35"/>
      <c r="K341" s="11"/>
      <c r="L341" s="35"/>
    </row>
    <row r="342" spans="1:12" x14ac:dyDescent="0.25">
      <c r="A342" s="33"/>
      <c r="B342" s="33"/>
      <c r="C342" s="33"/>
      <c r="D342" s="35"/>
      <c r="E342" s="35"/>
      <c r="F342" s="35"/>
      <c r="G342" s="35"/>
      <c r="H342" s="11"/>
      <c r="I342" s="35"/>
      <c r="J342" s="35"/>
      <c r="K342" s="11"/>
      <c r="L342" s="35"/>
    </row>
    <row r="343" spans="1:12" x14ac:dyDescent="0.25">
      <c r="A343" s="33"/>
      <c r="B343" s="33"/>
      <c r="C343" s="33"/>
      <c r="D343" s="35"/>
      <c r="E343" s="35"/>
      <c r="F343" s="35"/>
      <c r="G343" s="35"/>
      <c r="H343" s="11"/>
      <c r="I343" s="35"/>
      <c r="J343" s="35"/>
      <c r="K343" s="11"/>
      <c r="L343" s="35"/>
    </row>
    <row r="344" spans="1:12" x14ac:dyDescent="0.25">
      <c r="A344" s="33"/>
      <c r="B344" s="33"/>
      <c r="C344" s="33"/>
      <c r="D344" s="35"/>
      <c r="E344" s="35"/>
      <c r="F344" s="35"/>
      <c r="G344" s="35"/>
      <c r="H344" s="11"/>
      <c r="I344" s="35"/>
      <c r="J344" s="35"/>
      <c r="K344" s="11"/>
      <c r="L344" s="35"/>
    </row>
    <row r="345" spans="1:12" x14ac:dyDescent="0.25">
      <c r="A345" s="33"/>
      <c r="B345" s="33"/>
      <c r="C345" s="33"/>
      <c r="D345" s="35"/>
      <c r="E345" s="35"/>
      <c r="F345" s="35"/>
      <c r="G345" s="35"/>
      <c r="H345" s="11"/>
      <c r="I345" s="35"/>
      <c r="J345" s="35"/>
      <c r="K345" s="11"/>
      <c r="L345" s="35"/>
    </row>
    <row r="346" spans="1:12" x14ac:dyDescent="0.25">
      <c r="A346" s="33"/>
      <c r="B346" s="33"/>
      <c r="C346" s="33"/>
      <c r="D346" s="35"/>
      <c r="E346" s="35"/>
      <c r="F346" s="35"/>
      <c r="G346" s="35"/>
      <c r="H346" s="11"/>
      <c r="I346" s="35"/>
      <c r="J346" s="35"/>
      <c r="K346" s="11"/>
      <c r="L346" s="35"/>
    </row>
    <row r="347" spans="1:12" x14ac:dyDescent="0.25">
      <c r="A347" s="33"/>
      <c r="B347" s="33"/>
      <c r="C347" s="33"/>
      <c r="D347" s="35"/>
      <c r="E347" s="35"/>
      <c r="F347" s="35"/>
      <c r="G347" s="35"/>
      <c r="H347" s="11"/>
      <c r="I347" s="35"/>
      <c r="J347" s="35"/>
      <c r="K347" s="11"/>
      <c r="L347" s="35"/>
    </row>
    <row r="348" spans="1:12" x14ac:dyDescent="0.25">
      <c r="A348" s="33"/>
      <c r="B348" s="33"/>
      <c r="C348" s="33"/>
      <c r="D348" s="35"/>
      <c r="E348" s="35"/>
      <c r="F348" s="35"/>
      <c r="G348" s="35"/>
      <c r="H348" s="11"/>
      <c r="I348" s="35"/>
      <c r="J348" s="35"/>
      <c r="K348" s="11"/>
      <c r="L348" s="35"/>
    </row>
    <row r="349" spans="1:12" x14ac:dyDescent="0.25">
      <c r="A349" s="33"/>
      <c r="B349" s="33"/>
      <c r="C349" s="33"/>
      <c r="D349" s="35"/>
      <c r="E349" s="35"/>
      <c r="F349" s="35"/>
      <c r="G349" s="35"/>
      <c r="H349" s="11"/>
      <c r="I349" s="35"/>
      <c r="J349" s="35"/>
      <c r="K349" s="11"/>
      <c r="L349" s="35"/>
    </row>
    <row r="350" spans="1:12" x14ac:dyDescent="0.25">
      <c r="A350" s="33"/>
      <c r="B350" s="33"/>
      <c r="C350" s="33"/>
      <c r="D350" s="35"/>
      <c r="E350" s="35"/>
      <c r="F350" s="35"/>
      <c r="G350" s="35"/>
      <c r="H350" s="11"/>
      <c r="I350" s="35"/>
      <c r="J350" s="35"/>
      <c r="K350" s="11"/>
      <c r="L350" s="35"/>
    </row>
    <row r="351" spans="1:12" x14ac:dyDescent="0.25">
      <c r="A351" s="33"/>
      <c r="B351" s="33"/>
      <c r="C351" s="33"/>
      <c r="D351" s="35"/>
      <c r="E351" s="35"/>
      <c r="F351" s="35"/>
      <c r="G351" s="35"/>
      <c r="H351" s="11"/>
      <c r="I351" s="35"/>
      <c r="J351" s="35"/>
      <c r="K351" s="11"/>
      <c r="L351" s="35"/>
    </row>
    <row r="352" spans="1:12" x14ac:dyDescent="0.25">
      <c r="A352" s="33"/>
      <c r="B352" s="33"/>
      <c r="C352" s="33"/>
      <c r="D352" s="35"/>
      <c r="E352" s="35"/>
      <c r="F352" s="35"/>
      <c r="G352" s="35"/>
      <c r="H352" s="11"/>
      <c r="I352" s="35"/>
      <c r="J352" s="35"/>
      <c r="K352" s="11"/>
      <c r="L352" s="35"/>
    </row>
    <row r="353" spans="1:12" x14ac:dyDescent="0.25">
      <c r="A353" s="33"/>
      <c r="B353" s="33"/>
      <c r="C353" s="33"/>
      <c r="D353" s="35"/>
      <c r="E353" s="35"/>
      <c r="F353" s="35"/>
      <c r="G353" s="35"/>
      <c r="H353" s="11"/>
      <c r="I353" s="35"/>
      <c r="J353" s="35"/>
      <c r="K353" s="11"/>
      <c r="L353" s="35"/>
    </row>
    <row r="354" spans="1:12" x14ac:dyDescent="0.25">
      <c r="A354" s="33"/>
      <c r="B354" s="33"/>
      <c r="C354" s="33"/>
      <c r="D354" s="35"/>
      <c r="E354" s="35"/>
      <c r="F354" s="35"/>
      <c r="G354" s="35"/>
      <c r="H354" s="11"/>
      <c r="I354" s="35"/>
      <c r="J354" s="35"/>
      <c r="K354" s="11"/>
      <c r="L354" s="35"/>
    </row>
    <row r="355" spans="1:12" x14ac:dyDescent="0.25">
      <c r="A355" s="33"/>
      <c r="B355" s="33"/>
      <c r="C355" s="33"/>
      <c r="D355" s="35"/>
      <c r="E355" s="35"/>
      <c r="F355" s="35"/>
      <c r="G355" s="35"/>
      <c r="H355" s="11"/>
      <c r="I355" s="35"/>
      <c r="J355" s="35"/>
      <c r="K355" s="11"/>
      <c r="L355" s="35"/>
    </row>
    <row r="356" spans="1:12" x14ac:dyDescent="0.25">
      <c r="A356" s="33"/>
      <c r="B356" s="33"/>
      <c r="C356" s="33"/>
      <c r="D356" s="35"/>
      <c r="E356" s="35"/>
      <c r="F356" s="35"/>
      <c r="G356" s="35"/>
      <c r="H356" s="11"/>
      <c r="I356" s="35"/>
      <c r="J356" s="35"/>
      <c r="K356" s="11"/>
      <c r="L356" s="35"/>
    </row>
    <row r="357" spans="1:12" x14ac:dyDescent="0.25">
      <c r="A357" s="33"/>
      <c r="B357" s="33"/>
      <c r="C357" s="33"/>
      <c r="D357" s="35"/>
      <c r="E357" s="35"/>
      <c r="F357" s="35"/>
      <c r="G357" s="35"/>
      <c r="H357" s="11"/>
      <c r="I357" s="35"/>
      <c r="J357" s="35"/>
      <c r="K357" s="11"/>
      <c r="L357" s="35"/>
    </row>
    <row r="358" spans="1:12" x14ac:dyDescent="0.25">
      <c r="D358" s="11"/>
      <c r="E358" s="11"/>
      <c r="F358" s="11"/>
      <c r="G358" s="11"/>
      <c r="H358" s="11"/>
      <c r="I358" s="11"/>
      <c r="J358" s="11"/>
      <c r="K358" s="11"/>
      <c r="L358" s="11"/>
    </row>
    <row r="359" spans="1:12" x14ac:dyDescent="0.25">
      <c r="D359" s="11"/>
      <c r="E359" s="11"/>
      <c r="F359" s="11"/>
      <c r="G359" s="11"/>
      <c r="H359" s="11"/>
      <c r="I359" s="11"/>
      <c r="J359" s="11"/>
      <c r="K359" s="11"/>
      <c r="L359" s="11"/>
    </row>
    <row r="360" spans="1:12" x14ac:dyDescent="0.25">
      <c r="D360" s="11"/>
      <c r="E360" s="11"/>
      <c r="F360" s="11"/>
      <c r="G360" s="11"/>
      <c r="H360" s="11"/>
      <c r="I360" s="11"/>
      <c r="J360" s="11"/>
      <c r="K360" s="11"/>
      <c r="L360" s="11"/>
    </row>
    <row r="361" spans="1:12" x14ac:dyDescent="0.25">
      <c r="D361" s="11"/>
      <c r="E361" s="11"/>
      <c r="F361" s="11"/>
      <c r="G361" s="11"/>
      <c r="H361" s="11"/>
      <c r="I361" s="11"/>
      <c r="J361" s="11"/>
      <c r="K361" s="11"/>
      <c r="L361" s="11"/>
    </row>
    <row r="362" spans="1:12" x14ac:dyDescent="0.25">
      <c r="D362" s="11"/>
      <c r="E362" s="11"/>
      <c r="F362" s="11"/>
      <c r="G362" s="11"/>
      <c r="H362" s="11"/>
      <c r="I362" s="11"/>
      <c r="J362" s="11"/>
      <c r="K362" s="11"/>
      <c r="L362" s="11"/>
    </row>
    <row r="363" spans="1:12" x14ac:dyDescent="0.25">
      <c r="D363" s="11"/>
      <c r="E363" s="11"/>
      <c r="F363" s="11"/>
      <c r="G363" s="11"/>
      <c r="H363" s="11"/>
      <c r="I363" s="11"/>
      <c r="J363" s="11"/>
      <c r="K363" s="11"/>
      <c r="L363" s="11"/>
    </row>
    <row r="364" spans="1:12" x14ac:dyDescent="0.25">
      <c r="D364" s="11"/>
      <c r="E364" s="11"/>
      <c r="F364" s="11"/>
      <c r="G364" s="11"/>
      <c r="H364" s="11"/>
      <c r="I364" s="11"/>
      <c r="J364" s="11"/>
      <c r="K364" s="11"/>
      <c r="L364" s="11"/>
    </row>
    <row r="365" spans="1:12" x14ac:dyDescent="0.25">
      <c r="D365" s="11"/>
      <c r="E365" s="11"/>
      <c r="F365" s="11"/>
      <c r="G365" s="11"/>
      <c r="H365" s="11"/>
      <c r="I365" s="11"/>
      <c r="J365" s="11"/>
      <c r="K365" s="11"/>
      <c r="L365" s="11"/>
    </row>
    <row r="366" spans="1:12" x14ac:dyDescent="0.25">
      <c r="D366" s="11"/>
      <c r="E366" s="11"/>
      <c r="F366" s="11"/>
      <c r="G366" s="11"/>
      <c r="H366" s="11"/>
      <c r="I366" s="11"/>
      <c r="J366" s="11"/>
      <c r="K366" s="11"/>
      <c r="L366" s="11"/>
    </row>
    <row r="367" spans="1:12" x14ac:dyDescent="0.25">
      <c r="D367" s="11"/>
      <c r="E367" s="11"/>
      <c r="F367" s="11"/>
      <c r="G367" s="11"/>
      <c r="H367" s="11"/>
      <c r="I367" s="11"/>
      <c r="J367" s="11"/>
      <c r="K367" s="11"/>
      <c r="L367" s="11"/>
    </row>
    <row r="368" spans="1:12" x14ac:dyDescent="0.25">
      <c r="D368" s="11"/>
      <c r="E368" s="11"/>
      <c r="F368" s="11"/>
      <c r="G368" s="11"/>
      <c r="H368" s="11"/>
      <c r="I368" s="11"/>
      <c r="J368" s="11"/>
      <c r="K368" s="11"/>
      <c r="L368" s="11"/>
    </row>
    <row r="369" spans="4:12" x14ac:dyDescent="0.25">
      <c r="D369" s="11"/>
      <c r="E369" s="11"/>
      <c r="F369" s="11"/>
      <c r="G369" s="11"/>
      <c r="H369" s="11"/>
      <c r="I369" s="11"/>
      <c r="J369" s="11"/>
      <c r="K369" s="11"/>
      <c r="L369" s="11"/>
    </row>
    <row r="370" spans="4:12" x14ac:dyDescent="0.25">
      <c r="D370" s="11"/>
      <c r="E370" s="11"/>
      <c r="F370" s="11"/>
      <c r="G370" s="11"/>
      <c r="H370" s="11"/>
      <c r="I370" s="11"/>
      <c r="J370" s="11"/>
      <c r="K370" s="11"/>
      <c r="L370" s="11"/>
    </row>
    <row r="371" spans="4:12" x14ac:dyDescent="0.25">
      <c r="D371" s="11"/>
      <c r="E371" s="11"/>
      <c r="F371" s="11"/>
      <c r="G371" s="11"/>
      <c r="H371" s="11"/>
      <c r="I371" s="11"/>
      <c r="J371" s="11"/>
      <c r="K371" s="11"/>
      <c r="L371" s="11"/>
    </row>
    <row r="372" spans="4:12" x14ac:dyDescent="0.25">
      <c r="D372" s="11"/>
      <c r="E372" s="11"/>
      <c r="F372" s="11"/>
      <c r="G372" s="11"/>
      <c r="H372" s="11"/>
      <c r="I372" s="11"/>
      <c r="J372" s="11"/>
      <c r="K372" s="11"/>
      <c r="L372" s="11"/>
    </row>
    <row r="373" spans="4:12" x14ac:dyDescent="0.25">
      <c r="D373" s="11"/>
      <c r="E373" s="11"/>
      <c r="F373" s="11"/>
      <c r="G373" s="11"/>
      <c r="H373" s="11"/>
      <c r="I373" s="11"/>
      <c r="J373" s="11"/>
      <c r="K373" s="11"/>
      <c r="L373" s="11"/>
    </row>
    <row r="374" spans="4:12" x14ac:dyDescent="0.25">
      <c r="D374" s="11"/>
      <c r="E374" s="11"/>
      <c r="F374" s="11"/>
      <c r="G374" s="11"/>
      <c r="H374" s="11"/>
      <c r="I374" s="11"/>
      <c r="J374" s="11"/>
      <c r="K374" s="11"/>
      <c r="L374" s="11"/>
    </row>
    <row r="375" spans="4:12" x14ac:dyDescent="0.25">
      <c r="D375" s="11"/>
      <c r="E375" s="11"/>
      <c r="F375" s="11"/>
      <c r="G375" s="11"/>
      <c r="H375" s="11"/>
      <c r="I375" s="11"/>
      <c r="J375" s="11"/>
      <c r="K375" s="11"/>
      <c r="L375" s="11"/>
    </row>
    <row r="376" spans="4:12" x14ac:dyDescent="0.25">
      <c r="D376" s="11"/>
      <c r="E376" s="11"/>
      <c r="F376" s="11"/>
      <c r="G376" s="11"/>
      <c r="H376" s="11"/>
      <c r="I376" s="11"/>
      <c r="J376" s="11"/>
      <c r="K376" s="11"/>
      <c r="L376" s="11"/>
    </row>
    <row r="377" spans="4:12" x14ac:dyDescent="0.25">
      <c r="D377" s="11"/>
      <c r="E377" s="11"/>
      <c r="F377" s="11"/>
      <c r="G377" s="11"/>
      <c r="H377" s="11"/>
      <c r="I377" s="11"/>
      <c r="J377" s="11"/>
      <c r="K377" s="11"/>
      <c r="L377" s="11"/>
    </row>
    <row r="378" spans="4:12" x14ac:dyDescent="0.25">
      <c r="D378" s="11"/>
      <c r="E378" s="11"/>
      <c r="F378" s="11"/>
      <c r="G378" s="11"/>
      <c r="H378" s="11"/>
      <c r="I378" s="11"/>
      <c r="J378" s="11"/>
      <c r="K378" s="11"/>
      <c r="L378" s="11"/>
    </row>
    <row r="379" spans="4:12" x14ac:dyDescent="0.25">
      <c r="D379" s="11"/>
      <c r="E379" s="11"/>
      <c r="F379" s="11"/>
      <c r="G379" s="11"/>
      <c r="H379" s="11"/>
      <c r="I379" s="11"/>
      <c r="J379" s="11"/>
      <c r="K379" s="11"/>
      <c r="L379" s="11"/>
    </row>
    <row r="380" spans="4:12" x14ac:dyDescent="0.25">
      <c r="D380" s="11"/>
      <c r="E380" s="11"/>
      <c r="F380" s="11"/>
      <c r="G380" s="11"/>
      <c r="H380" s="11"/>
      <c r="I380" s="11"/>
      <c r="J380" s="11"/>
      <c r="K380" s="11"/>
      <c r="L380" s="11"/>
    </row>
    <row r="381" spans="4:12" x14ac:dyDescent="0.25">
      <c r="D381" s="11"/>
      <c r="E381" s="11"/>
      <c r="F381" s="11"/>
      <c r="G381" s="11"/>
      <c r="H381" s="11"/>
      <c r="I381" s="11"/>
      <c r="J381" s="11"/>
      <c r="K381" s="11"/>
      <c r="L381" s="11"/>
    </row>
    <row r="382" spans="4:12" x14ac:dyDescent="0.25">
      <c r="D382" s="11"/>
      <c r="E382" s="11"/>
      <c r="F382" s="11"/>
      <c r="G382" s="11"/>
      <c r="H382" s="11"/>
      <c r="I382" s="11"/>
      <c r="J382" s="11"/>
      <c r="K382" s="11"/>
      <c r="L382" s="11"/>
    </row>
    <row r="383" spans="4:12" x14ac:dyDescent="0.25">
      <c r="D383" s="11"/>
      <c r="E383" s="11"/>
      <c r="F383" s="11"/>
      <c r="G383" s="11"/>
      <c r="H383" s="11"/>
      <c r="I383" s="11"/>
      <c r="J383" s="11"/>
      <c r="K383" s="11"/>
      <c r="L383" s="11"/>
    </row>
    <row r="384" spans="4:12" x14ac:dyDescent="0.25">
      <c r="D384" s="11"/>
      <c r="E384" s="11"/>
      <c r="F384" s="11"/>
      <c r="G384" s="11"/>
      <c r="H384" s="11"/>
      <c r="I384" s="11"/>
      <c r="J384" s="11"/>
      <c r="K384" s="11"/>
      <c r="L384" s="11"/>
    </row>
    <row r="385" spans="4:12" x14ac:dyDescent="0.25">
      <c r="D385" s="11"/>
      <c r="E385" s="11"/>
      <c r="F385" s="11"/>
      <c r="G385" s="11"/>
      <c r="H385" s="11"/>
      <c r="I385" s="11"/>
      <c r="J385" s="11"/>
      <c r="K385" s="11"/>
      <c r="L385" s="11"/>
    </row>
    <row r="386" spans="4:12" x14ac:dyDescent="0.25">
      <c r="D386" s="11"/>
      <c r="E386" s="11"/>
      <c r="F386" s="11"/>
      <c r="G386" s="11"/>
      <c r="H386" s="11"/>
      <c r="I386" s="11"/>
      <c r="J386" s="11"/>
      <c r="K386" s="11"/>
      <c r="L386" s="11"/>
    </row>
    <row r="387" spans="4:12" x14ac:dyDescent="0.25">
      <c r="D387" s="11"/>
      <c r="E387" s="11"/>
      <c r="F387" s="11"/>
      <c r="G387" s="11"/>
      <c r="H387" s="11"/>
      <c r="I387" s="11"/>
      <c r="J387" s="11"/>
      <c r="K387" s="11"/>
      <c r="L387" s="11"/>
    </row>
    <row r="388" spans="4:12" x14ac:dyDescent="0.25">
      <c r="D388" s="11"/>
      <c r="E388" s="11"/>
      <c r="F388" s="11"/>
      <c r="G388" s="11"/>
      <c r="H388" s="11"/>
      <c r="I388" s="11"/>
      <c r="J388" s="11"/>
      <c r="K388" s="11"/>
      <c r="L388" s="11"/>
    </row>
    <row r="389" spans="4:12" x14ac:dyDescent="0.25">
      <c r="D389" s="11"/>
      <c r="E389" s="11"/>
      <c r="F389" s="11"/>
      <c r="G389" s="11"/>
      <c r="H389" s="11"/>
      <c r="I389" s="11"/>
      <c r="J389" s="11"/>
      <c r="K389" s="11"/>
      <c r="L389" s="11"/>
    </row>
    <row r="390" spans="4:12" x14ac:dyDescent="0.25">
      <c r="D390" s="11"/>
      <c r="E390" s="11"/>
      <c r="F390" s="11"/>
      <c r="G390" s="11"/>
      <c r="H390" s="11"/>
      <c r="I390" s="11"/>
      <c r="J390" s="11"/>
      <c r="K390" s="11"/>
      <c r="L390" s="11"/>
    </row>
    <row r="391" spans="4:12" x14ac:dyDescent="0.25">
      <c r="D391" s="11"/>
      <c r="E391" s="11"/>
      <c r="F391" s="11"/>
      <c r="G391" s="11"/>
      <c r="H391" s="11"/>
      <c r="I391" s="11"/>
      <c r="J391" s="11"/>
      <c r="K391" s="11"/>
      <c r="L391" s="11"/>
    </row>
    <row r="392" spans="4:12" x14ac:dyDescent="0.25">
      <c r="D392" s="11"/>
      <c r="E392" s="11"/>
      <c r="F392" s="11"/>
      <c r="G392" s="11"/>
      <c r="H392" s="11"/>
      <c r="I392" s="11"/>
      <c r="J392" s="11"/>
      <c r="K392" s="11"/>
      <c r="L392" s="11"/>
    </row>
    <row r="393" spans="4:12" x14ac:dyDescent="0.25">
      <c r="D393" s="11"/>
      <c r="E393" s="11"/>
      <c r="F393" s="11"/>
      <c r="G393" s="11"/>
      <c r="H393" s="11"/>
      <c r="I393" s="11"/>
      <c r="J393" s="11"/>
      <c r="K393" s="11"/>
      <c r="L393" s="11"/>
    </row>
    <row r="394" spans="4:12" x14ac:dyDescent="0.25">
      <c r="D394" s="11"/>
      <c r="E394" s="11"/>
      <c r="F394" s="11"/>
      <c r="G394" s="11"/>
      <c r="H394" s="11"/>
      <c r="I394" s="11"/>
      <c r="J394" s="11"/>
      <c r="K394" s="11"/>
      <c r="L394" s="11"/>
    </row>
    <row r="395" spans="4:12" x14ac:dyDescent="0.25">
      <c r="D395" s="11"/>
      <c r="E395" s="11"/>
      <c r="F395" s="11"/>
      <c r="G395" s="11"/>
      <c r="H395" s="11"/>
      <c r="I395" s="11"/>
      <c r="J395" s="11"/>
      <c r="K395" s="11"/>
      <c r="L395" s="11"/>
    </row>
    <row r="396" spans="4:12" x14ac:dyDescent="0.25">
      <c r="D396" s="11"/>
      <c r="E396" s="11"/>
      <c r="F396" s="11"/>
      <c r="G396" s="11"/>
      <c r="H396" s="11"/>
      <c r="I396" s="11"/>
      <c r="J396" s="11"/>
      <c r="K396" s="11"/>
      <c r="L396" s="11"/>
    </row>
    <row r="397" spans="4:12" x14ac:dyDescent="0.25">
      <c r="D397" s="11"/>
      <c r="E397" s="11"/>
      <c r="F397" s="11"/>
      <c r="G397" s="11"/>
      <c r="H397" s="11"/>
      <c r="I397" s="11"/>
      <c r="J397" s="11"/>
      <c r="K397" s="11"/>
      <c r="L397" s="11"/>
    </row>
    <row r="398" spans="4:12" x14ac:dyDescent="0.25">
      <c r="D398" s="11"/>
      <c r="E398" s="11"/>
      <c r="F398" s="11"/>
      <c r="G398" s="11"/>
      <c r="H398" s="11"/>
      <c r="I398" s="11"/>
      <c r="J398" s="11"/>
      <c r="K398" s="11"/>
      <c r="L398" s="11"/>
    </row>
    <row r="399" spans="4:12" x14ac:dyDescent="0.25">
      <c r="D399" s="11"/>
      <c r="E399" s="11"/>
      <c r="F399" s="11"/>
      <c r="G399" s="11"/>
      <c r="H399" s="11"/>
      <c r="I399" s="11"/>
      <c r="J399" s="11"/>
      <c r="K399" s="11"/>
      <c r="L399" s="11"/>
    </row>
    <row r="400" spans="4:12" x14ac:dyDescent="0.25">
      <c r="D400" s="11"/>
      <c r="E400" s="11"/>
      <c r="F400" s="11"/>
      <c r="G400" s="11"/>
      <c r="H400" s="11"/>
      <c r="I400" s="11"/>
      <c r="J400" s="11"/>
      <c r="K400" s="11"/>
      <c r="L400" s="11"/>
    </row>
    <row r="401" spans="4:12" x14ac:dyDescent="0.25">
      <c r="D401" s="11"/>
      <c r="E401" s="11"/>
      <c r="F401" s="11"/>
      <c r="G401" s="11"/>
      <c r="H401" s="11"/>
      <c r="I401" s="11"/>
      <c r="J401" s="11"/>
      <c r="K401" s="11"/>
      <c r="L401" s="11"/>
    </row>
    <row r="402" spans="4:12" x14ac:dyDescent="0.25">
      <c r="D402" s="11"/>
      <c r="E402" s="11"/>
      <c r="F402" s="11"/>
      <c r="G402" s="11"/>
      <c r="H402" s="11"/>
      <c r="I402" s="11"/>
      <c r="J402" s="11"/>
      <c r="K402" s="11"/>
      <c r="L402" s="11"/>
    </row>
    <row r="403" spans="4:12" x14ac:dyDescent="0.25">
      <c r="D403" s="11"/>
      <c r="E403" s="11"/>
      <c r="F403" s="11"/>
      <c r="G403" s="11"/>
      <c r="H403" s="11"/>
      <c r="I403" s="11"/>
      <c r="J403" s="11"/>
      <c r="K403" s="11"/>
      <c r="L403" s="11"/>
    </row>
    <row r="404" spans="4:12" x14ac:dyDescent="0.25">
      <c r="D404" s="11"/>
      <c r="E404" s="11"/>
      <c r="F404" s="11"/>
      <c r="G404" s="11"/>
      <c r="H404" s="11"/>
      <c r="I404" s="11"/>
      <c r="J404" s="11"/>
      <c r="K404" s="11"/>
      <c r="L404" s="11"/>
    </row>
    <row r="405" spans="4:12" x14ac:dyDescent="0.25">
      <c r="D405" s="11"/>
      <c r="E405" s="11"/>
      <c r="F405" s="11"/>
      <c r="G405" s="11"/>
      <c r="H405" s="11"/>
      <c r="I405" s="11"/>
      <c r="J405" s="11"/>
      <c r="K405" s="11"/>
      <c r="L405" s="11"/>
    </row>
    <row r="406" spans="4:12" x14ac:dyDescent="0.25">
      <c r="D406" s="11"/>
      <c r="E406" s="11"/>
      <c r="F406" s="11"/>
      <c r="G406" s="11"/>
      <c r="H406" s="11"/>
      <c r="I406" s="11"/>
      <c r="J406" s="11"/>
      <c r="K406" s="11"/>
      <c r="L406" s="11"/>
    </row>
    <row r="407" spans="4:12" x14ac:dyDescent="0.25">
      <c r="D407" s="11"/>
      <c r="E407" s="11"/>
      <c r="F407" s="11"/>
      <c r="G407" s="11"/>
      <c r="H407" s="11"/>
      <c r="I407" s="11"/>
      <c r="J407" s="11"/>
      <c r="K407" s="11"/>
      <c r="L407" s="11"/>
    </row>
    <row r="408" spans="4:12" x14ac:dyDescent="0.25">
      <c r="D408" s="11"/>
      <c r="E408" s="11"/>
      <c r="F408" s="11"/>
      <c r="G408" s="11"/>
      <c r="H408" s="11"/>
      <c r="I408" s="11"/>
      <c r="J408" s="11"/>
      <c r="K408" s="11"/>
      <c r="L408" s="11"/>
    </row>
    <row r="409" spans="4:12" x14ac:dyDescent="0.25">
      <c r="D409" s="11"/>
      <c r="E409" s="11"/>
      <c r="F409" s="11"/>
      <c r="G409" s="11"/>
      <c r="H409" s="11"/>
      <c r="I409" s="11"/>
      <c r="J409" s="11"/>
      <c r="K409" s="11"/>
      <c r="L409" s="11"/>
    </row>
    <row r="410" spans="4:12" x14ac:dyDescent="0.25">
      <c r="D410" s="11"/>
      <c r="E410" s="11"/>
      <c r="F410" s="11"/>
      <c r="G410" s="11"/>
      <c r="H410" s="11"/>
      <c r="I410" s="11"/>
      <c r="J410" s="11"/>
      <c r="K410" s="11"/>
      <c r="L410" s="11"/>
    </row>
    <row r="411" spans="4:12" x14ac:dyDescent="0.25">
      <c r="D411" s="11"/>
      <c r="E411" s="11"/>
      <c r="F411" s="11"/>
      <c r="G411" s="11"/>
      <c r="H411" s="11"/>
      <c r="I411" s="11"/>
      <c r="J411" s="11"/>
      <c r="K411" s="11"/>
      <c r="L411" s="11"/>
    </row>
    <row r="412" spans="4:12" x14ac:dyDescent="0.25">
      <c r="D412" s="11"/>
      <c r="E412" s="11"/>
      <c r="F412" s="11"/>
      <c r="G412" s="11"/>
      <c r="H412" s="11"/>
      <c r="I412" s="11"/>
      <c r="J412" s="11"/>
      <c r="K412" s="11"/>
      <c r="L412" s="11"/>
    </row>
    <row r="413" spans="4:12" x14ac:dyDescent="0.25">
      <c r="D413" s="11"/>
      <c r="E413" s="11"/>
      <c r="F413" s="11"/>
      <c r="G413" s="11"/>
      <c r="H413" s="11"/>
      <c r="I413" s="11"/>
      <c r="J413" s="11"/>
      <c r="K413" s="11"/>
      <c r="L413" s="11"/>
    </row>
    <row r="414" spans="4:12" x14ac:dyDescent="0.25">
      <c r="D414" s="11"/>
      <c r="E414" s="11"/>
      <c r="F414" s="11"/>
      <c r="G414" s="11"/>
      <c r="H414" s="11"/>
      <c r="I414" s="11"/>
      <c r="J414" s="11"/>
      <c r="K414" s="11"/>
      <c r="L414" s="11"/>
    </row>
    <row r="415" spans="4:12" x14ac:dyDescent="0.25">
      <c r="D415" s="11"/>
      <c r="E415" s="11"/>
      <c r="F415" s="11"/>
      <c r="G415" s="11"/>
      <c r="H415" s="11"/>
      <c r="I415" s="11"/>
      <c r="J415" s="11"/>
      <c r="K415" s="11"/>
      <c r="L415" s="11"/>
    </row>
    <row r="416" spans="4:12" x14ac:dyDescent="0.25">
      <c r="D416" s="11"/>
      <c r="E416" s="11"/>
      <c r="F416" s="11"/>
      <c r="G416" s="11"/>
      <c r="H416" s="11"/>
      <c r="I416" s="11"/>
      <c r="J416" s="11"/>
      <c r="K416" s="11"/>
      <c r="L416" s="11"/>
    </row>
    <row r="417" spans="4:12" x14ac:dyDescent="0.25">
      <c r="D417" s="11"/>
      <c r="E417" s="11"/>
      <c r="F417" s="11"/>
      <c r="G417" s="11"/>
      <c r="H417" s="11"/>
      <c r="I417" s="11"/>
      <c r="J417" s="11"/>
      <c r="K417" s="11"/>
      <c r="L417" s="11"/>
    </row>
    <row r="418" spans="4:12" x14ac:dyDescent="0.25">
      <c r="D418" s="11"/>
      <c r="E418" s="11"/>
      <c r="F418" s="11"/>
      <c r="G418" s="11"/>
      <c r="H418" s="11"/>
      <c r="I418" s="11"/>
      <c r="J418" s="11"/>
      <c r="K418" s="11"/>
      <c r="L418" s="11"/>
    </row>
    <row r="419" spans="4:12" x14ac:dyDescent="0.25">
      <c r="D419" s="11"/>
      <c r="E419" s="11"/>
      <c r="F419" s="11"/>
      <c r="G419" s="11"/>
      <c r="H419" s="11"/>
      <c r="I419" s="11"/>
      <c r="J419" s="11"/>
      <c r="K419" s="11"/>
      <c r="L419" s="11"/>
    </row>
    <row r="420" spans="4:12" x14ac:dyDescent="0.25">
      <c r="D420" s="11"/>
      <c r="E420" s="11"/>
      <c r="F420" s="11"/>
      <c r="G420" s="11"/>
      <c r="H420" s="11"/>
      <c r="I420" s="11"/>
      <c r="J420" s="11"/>
      <c r="K420" s="11"/>
      <c r="L420" s="11"/>
    </row>
    <row r="421" spans="4:12" x14ac:dyDescent="0.25">
      <c r="D421" s="11"/>
      <c r="E421" s="11"/>
      <c r="F421" s="11"/>
      <c r="G421" s="11"/>
      <c r="H421" s="11"/>
      <c r="I421" s="11"/>
      <c r="J421" s="11"/>
      <c r="K421" s="11"/>
      <c r="L421" s="11"/>
    </row>
    <row r="422" spans="4:12" x14ac:dyDescent="0.25">
      <c r="D422" s="11"/>
      <c r="E422" s="11"/>
      <c r="F422" s="11"/>
      <c r="G422" s="11"/>
      <c r="H422" s="11"/>
      <c r="I422" s="11"/>
      <c r="J422" s="11"/>
      <c r="K422" s="11"/>
      <c r="L422" s="11"/>
    </row>
    <row r="423" spans="4:12" x14ac:dyDescent="0.25">
      <c r="D423" s="11"/>
      <c r="E423" s="11"/>
      <c r="F423" s="11"/>
      <c r="G423" s="11"/>
      <c r="H423" s="11"/>
      <c r="I423" s="11"/>
      <c r="J423" s="11"/>
      <c r="K423" s="11"/>
      <c r="L423" s="11"/>
    </row>
    <row r="424" spans="4:12" x14ac:dyDescent="0.25">
      <c r="D424" s="11"/>
      <c r="E424" s="11"/>
      <c r="F424" s="11"/>
      <c r="G424" s="11"/>
      <c r="H424" s="11"/>
      <c r="I424" s="11"/>
      <c r="J424" s="11"/>
      <c r="K424" s="11"/>
      <c r="L424" s="11"/>
    </row>
    <row r="425" spans="4:12" x14ac:dyDescent="0.25">
      <c r="D425" s="11"/>
      <c r="E425" s="11"/>
      <c r="F425" s="11"/>
      <c r="G425" s="11"/>
      <c r="H425" s="11"/>
      <c r="I425" s="11"/>
      <c r="J425" s="11"/>
      <c r="K425" s="11"/>
      <c r="L425" s="11"/>
    </row>
    <row r="426" spans="4:12" x14ac:dyDescent="0.25">
      <c r="D426" s="11"/>
      <c r="E426" s="11"/>
      <c r="F426" s="11"/>
      <c r="G426" s="11"/>
      <c r="H426" s="11"/>
      <c r="I426" s="11"/>
      <c r="J426" s="11"/>
      <c r="K426" s="11"/>
      <c r="L426" s="11"/>
    </row>
    <row r="427" spans="4:12" x14ac:dyDescent="0.25">
      <c r="D427" s="11"/>
      <c r="E427" s="11"/>
      <c r="F427" s="11"/>
      <c r="G427" s="11"/>
      <c r="H427" s="11"/>
      <c r="I427" s="11"/>
      <c r="J427" s="11"/>
      <c r="K427" s="11"/>
      <c r="L427" s="11"/>
    </row>
    <row r="428" spans="4:12" x14ac:dyDescent="0.25">
      <c r="D428" s="11"/>
      <c r="E428" s="11"/>
      <c r="F428" s="11"/>
      <c r="G428" s="11"/>
      <c r="H428" s="11"/>
      <c r="I428" s="11"/>
      <c r="J428" s="11"/>
      <c r="K428" s="11"/>
      <c r="L428" s="11"/>
    </row>
    <row r="429" spans="4:12" x14ac:dyDescent="0.25">
      <c r="D429" s="11"/>
      <c r="E429" s="11"/>
      <c r="F429" s="11"/>
      <c r="G429" s="11"/>
      <c r="H429" s="11"/>
      <c r="I429" s="11"/>
      <c r="J429" s="11"/>
      <c r="K429" s="11"/>
      <c r="L429" s="11"/>
    </row>
    <row r="430" spans="4:12" x14ac:dyDescent="0.25">
      <c r="D430" s="11"/>
      <c r="E430" s="11"/>
      <c r="F430" s="11"/>
      <c r="G430" s="11"/>
      <c r="H430" s="11"/>
      <c r="I430" s="11"/>
      <c r="J430" s="11"/>
      <c r="K430" s="11"/>
      <c r="L430" s="11"/>
    </row>
    <row r="431" spans="4:12" x14ac:dyDescent="0.25">
      <c r="D431" s="11"/>
      <c r="E431" s="11"/>
      <c r="F431" s="11"/>
      <c r="G431" s="11"/>
      <c r="H431" s="11"/>
      <c r="I431" s="11"/>
      <c r="J431" s="11"/>
      <c r="K431" s="11"/>
      <c r="L431" s="11"/>
    </row>
    <row r="432" spans="4:12" x14ac:dyDescent="0.25">
      <c r="D432" s="11"/>
      <c r="E432" s="11"/>
      <c r="F432" s="11"/>
      <c r="G432" s="11"/>
      <c r="H432" s="11"/>
      <c r="I432" s="11"/>
      <c r="J432" s="11"/>
      <c r="K432" s="11"/>
      <c r="L432" s="11"/>
    </row>
    <row r="433" spans="4:12" x14ac:dyDescent="0.25">
      <c r="D433" s="11"/>
      <c r="E433" s="11"/>
      <c r="F433" s="11"/>
      <c r="G433" s="11"/>
      <c r="H433" s="11"/>
      <c r="I433" s="11"/>
      <c r="J433" s="11"/>
      <c r="K433" s="11"/>
      <c r="L433" s="11"/>
    </row>
    <row r="434" spans="4:12" x14ac:dyDescent="0.25">
      <c r="D434" s="11"/>
      <c r="E434" s="11"/>
      <c r="F434" s="11"/>
      <c r="G434" s="11"/>
      <c r="H434" s="11"/>
      <c r="I434" s="11"/>
      <c r="J434" s="11"/>
      <c r="K434" s="11"/>
      <c r="L434" s="11"/>
    </row>
    <row r="435" spans="4:12" x14ac:dyDescent="0.25">
      <c r="D435" s="11"/>
      <c r="E435" s="11"/>
      <c r="F435" s="11"/>
      <c r="G435" s="11"/>
      <c r="H435" s="11"/>
      <c r="I435" s="11"/>
      <c r="J435" s="11"/>
      <c r="K435" s="11"/>
      <c r="L435" s="11"/>
    </row>
    <row r="436" spans="4:12" x14ac:dyDescent="0.25">
      <c r="D436" s="11"/>
      <c r="E436" s="11"/>
      <c r="F436" s="11"/>
      <c r="G436" s="11"/>
      <c r="H436" s="11"/>
      <c r="I436" s="11"/>
      <c r="J436" s="11"/>
      <c r="K436" s="11"/>
      <c r="L436" s="11"/>
    </row>
    <row r="437" spans="4:12" x14ac:dyDescent="0.25">
      <c r="D437" s="11"/>
      <c r="E437" s="11"/>
      <c r="F437" s="11"/>
      <c r="G437" s="11"/>
      <c r="H437" s="11"/>
      <c r="I437" s="11"/>
      <c r="J437" s="11"/>
      <c r="K437" s="11"/>
      <c r="L437" s="11"/>
    </row>
    <row r="438" spans="4:12" x14ac:dyDescent="0.25">
      <c r="D438" s="11"/>
      <c r="E438" s="11"/>
      <c r="F438" s="11"/>
      <c r="G438" s="11"/>
      <c r="H438" s="11"/>
      <c r="I438" s="11"/>
      <c r="J438" s="11"/>
      <c r="K438" s="11"/>
      <c r="L438" s="11"/>
    </row>
    <row r="439" spans="4:12" x14ac:dyDescent="0.25">
      <c r="D439" s="11"/>
      <c r="E439" s="11"/>
      <c r="F439" s="11"/>
      <c r="G439" s="11"/>
      <c r="H439" s="11"/>
      <c r="I439" s="11"/>
      <c r="J439" s="11"/>
      <c r="K439" s="11"/>
      <c r="L439" s="11"/>
    </row>
    <row r="440" spans="4:12" x14ac:dyDescent="0.25">
      <c r="D440" s="11"/>
      <c r="E440" s="11"/>
      <c r="F440" s="11"/>
      <c r="G440" s="11"/>
      <c r="H440" s="11"/>
      <c r="I440" s="11"/>
      <c r="J440" s="11"/>
      <c r="K440" s="11"/>
      <c r="L440" s="11"/>
    </row>
    <row r="441" spans="4:12" x14ac:dyDescent="0.25">
      <c r="D441" s="11"/>
      <c r="E441" s="11"/>
      <c r="F441" s="11"/>
      <c r="G441" s="11"/>
      <c r="H441" s="11"/>
      <c r="I441" s="11"/>
      <c r="J441" s="11"/>
      <c r="K441" s="11"/>
      <c r="L441" s="11"/>
    </row>
    <row r="442" spans="4:12" x14ac:dyDescent="0.25">
      <c r="D442" s="11"/>
      <c r="E442" s="11"/>
      <c r="F442" s="11"/>
      <c r="G442" s="11"/>
      <c r="H442" s="11"/>
      <c r="I442" s="11"/>
      <c r="J442" s="11"/>
      <c r="K442" s="11"/>
      <c r="L442" s="11"/>
    </row>
    <row r="443" spans="4:12" x14ac:dyDescent="0.25">
      <c r="D443" s="11"/>
      <c r="E443" s="11"/>
      <c r="F443" s="11"/>
      <c r="G443" s="11"/>
      <c r="H443" s="11"/>
      <c r="I443" s="11"/>
      <c r="J443" s="11"/>
      <c r="K443" s="11"/>
      <c r="L443" s="11"/>
    </row>
    <row r="444" spans="4:12" x14ac:dyDescent="0.25">
      <c r="D444" s="11"/>
      <c r="E444" s="11"/>
      <c r="F444" s="11"/>
      <c r="G444" s="11"/>
      <c r="H444" s="11"/>
      <c r="I444" s="11"/>
      <c r="J444" s="11"/>
      <c r="K444" s="11"/>
      <c r="L444" s="11"/>
    </row>
    <row r="445" spans="4:12" x14ac:dyDescent="0.25">
      <c r="D445" s="11"/>
      <c r="E445" s="11"/>
      <c r="F445" s="11"/>
      <c r="G445" s="11"/>
      <c r="H445" s="11"/>
      <c r="I445" s="11"/>
      <c r="J445" s="11"/>
      <c r="K445" s="11"/>
      <c r="L445" s="11"/>
    </row>
    <row r="446" spans="4:12" x14ac:dyDescent="0.25">
      <c r="D446" s="11"/>
      <c r="E446" s="11"/>
      <c r="F446" s="11"/>
      <c r="G446" s="11"/>
      <c r="H446" s="11"/>
      <c r="I446" s="11"/>
      <c r="J446" s="11"/>
      <c r="K446" s="11"/>
      <c r="L446" s="11"/>
    </row>
    <row r="447" spans="4:12" x14ac:dyDescent="0.25">
      <c r="D447" s="11"/>
      <c r="E447" s="11"/>
      <c r="F447" s="11"/>
      <c r="G447" s="11"/>
      <c r="H447" s="11"/>
      <c r="I447" s="11"/>
      <c r="J447" s="11"/>
      <c r="K447" s="11"/>
      <c r="L447" s="11"/>
    </row>
    <row r="448" spans="4:12" x14ac:dyDescent="0.25">
      <c r="D448" s="11"/>
      <c r="E448" s="11"/>
      <c r="F448" s="11"/>
      <c r="G448" s="11"/>
      <c r="H448" s="11"/>
      <c r="I448" s="11"/>
      <c r="J448" s="11"/>
      <c r="K448" s="11"/>
      <c r="L448" s="11"/>
    </row>
    <row r="449" spans="4:12" x14ac:dyDescent="0.25">
      <c r="D449" s="11"/>
      <c r="E449" s="11"/>
      <c r="F449" s="11"/>
      <c r="G449" s="11"/>
      <c r="H449" s="11"/>
      <c r="I449" s="11"/>
      <c r="J449" s="11"/>
      <c r="K449" s="11"/>
      <c r="L449" s="11"/>
    </row>
    <row r="450" spans="4:12" x14ac:dyDescent="0.25">
      <c r="D450" s="11"/>
      <c r="E450" s="11"/>
      <c r="F450" s="11"/>
      <c r="G450" s="11"/>
      <c r="H450" s="11"/>
      <c r="I450" s="11"/>
      <c r="J450" s="11"/>
      <c r="K450" s="11"/>
      <c r="L450" s="11"/>
    </row>
    <row r="451" spans="4:12" x14ac:dyDescent="0.25">
      <c r="D451" s="11"/>
      <c r="E451" s="11"/>
      <c r="F451" s="11"/>
      <c r="G451" s="11"/>
      <c r="H451" s="11"/>
      <c r="I451" s="11"/>
      <c r="J451" s="11"/>
      <c r="K451" s="11"/>
      <c r="L451" s="11"/>
    </row>
    <row r="452" spans="4:12" x14ac:dyDescent="0.25">
      <c r="D452" s="11"/>
      <c r="E452" s="11"/>
      <c r="F452" s="11"/>
      <c r="G452" s="11"/>
      <c r="H452" s="11"/>
      <c r="I452" s="11"/>
      <c r="J452" s="11"/>
      <c r="K452" s="11"/>
      <c r="L452" s="11"/>
    </row>
    <row r="453" spans="4:12" x14ac:dyDescent="0.25">
      <c r="D453" s="11"/>
      <c r="E453" s="11"/>
      <c r="F453" s="11"/>
      <c r="G453" s="11"/>
      <c r="H453" s="11"/>
      <c r="I453" s="11"/>
      <c r="J453" s="11"/>
      <c r="K453" s="11"/>
      <c r="L453" s="11"/>
    </row>
    <row r="454" spans="4:12" x14ac:dyDescent="0.25">
      <c r="D454" s="11"/>
      <c r="E454" s="11"/>
      <c r="F454" s="11"/>
      <c r="G454" s="11"/>
      <c r="H454" s="11"/>
      <c r="I454" s="11"/>
      <c r="J454" s="11"/>
      <c r="K454" s="11"/>
      <c r="L454" s="11"/>
    </row>
    <row r="455" spans="4:12" x14ac:dyDescent="0.25">
      <c r="D455" s="11"/>
      <c r="E455" s="11"/>
      <c r="F455" s="11"/>
      <c r="G455" s="11"/>
      <c r="H455" s="11"/>
      <c r="I455" s="11"/>
      <c r="J455" s="11"/>
      <c r="K455" s="11"/>
      <c r="L455" s="11"/>
    </row>
    <row r="456" spans="4:12" x14ac:dyDescent="0.25">
      <c r="D456" s="11"/>
      <c r="E456" s="11"/>
      <c r="F456" s="11"/>
      <c r="G456" s="11"/>
      <c r="H456" s="11"/>
      <c r="I456" s="11"/>
      <c r="J456" s="11"/>
      <c r="K456" s="11"/>
      <c r="L456" s="11"/>
    </row>
    <row r="457" spans="4:12" x14ac:dyDescent="0.25">
      <c r="D457" s="11"/>
      <c r="E457" s="11"/>
      <c r="F457" s="11"/>
      <c r="G457" s="11"/>
      <c r="H457" s="11"/>
      <c r="I457" s="11"/>
      <c r="J457" s="11"/>
      <c r="K457" s="11"/>
      <c r="L457" s="11"/>
    </row>
    <row r="458" spans="4:12" x14ac:dyDescent="0.25">
      <c r="D458" s="11"/>
      <c r="E458" s="11"/>
      <c r="F458" s="11"/>
      <c r="G458" s="11"/>
      <c r="H458" s="11"/>
      <c r="I458" s="11"/>
      <c r="J458" s="11"/>
      <c r="K458" s="11"/>
      <c r="L458" s="11"/>
    </row>
    <row r="459" spans="4:12" x14ac:dyDescent="0.25">
      <c r="D459" s="11"/>
      <c r="E459" s="11"/>
      <c r="F459" s="11"/>
      <c r="G459" s="11"/>
      <c r="H459" s="11"/>
      <c r="I459" s="11"/>
      <c r="J459" s="11"/>
      <c r="K459" s="11"/>
      <c r="L459" s="11"/>
    </row>
    <row r="460" spans="4:12" x14ac:dyDescent="0.25">
      <c r="D460" s="11"/>
      <c r="E460" s="11"/>
      <c r="F460" s="11"/>
      <c r="G460" s="11"/>
      <c r="H460" s="11"/>
      <c r="I460" s="11"/>
      <c r="J460" s="11"/>
      <c r="K460" s="11"/>
      <c r="L460" s="11"/>
    </row>
    <row r="461" spans="4:12" x14ac:dyDescent="0.25">
      <c r="D461" s="11"/>
      <c r="E461" s="11"/>
      <c r="F461" s="11"/>
      <c r="G461" s="11"/>
      <c r="H461" s="11"/>
      <c r="I461" s="11"/>
      <c r="J461" s="11"/>
      <c r="K461" s="11"/>
      <c r="L461" s="11"/>
    </row>
    <row r="462" spans="4:12" x14ac:dyDescent="0.25">
      <c r="D462" s="11"/>
      <c r="E462" s="11"/>
      <c r="F462" s="11"/>
      <c r="G462" s="11"/>
      <c r="H462" s="11"/>
      <c r="I462" s="11"/>
      <c r="J462" s="11"/>
      <c r="K462" s="11"/>
      <c r="L462" s="11"/>
    </row>
    <row r="463" spans="4:12" x14ac:dyDescent="0.25">
      <c r="D463" s="11"/>
      <c r="E463" s="11"/>
      <c r="F463" s="11"/>
      <c r="G463" s="11"/>
      <c r="H463" s="11"/>
      <c r="I463" s="11"/>
      <c r="J463" s="11"/>
      <c r="K463" s="11"/>
      <c r="L463" s="11"/>
    </row>
    <row r="464" spans="4:12" x14ac:dyDescent="0.25">
      <c r="D464" s="11"/>
      <c r="E464" s="11"/>
      <c r="F464" s="11"/>
      <c r="G464" s="11"/>
      <c r="H464" s="11"/>
      <c r="I464" s="11"/>
      <c r="J464" s="11"/>
      <c r="K464" s="11"/>
      <c r="L464" s="11"/>
    </row>
    <row r="465" spans="4:12" x14ac:dyDescent="0.25">
      <c r="D465" s="11"/>
      <c r="E465" s="11"/>
      <c r="F465" s="11"/>
      <c r="G465" s="11"/>
      <c r="H465" s="11"/>
      <c r="I465" s="11"/>
      <c r="J465" s="11"/>
      <c r="K465" s="11"/>
      <c r="L465" s="11"/>
    </row>
    <row r="466" spans="4:12" x14ac:dyDescent="0.25">
      <c r="D466" s="11"/>
      <c r="E466" s="11"/>
      <c r="F466" s="11"/>
      <c r="G466" s="11"/>
      <c r="H466" s="11"/>
      <c r="I466" s="11"/>
      <c r="J466" s="11"/>
      <c r="K466" s="11"/>
      <c r="L466" s="11"/>
    </row>
    <row r="467" spans="4:12" x14ac:dyDescent="0.25">
      <c r="D467" s="11"/>
      <c r="E467" s="11"/>
      <c r="F467" s="11"/>
      <c r="G467" s="11"/>
      <c r="H467" s="11"/>
      <c r="I467" s="11"/>
      <c r="J467" s="11"/>
      <c r="K467" s="11"/>
      <c r="L467" s="11"/>
    </row>
    <row r="468" spans="4:12" x14ac:dyDescent="0.25">
      <c r="D468" s="11"/>
      <c r="E468" s="11"/>
      <c r="F468" s="11"/>
      <c r="G468" s="11"/>
      <c r="H468" s="11"/>
      <c r="I468" s="11"/>
      <c r="J468" s="11"/>
      <c r="K468" s="11"/>
      <c r="L468" s="11"/>
    </row>
    <row r="469" spans="4:12" x14ac:dyDescent="0.25">
      <c r="D469" s="11"/>
      <c r="E469" s="11"/>
      <c r="F469" s="11"/>
      <c r="G469" s="11"/>
      <c r="H469" s="11"/>
      <c r="I469" s="11"/>
      <c r="J469" s="11"/>
      <c r="K469" s="11"/>
      <c r="L469" s="11"/>
    </row>
    <row r="470" spans="4:12" x14ac:dyDescent="0.25">
      <c r="D470" s="11"/>
      <c r="E470" s="11"/>
      <c r="F470" s="11"/>
      <c r="G470" s="11"/>
      <c r="H470" s="11"/>
      <c r="I470" s="11"/>
      <c r="J470" s="11"/>
      <c r="K470" s="11"/>
      <c r="L470" s="11"/>
    </row>
    <row r="471" spans="4:12" x14ac:dyDescent="0.25">
      <c r="D471" s="11"/>
      <c r="E471" s="11"/>
      <c r="F471" s="11"/>
      <c r="G471" s="11"/>
      <c r="H471" s="11"/>
      <c r="I471" s="11"/>
      <c r="J471" s="11"/>
      <c r="K471" s="11"/>
      <c r="L471" s="11"/>
    </row>
    <row r="472" spans="4:12" x14ac:dyDescent="0.25">
      <c r="D472" s="11"/>
      <c r="E472" s="11"/>
      <c r="F472" s="11"/>
      <c r="G472" s="11"/>
      <c r="H472" s="11"/>
      <c r="I472" s="11"/>
      <c r="J472" s="11"/>
      <c r="K472" s="11"/>
      <c r="L472" s="11"/>
    </row>
    <row r="473" spans="4:12" x14ac:dyDescent="0.25">
      <c r="D473" s="11"/>
      <c r="E473" s="11"/>
      <c r="F473" s="11"/>
      <c r="G473" s="11"/>
      <c r="H473" s="11"/>
      <c r="I473" s="11"/>
      <c r="J473" s="11"/>
      <c r="K473" s="11"/>
      <c r="L473" s="11"/>
    </row>
    <row r="474" spans="4:12" x14ac:dyDescent="0.25">
      <c r="D474" s="11"/>
      <c r="E474" s="11"/>
      <c r="F474" s="11"/>
      <c r="G474" s="11"/>
      <c r="H474" s="11"/>
      <c r="I474" s="11"/>
      <c r="J474" s="11"/>
      <c r="K474" s="11"/>
      <c r="L474" s="11"/>
    </row>
    <row r="475" spans="4:12" x14ac:dyDescent="0.25">
      <c r="D475" s="11"/>
      <c r="E475" s="11"/>
      <c r="F475" s="11"/>
      <c r="G475" s="11"/>
      <c r="H475" s="11"/>
      <c r="I475" s="11"/>
      <c r="J475" s="11"/>
      <c r="K475" s="11"/>
      <c r="L475" s="11"/>
    </row>
    <row r="476" spans="4:12" x14ac:dyDescent="0.25">
      <c r="D476" s="11"/>
      <c r="E476" s="11"/>
      <c r="F476" s="11"/>
      <c r="G476" s="11"/>
      <c r="H476" s="11"/>
      <c r="I476" s="11"/>
      <c r="J476" s="11"/>
      <c r="K476" s="11"/>
      <c r="L476" s="11"/>
    </row>
    <row r="477" spans="4:12" x14ac:dyDescent="0.25">
      <c r="D477" s="11"/>
      <c r="E477" s="11"/>
      <c r="F477" s="11"/>
      <c r="G477" s="11"/>
      <c r="H477" s="11"/>
      <c r="I477" s="11"/>
      <c r="J477" s="11"/>
      <c r="K477" s="11"/>
      <c r="L477" s="11"/>
    </row>
    <row r="478" spans="4:12" x14ac:dyDescent="0.25">
      <c r="D478" s="11"/>
      <c r="E478" s="11"/>
      <c r="F478" s="11"/>
      <c r="G478" s="11"/>
      <c r="H478" s="11"/>
      <c r="I478" s="11"/>
      <c r="J478" s="11"/>
      <c r="K478" s="11"/>
      <c r="L478" s="11"/>
    </row>
    <row r="479" spans="4:12" x14ac:dyDescent="0.25">
      <c r="D479" s="11"/>
      <c r="E479" s="11"/>
      <c r="F479" s="11"/>
      <c r="G479" s="11"/>
      <c r="H479" s="11"/>
      <c r="I479" s="11"/>
      <c r="J479" s="11"/>
      <c r="K479" s="11"/>
      <c r="L479" s="11"/>
    </row>
    <row r="480" spans="4:12" x14ac:dyDescent="0.25">
      <c r="D480" s="11"/>
      <c r="E480" s="11"/>
      <c r="F480" s="11"/>
      <c r="G480" s="11"/>
      <c r="H480" s="11"/>
      <c r="I480" s="11"/>
      <c r="J480" s="11"/>
      <c r="K480" s="11"/>
      <c r="L480" s="11"/>
    </row>
    <row r="481" spans="4:12" x14ac:dyDescent="0.25">
      <c r="D481" s="11"/>
      <c r="E481" s="11"/>
      <c r="F481" s="11"/>
      <c r="G481" s="11"/>
      <c r="H481" s="11"/>
      <c r="I481" s="11"/>
      <c r="J481" s="11"/>
      <c r="K481" s="11"/>
      <c r="L481" s="11"/>
    </row>
    <row r="482" spans="4:12" x14ac:dyDescent="0.25">
      <c r="D482" s="11"/>
      <c r="E482" s="11"/>
      <c r="F482" s="11"/>
      <c r="G482" s="11"/>
      <c r="H482" s="11"/>
      <c r="I482" s="11"/>
      <c r="J482" s="11"/>
      <c r="K482" s="11"/>
      <c r="L482" s="11"/>
    </row>
    <row r="483" spans="4:12" x14ac:dyDescent="0.25">
      <c r="D483" s="11"/>
      <c r="E483" s="11"/>
      <c r="F483" s="11"/>
      <c r="G483" s="11"/>
      <c r="H483" s="11"/>
      <c r="I483" s="11"/>
      <c r="J483" s="11"/>
      <c r="K483" s="11"/>
      <c r="L483" s="11"/>
    </row>
    <row r="484" spans="4:12" x14ac:dyDescent="0.25">
      <c r="D484" s="11"/>
      <c r="E484" s="11"/>
      <c r="F484" s="11"/>
      <c r="G484" s="11"/>
      <c r="H484" s="11"/>
      <c r="I484" s="11"/>
      <c r="J484" s="11"/>
      <c r="K484" s="11"/>
      <c r="L484" s="11"/>
    </row>
    <row r="485" spans="4:12" x14ac:dyDescent="0.25">
      <c r="D485" s="11"/>
      <c r="E485" s="11"/>
      <c r="F485" s="11"/>
      <c r="G485" s="11"/>
      <c r="H485" s="11"/>
      <c r="I485" s="11"/>
      <c r="J485" s="11"/>
      <c r="K485" s="11"/>
      <c r="L485" s="11"/>
    </row>
    <row r="486" spans="4:12" x14ac:dyDescent="0.25">
      <c r="D486" s="11"/>
      <c r="E486" s="11"/>
      <c r="F486" s="11"/>
      <c r="G486" s="11"/>
      <c r="H486" s="11"/>
      <c r="I486" s="11"/>
      <c r="J486" s="11"/>
      <c r="K486" s="11"/>
      <c r="L486" s="11"/>
    </row>
    <row r="487" spans="4:12" x14ac:dyDescent="0.25">
      <c r="D487" s="11"/>
      <c r="E487" s="11"/>
      <c r="F487" s="11"/>
      <c r="G487" s="11"/>
      <c r="H487" s="11"/>
      <c r="I487" s="11"/>
      <c r="J487" s="11"/>
      <c r="K487" s="11"/>
      <c r="L487" s="11"/>
    </row>
    <row r="488" spans="4:12" x14ac:dyDescent="0.25">
      <c r="D488" s="11"/>
      <c r="E488" s="11"/>
      <c r="F488" s="11"/>
      <c r="G488" s="11"/>
      <c r="H488" s="11"/>
      <c r="I488" s="11"/>
      <c r="J488" s="11"/>
      <c r="K488" s="11"/>
      <c r="L488" s="11"/>
    </row>
    <row r="489" spans="4:12" x14ac:dyDescent="0.25">
      <c r="D489" s="11"/>
      <c r="E489" s="11"/>
      <c r="F489" s="11"/>
      <c r="G489" s="11"/>
      <c r="H489" s="11"/>
      <c r="I489" s="11"/>
      <c r="J489" s="11"/>
      <c r="K489" s="11"/>
      <c r="L489" s="11"/>
    </row>
    <row r="490" spans="4:12" x14ac:dyDescent="0.25">
      <c r="D490" s="11"/>
      <c r="E490" s="11"/>
      <c r="F490" s="11"/>
      <c r="G490" s="11"/>
      <c r="H490" s="11"/>
      <c r="I490" s="11"/>
      <c r="J490" s="11"/>
      <c r="K490" s="11"/>
      <c r="L490" s="11"/>
    </row>
    <row r="491" spans="4:12" x14ac:dyDescent="0.25">
      <c r="D491" s="11"/>
      <c r="E491" s="11"/>
      <c r="F491" s="11"/>
      <c r="G491" s="11"/>
      <c r="H491" s="11"/>
      <c r="I491" s="11"/>
      <c r="J491" s="11"/>
      <c r="K491" s="11"/>
      <c r="L491" s="11"/>
    </row>
    <row r="492" spans="4:12" x14ac:dyDescent="0.25">
      <c r="D492" s="11"/>
      <c r="E492" s="11"/>
      <c r="F492" s="11"/>
      <c r="G492" s="11"/>
      <c r="H492" s="11"/>
      <c r="I492" s="11"/>
      <c r="J492" s="11"/>
      <c r="K492" s="11"/>
      <c r="L492" s="11"/>
    </row>
    <row r="493" spans="4:12" x14ac:dyDescent="0.25">
      <c r="D493" s="11"/>
      <c r="E493" s="11"/>
      <c r="F493" s="11"/>
      <c r="G493" s="11"/>
      <c r="H493" s="11"/>
      <c r="I493" s="11"/>
      <c r="J493" s="11"/>
      <c r="K493" s="11"/>
      <c r="L493" s="11"/>
    </row>
    <row r="494" spans="4:12" x14ac:dyDescent="0.25">
      <c r="D494" s="11"/>
      <c r="E494" s="11"/>
      <c r="F494" s="11"/>
      <c r="G494" s="11"/>
      <c r="H494" s="11"/>
      <c r="I494" s="11"/>
      <c r="J494" s="11"/>
      <c r="K494" s="11"/>
      <c r="L494" s="11"/>
    </row>
    <row r="495" spans="4:12" x14ac:dyDescent="0.25">
      <c r="D495" s="11"/>
      <c r="E495" s="11"/>
      <c r="F495" s="11"/>
      <c r="G495" s="11"/>
      <c r="H495" s="11"/>
      <c r="I495" s="11"/>
      <c r="J495" s="11"/>
      <c r="K495" s="11"/>
      <c r="L495" s="11"/>
    </row>
    <row r="496" spans="4:12" x14ac:dyDescent="0.25">
      <c r="D496" s="11"/>
      <c r="E496" s="11"/>
      <c r="F496" s="11"/>
      <c r="G496" s="11"/>
      <c r="H496" s="11"/>
      <c r="I496" s="11"/>
      <c r="J496" s="11"/>
      <c r="K496" s="11"/>
      <c r="L496" s="11"/>
    </row>
    <row r="497" spans="4:12" x14ac:dyDescent="0.25">
      <c r="D497" s="11"/>
      <c r="E497" s="11"/>
      <c r="F497" s="11"/>
      <c r="G497" s="11"/>
      <c r="H497" s="11"/>
      <c r="I497" s="11"/>
      <c r="J497" s="11"/>
      <c r="K497" s="11"/>
      <c r="L497" s="11"/>
    </row>
    <row r="498" spans="4:12" x14ac:dyDescent="0.25">
      <c r="D498" s="11"/>
      <c r="E498" s="11"/>
      <c r="F498" s="11"/>
      <c r="G498" s="11"/>
      <c r="H498" s="11"/>
      <c r="I498" s="11"/>
      <c r="J498" s="11"/>
      <c r="K498" s="11"/>
      <c r="L498" s="11"/>
    </row>
    <row r="499" spans="4:12" x14ac:dyDescent="0.25">
      <c r="D499" s="11"/>
      <c r="E499" s="11"/>
      <c r="F499" s="11"/>
      <c r="G499" s="11"/>
      <c r="H499" s="11"/>
      <c r="I499" s="11"/>
      <c r="J499" s="11"/>
      <c r="K499" s="11"/>
      <c r="L499" s="11"/>
    </row>
    <row r="500" spans="4:12" x14ac:dyDescent="0.25">
      <c r="D500" s="11"/>
      <c r="E500" s="11"/>
      <c r="F500" s="11"/>
      <c r="G500" s="11"/>
      <c r="H500" s="11"/>
      <c r="I500" s="11"/>
      <c r="J500" s="11"/>
      <c r="K500" s="11"/>
      <c r="L500" s="11"/>
    </row>
    <row r="501" spans="4:12" x14ac:dyDescent="0.25">
      <c r="D501" s="11"/>
      <c r="E501" s="11"/>
      <c r="F501" s="11"/>
      <c r="G501" s="11"/>
      <c r="H501" s="11"/>
      <c r="I501" s="11"/>
      <c r="J501" s="11"/>
      <c r="K501" s="11"/>
      <c r="L501" s="11"/>
    </row>
    <row r="502" spans="4:12" x14ac:dyDescent="0.25">
      <c r="D502" s="11"/>
      <c r="E502" s="11"/>
      <c r="F502" s="11"/>
      <c r="G502" s="11"/>
      <c r="H502" s="11"/>
      <c r="I502" s="11"/>
      <c r="J502" s="11"/>
      <c r="K502" s="11"/>
      <c r="L502" s="11"/>
    </row>
    <row r="503" spans="4:12" x14ac:dyDescent="0.25">
      <c r="D503" s="11"/>
      <c r="E503" s="11"/>
      <c r="F503" s="11"/>
      <c r="G503" s="11"/>
      <c r="H503" s="11"/>
      <c r="I503" s="11"/>
      <c r="J503" s="11"/>
      <c r="K503" s="11"/>
      <c r="L503" s="11"/>
    </row>
    <row r="504" spans="4:12" x14ac:dyDescent="0.25">
      <c r="D504" s="11"/>
      <c r="E504" s="11"/>
      <c r="F504" s="11"/>
      <c r="G504" s="11"/>
      <c r="H504" s="11"/>
      <c r="I504" s="11"/>
      <c r="J504" s="11"/>
      <c r="K504" s="11"/>
      <c r="L504" s="11"/>
    </row>
    <row r="505" spans="4:12" x14ac:dyDescent="0.25">
      <c r="D505" s="11"/>
      <c r="E505" s="11"/>
      <c r="F505" s="11"/>
      <c r="G505" s="11"/>
      <c r="H505" s="11"/>
      <c r="I505" s="11"/>
      <c r="J505" s="11"/>
      <c r="K505" s="11"/>
      <c r="L505" s="11"/>
    </row>
    <row r="506" spans="4:12" x14ac:dyDescent="0.25">
      <c r="D506" s="11"/>
      <c r="E506" s="11"/>
      <c r="F506" s="11"/>
      <c r="G506" s="11"/>
      <c r="H506" s="11"/>
      <c r="I506" s="11"/>
      <c r="J506" s="11"/>
      <c r="K506" s="11"/>
      <c r="L506" s="11"/>
    </row>
    <row r="507" spans="4:12" x14ac:dyDescent="0.25">
      <c r="D507" s="11"/>
      <c r="E507" s="11"/>
      <c r="F507" s="11"/>
      <c r="G507" s="11"/>
      <c r="H507" s="11"/>
      <c r="I507" s="11"/>
      <c r="J507" s="11"/>
      <c r="K507" s="11"/>
      <c r="L507" s="11"/>
    </row>
    <row r="508" spans="4:12" x14ac:dyDescent="0.25">
      <c r="D508" s="11"/>
      <c r="E508" s="11"/>
      <c r="F508" s="11"/>
      <c r="G508" s="11"/>
      <c r="H508" s="11"/>
      <c r="I508" s="11"/>
      <c r="J508" s="11"/>
      <c r="K508" s="11"/>
      <c r="L508" s="11"/>
    </row>
    <row r="509" spans="4:12" x14ac:dyDescent="0.25">
      <c r="D509" s="11"/>
      <c r="E509" s="11"/>
      <c r="F509" s="11"/>
      <c r="G509" s="11"/>
      <c r="H509" s="11"/>
      <c r="I509" s="11"/>
      <c r="J509" s="11"/>
      <c r="K509" s="11"/>
      <c r="L509" s="11"/>
    </row>
    <row r="510" spans="4:12" x14ac:dyDescent="0.25">
      <c r="D510" s="11"/>
      <c r="E510" s="11"/>
      <c r="F510" s="11"/>
      <c r="G510" s="11"/>
      <c r="H510" s="11"/>
      <c r="I510" s="11"/>
      <c r="J510" s="11"/>
      <c r="K510" s="11"/>
      <c r="L510" s="11"/>
    </row>
    <row r="511" spans="4:12" x14ac:dyDescent="0.25">
      <c r="D511" s="11"/>
      <c r="E511" s="11"/>
      <c r="F511" s="11"/>
      <c r="G511" s="11"/>
      <c r="H511" s="11"/>
      <c r="I511" s="11"/>
      <c r="J511" s="11"/>
      <c r="K511" s="11"/>
      <c r="L511" s="11"/>
    </row>
    <row r="512" spans="4:12" x14ac:dyDescent="0.25">
      <c r="D512" s="11"/>
      <c r="E512" s="11"/>
      <c r="F512" s="11"/>
      <c r="G512" s="11"/>
      <c r="H512" s="11"/>
      <c r="I512" s="11"/>
      <c r="J512" s="11"/>
      <c r="K512" s="11"/>
      <c r="L512" s="11"/>
    </row>
    <row r="513" spans="4:12" x14ac:dyDescent="0.25">
      <c r="D513" s="11"/>
      <c r="E513" s="11"/>
      <c r="F513" s="11"/>
      <c r="G513" s="11"/>
      <c r="H513" s="11"/>
      <c r="I513" s="11"/>
      <c r="J513" s="11"/>
      <c r="K513" s="11"/>
      <c r="L513" s="11"/>
    </row>
    <row r="514" spans="4:12" x14ac:dyDescent="0.25">
      <c r="D514" s="11"/>
      <c r="E514" s="11"/>
      <c r="F514" s="11"/>
      <c r="G514" s="11"/>
      <c r="H514" s="11"/>
      <c r="I514" s="11"/>
      <c r="J514" s="11"/>
      <c r="K514" s="11"/>
      <c r="L514" s="11"/>
    </row>
    <row r="515" spans="4:12" x14ac:dyDescent="0.25">
      <c r="D515" s="11"/>
      <c r="E515" s="11"/>
      <c r="F515" s="11"/>
      <c r="G515" s="11"/>
      <c r="H515" s="11"/>
      <c r="I515" s="11"/>
      <c r="J515" s="11"/>
      <c r="K515" s="11"/>
      <c r="L515" s="11"/>
    </row>
    <row r="516" spans="4:12" x14ac:dyDescent="0.25">
      <c r="D516" s="11"/>
      <c r="E516" s="11"/>
      <c r="F516" s="11"/>
      <c r="G516" s="11"/>
      <c r="H516" s="11"/>
      <c r="I516" s="11"/>
      <c r="J516" s="11"/>
      <c r="K516" s="11"/>
      <c r="L516" s="11"/>
    </row>
    <row r="517" spans="4:12" x14ac:dyDescent="0.25">
      <c r="D517" s="11"/>
      <c r="E517" s="11"/>
      <c r="F517" s="11"/>
      <c r="G517" s="11"/>
      <c r="H517" s="11"/>
      <c r="I517" s="11"/>
      <c r="J517" s="11"/>
      <c r="K517" s="11"/>
      <c r="L517" s="11"/>
    </row>
    <row r="518" spans="4:12" x14ac:dyDescent="0.25">
      <c r="D518" s="11"/>
      <c r="E518" s="11"/>
      <c r="F518" s="11"/>
      <c r="G518" s="11"/>
      <c r="H518" s="11"/>
      <c r="I518" s="11"/>
      <c r="J518" s="11"/>
      <c r="K518" s="11"/>
      <c r="L518" s="11"/>
    </row>
    <row r="519" spans="4:12" x14ac:dyDescent="0.25">
      <c r="D519" s="11"/>
      <c r="E519" s="11"/>
      <c r="F519" s="11"/>
      <c r="G519" s="11"/>
      <c r="H519" s="11"/>
      <c r="I519" s="11"/>
      <c r="J519" s="11"/>
      <c r="K519" s="11"/>
      <c r="L519" s="11"/>
    </row>
    <row r="520" spans="4:12" x14ac:dyDescent="0.25">
      <c r="D520" s="11"/>
      <c r="E520" s="11"/>
      <c r="F520" s="11"/>
      <c r="G520" s="11"/>
      <c r="H520" s="11"/>
      <c r="I520" s="11"/>
      <c r="J520" s="11"/>
      <c r="K520" s="11"/>
      <c r="L520" s="11"/>
    </row>
    <row r="521" spans="4:12" x14ac:dyDescent="0.25">
      <c r="D521" s="11"/>
      <c r="E521" s="11"/>
      <c r="F521" s="11"/>
      <c r="G521" s="11"/>
      <c r="H521" s="11"/>
      <c r="I521" s="11"/>
      <c r="J521" s="11"/>
      <c r="K521" s="11"/>
      <c r="L521" s="11"/>
    </row>
    <row r="522" spans="4:12" x14ac:dyDescent="0.25">
      <c r="D522" s="11"/>
      <c r="E522" s="11"/>
      <c r="F522" s="11"/>
      <c r="G522" s="11"/>
      <c r="H522" s="11"/>
      <c r="I522" s="11"/>
      <c r="J522" s="11"/>
      <c r="K522" s="11"/>
      <c r="L522" s="11"/>
    </row>
    <row r="523" spans="4:12" x14ac:dyDescent="0.25">
      <c r="D523" s="11"/>
      <c r="E523" s="11"/>
      <c r="F523" s="11"/>
      <c r="G523" s="11"/>
      <c r="H523" s="11"/>
      <c r="I523" s="11"/>
      <c r="J523" s="11"/>
      <c r="K523" s="11"/>
      <c r="L523" s="11"/>
    </row>
    <row r="524" spans="4:12" x14ac:dyDescent="0.25">
      <c r="D524" s="11"/>
      <c r="E524" s="11"/>
      <c r="F524" s="11"/>
      <c r="G524" s="11"/>
      <c r="H524" s="11"/>
      <c r="I524" s="11"/>
      <c r="J524" s="11"/>
      <c r="K524" s="11"/>
      <c r="L524" s="11"/>
    </row>
    <row r="525" spans="4:12" x14ac:dyDescent="0.25">
      <c r="D525" s="11"/>
      <c r="E525" s="11"/>
      <c r="F525" s="11"/>
      <c r="G525" s="11"/>
      <c r="H525" s="11"/>
      <c r="I525" s="11"/>
      <c r="J525" s="11"/>
      <c r="K525" s="11"/>
      <c r="L525" s="11"/>
    </row>
    <row r="526" spans="4:12" x14ac:dyDescent="0.25">
      <c r="D526" s="11"/>
      <c r="E526" s="11"/>
      <c r="F526" s="11"/>
      <c r="G526" s="11"/>
      <c r="H526" s="11"/>
      <c r="I526" s="11"/>
      <c r="J526" s="11"/>
      <c r="K526" s="11"/>
      <c r="L526" s="11"/>
    </row>
    <row r="527" spans="4:12" x14ac:dyDescent="0.25">
      <c r="D527" s="11"/>
      <c r="E527" s="11"/>
      <c r="F527" s="11"/>
      <c r="G527" s="11"/>
      <c r="H527" s="11"/>
      <c r="I527" s="11"/>
      <c r="J527" s="11"/>
      <c r="K527" s="11"/>
      <c r="L527" s="11"/>
    </row>
    <row r="528" spans="4:12" x14ac:dyDescent="0.25">
      <c r="D528" s="11"/>
      <c r="E528" s="11"/>
      <c r="F528" s="11"/>
      <c r="G528" s="11"/>
      <c r="H528" s="11"/>
      <c r="I528" s="11"/>
      <c r="J528" s="11"/>
      <c r="K528" s="11"/>
      <c r="L528" s="11"/>
    </row>
    <row r="529" spans="4:12" x14ac:dyDescent="0.25">
      <c r="D529" s="11"/>
      <c r="E529" s="11"/>
      <c r="F529" s="11"/>
      <c r="G529" s="11"/>
      <c r="H529" s="11"/>
      <c r="I529" s="11"/>
      <c r="J529" s="11"/>
      <c r="K529" s="11"/>
      <c r="L529" s="11"/>
    </row>
    <row r="530" spans="4:12" x14ac:dyDescent="0.25">
      <c r="D530" s="11"/>
      <c r="E530" s="11"/>
      <c r="F530" s="11"/>
      <c r="G530" s="11"/>
      <c r="H530" s="11"/>
      <c r="I530" s="11"/>
      <c r="J530" s="11"/>
      <c r="K530" s="11"/>
      <c r="L530" s="11"/>
    </row>
    <row r="531" spans="4:12" x14ac:dyDescent="0.25">
      <c r="D531" s="11"/>
      <c r="E531" s="11"/>
      <c r="F531" s="11"/>
      <c r="G531" s="11"/>
      <c r="H531" s="11"/>
      <c r="I531" s="11"/>
      <c r="J531" s="11"/>
      <c r="K531" s="11"/>
      <c r="L531" s="11"/>
    </row>
    <row r="532" spans="4:12" x14ac:dyDescent="0.25">
      <c r="D532" s="11"/>
      <c r="E532" s="11"/>
      <c r="F532" s="11"/>
      <c r="G532" s="11"/>
      <c r="H532" s="11"/>
      <c r="I532" s="11"/>
      <c r="J532" s="11"/>
      <c r="K532" s="11"/>
      <c r="L532" s="11"/>
    </row>
    <row r="533" spans="4:12" x14ac:dyDescent="0.25">
      <c r="D533" s="11"/>
      <c r="E533" s="11"/>
      <c r="F533" s="11"/>
      <c r="G533" s="11"/>
      <c r="H533" s="11"/>
      <c r="I533" s="11"/>
      <c r="J533" s="11"/>
      <c r="K533" s="11"/>
      <c r="L533" s="11"/>
    </row>
    <row r="534" spans="4:12" x14ac:dyDescent="0.25">
      <c r="D534" s="11"/>
      <c r="E534" s="11"/>
      <c r="F534" s="11"/>
      <c r="G534" s="11"/>
      <c r="H534" s="11"/>
      <c r="I534" s="11"/>
      <c r="J534" s="11"/>
      <c r="K534" s="11"/>
      <c r="L534" s="11"/>
    </row>
    <row r="535" spans="4:12" x14ac:dyDescent="0.25">
      <c r="D535" s="11"/>
      <c r="E535" s="11"/>
      <c r="F535" s="11"/>
      <c r="G535" s="11"/>
      <c r="H535" s="11"/>
      <c r="I535" s="11"/>
      <c r="J535" s="11"/>
      <c r="K535" s="11"/>
      <c r="L535" s="11"/>
    </row>
    <row r="536" spans="4:12" x14ac:dyDescent="0.25">
      <c r="D536" s="11"/>
      <c r="E536" s="11"/>
      <c r="F536" s="11"/>
      <c r="G536" s="11"/>
      <c r="H536" s="11"/>
      <c r="I536" s="11"/>
      <c r="J536" s="11"/>
      <c r="K536" s="11"/>
      <c r="L536" s="11"/>
    </row>
    <row r="537" spans="4:12" x14ac:dyDescent="0.25">
      <c r="D537" s="11"/>
      <c r="E537" s="11"/>
      <c r="F537" s="11"/>
      <c r="G537" s="11"/>
      <c r="H537" s="11"/>
      <c r="I537" s="11"/>
      <c r="J537" s="11"/>
      <c r="K537" s="11"/>
      <c r="L537" s="11"/>
    </row>
    <row r="538" spans="4:12" x14ac:dyDescent="0.25">
      <c r="D538" s="11"/>
      <c r="E538" s="11"/>
      <c r="F538" s="11"/>
      <c r="G538" s="11"/>
      <c r="H538" s="11"/>
      <c r="I538" s="11"/>
      <c r="J538" s="11"/>
      <c r="K538" s="11"/>
      <c r="L538" s="11"/>
    </row>
    <row r="539" spans="4:12" x14ac:dyDescent="0.25">
      <c r="D539" s="11"/>
      <c r="E539" s="11"/>
      <c r="F539" s="11"/>
      <c r="G539" s="11"/>
      <c r="H539" s="11"/>
      <c r="I539" s="11"/>
      <c r="J539" s="11"/>
      <c r="K539" s="11"/>
      <c r="L539" s="11"/>
    </row>
    <row r="540" spans="4:12" x14ac:dyDescent="0.25">
      <c r="D540" s="11"/>
      <c r="E540" s="11"/>
      <c r="F540" s="11"/>
      <c r="G540" s="11"/>
      <c r="H540" s="11"/>
      <c r="I540" s="11"/>
      <c r="J540" s="11"/>
      <c r="K540" s="11"/>
      <c r="L540" s="11"/>
    </row>
    <row r="541" spans="4:12" x14ac:dyDescent="0.25">
      <c r="D541" s="11"/>
      <c r="E541" s="11"/>
      <c r="F541" s="11"/>
      <c r="G541" s="11"/>
      <c r="H541" s="11"/>
      <c r="I541" s="11"/>
      <c r="J541" s="11"/>
      <c r="K541" s="11"/>
      <c r="L541" s="11"/>
    </row>
    <row r="542" spans="4:12" x14ac:dyDescent="0.25">
      <c r="D542" s="11"/>
      <c r="E542" s="11"/>
      <c r="F542" s="11"/>
      <c r="G542" s="11"/>
      <c r="H542" s="11"/>
      <c r="I542" s="11"/>
      <c r="J542" s="11"/>
      <c r="K542" s="11"/>
      <c r="L542" s="11"/>
    </row>
    <row r="543" spans="4:12" x14ac:dyDescent="0.25">
      <c r="D543" s="11"/>
      <c r="E543" s="11"/>
      <c r="F543" s="11"/>
      <c r="G543" s="11"/>
      <c r="H543" s="11"/>
      <c r="I543" s="11"/>
      <c r="J543" s="11"/>
      <c r="K543" s="11"/>
      <c r="L543" s="11"/>
    </row>
    <row r="544" spans="4:12" x14ac:dyDescent="0.25">
      <c r="D544" s="11"/>
      <c r="E544" s="11"/>
      <c r="F544" s="11"/>
      <c r="G544" s="11"/>
      <c r="H544" s="11"/>
      <c r="I544" s="11"/>
      <c r="J544" s="11"/>
      <c r="K544" s="11"/>
      <c r="L544" s="11"/>
    </row>
    <row r="545" spans="4:12" x14ac:dyDescent="0.25">
      <c r="D545" s="11"/>
      <c r="E545" s="11"/>
      <c r="F545" s="11"/>
      <c r="G545" s="11"/>
      <c r="H545" s="11"/>
      <c r="I545" s="11"/>
      <c r="J545" s="11"/>
      <c r="K545" s="11"/>
      <c r="L545" s="11"/>
    </row>
    <row r="546" spans="4:12" x14ac:dyDescent="0.25">
      <c r="D546" s="11"/>
      <c r="E546" s="11"/>
      <c r="F546" s="11"/>
      <c r="G546" s="11"/>
      <c r="H546" s="11"/>
      <c r="I546" s="11"/>
      <c r="J546" s="11"/>
      <c r="K546" s="11"/>
      <c r="L546" s="11"/>
    </row>
    <row r="547" spans="4:12" x14ac:dyDescent="0.25">
      <c r="D547" s="11"/>
      <c r="E547" s="11"/>
      <c r="F547" s="11"/>
      <c r="G547" s="11"/>
      <c r="H547" s="11"/>
      <c r="I547" s="11"/>
      <c r="J547" s="11"/>
      <c r="K547" s="11"/>
      <c r="L547" s="11"/>
    </row>
    <row r="548" spans="4:12" x14ac:dyDescent="0.25">
      <c r="D548" s="11"/>
      <c r="E548" s="11"/>
      <c r="F548" s="11"/>
      <c r="G548" s="11"/>
      <c r="H548" s="11"/>
      <c r="I548" s="11"/>
      <c r="J548" s="11"/>
      <c r="K548" s="11"/>
      <c r="L548" s="11"/>
    </row>
    <row r="549" spans="4:12" x14ac:dyDescent="0.25">
      <c r="D549" s="11"/>
      <c r="E549" s="11"/>
      <c r="F549" s="11"/>
      <c r="G549" s="11"/>
      <c r="H549" s="11"/>
      <c r="I549" s="11"/>
      <c r="J549" s="11"/>
      <c r="K549" s="11"/>
      <c r="L549" s="11"/>
    </row>
    <row r="550" spans="4:12" x14ac:dyDescent="0.25">
      <c r="D550" s="11"/>
      <c r="E550" s="11"/>
      <c r="F550" s="11"/>
      <c r="G550" s="11"/>
      <c r="H550" s="11"/>
      <c r="I550" s="11"/>
      <c r="J550" s="11"/>
      <c r="K550" s="11"/>
      <c r="L550" s="11"/>
    </row>
    <row r="551" spans="4:12" x14ac:dyDescent="0.25">
      <c r="D551" s="11"/>
      <c r="E551" s="11"/>
      <c r="F551" s="11"/>
      <c r="G551" s="11"/>
      <c r="H551" s="11"/>
      <c r="I551" s="11"/>
      <c r="J551" s="11"/>
      <c r="K551" s="11"/>
      <c r="L551" s="11"/>
    </row>
    <row r="552" spans="4:12" x14ac:dyDescent="0.25">
      <c r="D552" s="11"/>
      <c r="E552" s="11"/>
      <c r="F552" s="11"/>
      <c r="G552" s="11"/>
      <c r="H552" s="11"/>
      <c r="I552" s="11"/>
      <c r="J552" s="11"/>
      <c r="K552" s="11"/>
      <c r="L552" s="11"/>
    </row>
    <row r="553" spans="4:12" x14ac:dyDescent="0.25">
      <c r="D553" s="11"/>
      <c r="E553" s="11"/>
      <c r="F553" s="11"/>
      <c r="G553" s="11"/>
      <c r="H553" s="11"/>
      <c r="I553" s="11"/>
      <c r="J553" s="11"/>
      <c r="K553" s="11"/>
      <c r="L553" s="11"/>
    </row>
    <row r="554" spans="4:12" x14ac:dyDescent="0.25">
      <c r="D554" s="11"/>
      <c r="E554" s="11"/>
      <c r="F554" s="11"/>
      <c r="G554" s="11"/>
      <c r="H554" s="11"/>
      <c r="I554" s="11"/>
      <c r="J554" s="11"/>
      <c r="K554" s="11"/>
      <c r="L554" s="11"/>
    </row>
    <row r="555" spans="4:12" x14ac:dyDescent="0.25">
      <c r="D555" s="11"/>
      <c r="E555" s="11"/>
      <c r="F555" s="11"/>
      <c r="G555" s="11"/>
      <c r="H555" s="11"/>
      <c r="I555" s="11"/>
      <c r="J555" s="11"/>
      <c r="K555" s="11"/>
      <c r="L555" s="11"/>
    </row>
    <row r="556" spans="4:12" x14ac:dyDescent="0.25">
      <c r="D556" s="11"/>
      <c r="E556" s="11"/>
      <c r="F556" s="11"/>
      <c r="G556" s="11"/>
      <c r="H556" s="11"/>
      <c r="I556" s="11"/>
      <c r="J556" s="11"/>
      <c r="K556" s="11"/>
      <c r="L556" s="11"/>
    </row>
    <row r="557" spans="4:12" x14ac:dyDescent="0.25">
      <c r="D557" s="11"/>
      <c r="E557" s="11"/>
      <c r="F557" s="11"/>
      <c r="G557" s="11"/>
      <c r="H557" s="11"/>
      <c r="I557" s="11"/>
      <c r="J557" s="11"/>
      <c r="K557" s="11"/>
      <c r="L557" s="11"/>
    </row>
    <row r="558" spans="4:12" x14ac:dyDescent="0.25">
      <c r="D558" s="11"/>
      <c r="E558" s="11"/>
      <c r="F558" s="11"/>
      <c r="G558" s="11"/>
      <c r="H558" s="11"/>
      <c r="I558" s="11"/>
      <c r="J558" s="11"/>
      <c r="K558" s="11"/>
      <c r="L558" s="11"/>
    </row>
    <row r="559" spans="4:12" x14ac:dyDescent="0.25">
      <c r="D559" s="11"/>
      <c r="E559" s="11"/>
      <c r="F559" s="11"/>
      <c r="G559" s="11"/>
      <c r="H559" s="11"/>
      <c r="I559" s="11"/>
      <c r="J559" s="11"/>
      <c r="K559" s="11"/>
      <c r="L559" s="11"/>
    </row>
    <row r="560" spans="4:12" x14ac:dyDescent="0.25">
      <c r="D560" s="11"/>
      <c r="E560" s="11"/>
      <c r="F560" s="11"/>
      <c r="G560" s="11"/>
      <c r="H560" s="11"/>
      <c r="I560" s="11"/>
      <c r="J560" s="11"/>
      <c r="K560" s="11"/>
      <c r="L560" s="11"/>
    </row>
    <row r="561" spans="4:12" x14ac:dyDescent="0.25">
      <c r="D561" s="11"/>
      <c r="E561" s="11"/>
      <c r="F561" s="11"/>
      <c r="G561" s="11"/>
      <c r="H561" s="11"/>
      <c r="I561" s="11"/>
      <c r="J561" s="11"/>
      <c r="K561" s="11"/>
      <c r="L561" s="11"/>
    </row>
    <row r="562" spans="4:12" x14ac:dyDescent="0.25">
      <c r="D562" s="11"/>
      <c r="E562" s="11"/>
      <c r="F562" s="11"/>
      <c r="G562" s="11"/>
      <c r="H562" s="11"/>
      <c r="I562" s="11"/>
      <c r="J562" s="11"/>
      <c r="K562" s="11"/>
      <c r="L562" s="11"/>
    </row>
    <row r="563" spans="4:12" x14ac:dyDescent="0.25">
      <c r="D563" s="11"/>
      <c r="E563" s="11"/>
      <c r="F563" s="11"/>
      <c r="G563" s="11"/>
      <c r="H563" s="11"/>
      <c r="I563" s="11"/>
      <c r="J563" s="11"/>
      <c r="K563" s="11"/>
      <c r="L563" s="11"/>
    </row>
    <row r="564" spans="4:12" x14ac:dyDescent="0.25">
      <c r="D564" s="11"/>
      <c r="E564" s="11"/>
      <c r="F564" s="11"/>
      <c r="G564" s="11"/>
      <c r="H564" s="11"/>
      <c r="I564" s="11"/>
      <c r="J564" s="11"/>
      <c r="K564" s="11"/>
      <c r="L564" s="11"/>
    </row>
    <row r="565" spans="4:12" x14ac:dyDescent="0.25">
      <c r="D565" s="11"/>
      <c r="E565" s="11"/>
      <c r="F565" s="11"/>
      <c r="G565" s="11"/>
      <c r="H565" s="11"/>
      <c r="I565" s="11"/>
      <c r="J565" s="11"/>
      <c r="K565" s="11"/>
      <c r="L565" s="11"/>
    </row>
    <row r="566" spans="4:12" x14ac:dyDescent="0.25">
      <c r="D566" s="11"/>
      <c r="E566" s="11"/>
      <c r="F566" s="11"/>
      <c r="G566" s="11"/>
      <c r="H566" s="11"/>
      <c r="I566" s="11"/>
      <c r="J566" s="11"/>
      <c r="K566" s="11"/>
      <c r="L566" s="11"/>
    </row>
    <row r="567" spans="4:12" x14ac:dyDescent="0.25">
      <c r="D567" s="11"/>
      <c r="E567" s="11"/>
      <c r="F567" s="11"/>
      <c r="G567" s="11"/>
      <c r="H567" s="11"/>
      <c r="I567" s="11"/>
      <c r="J567" s="11"/>
      <c r="K567" s="11"/>
      <c r="L567" s="11"/>
    </row>
    <row r="568" spans="4:12" x14ac:dyDescent="0.25">
      <c r="D568" s="11"/>
      <c r="E568" s="11"/>
      <c r="F568" s="11"/>
      <c r="G568" s="11"/>
      <c r="H568" s="11"/>
      <c r="I568" s="11"/>
      <c r="J568" s="11"/>
      <c r="K568" s="11"/>
      <c r="L568" s="11"/>
    </row>
    <row r="569" spans="4:12" x14ac:dyDescent="0.25">
      <c r="D569" s="11"/>
      <c r="E569" s="11"/>
      <c r="F569" s="11"/>
      <c r="G569" s="11"/>
      <c r="H569" s="11"/>
      <c r="I569" s="11"/>
      <c r="J569" s="11"/>
      <c r="K569" s="11"/>
      <c r="L569" s="11"/>
    </row>
    <row r="570" spans="4:12" x14ac:dyDescent="0.25">
      <c r="D570" s="11"/>
      <c r="E570" s="11"/>
      <c r="F570" s="11"/>
      <c r="G570" s="11"/>
      <c r="H570" s="11"/>
      <c r="I570" s="11"/>
      <c r="J570" s="11"/>
      <c r="K570" s="11"/>
      <c r="L570" s="11"/>
    </row>
    <row r="571" spans="4:12" x14ac:dyDescent="0.25">
      <c r="D571" s="11"/>
      <c r="E571" s="11"/>
      <c r="F571" s="11"/>
      <c r="G571" s="11"/>
      <c r="H571" s="11"/>
      <c r="I571" s="11"/>
      <c r="J571" s="11"/>
      <c r="K571" s="11"/>
      <c r="L571" s="11"/>
    </row>
    <row r="572" spans="4:12" x14ac:dyDescent="0.25">
      <c r="D572" s="11"/>
      <c r="E572" s="11"/>
      <c r="F572" s="11"/>
      <c r="G572" s="11"/>
      <c r="H572" s="11"/>
      <c r="I572" s="11"/>
      <c r="J572" s="11"/>
      <c r="K572" s="11"/>
      <c r="L572" s="11"/>
    </row>
    <row r="573" spans="4:12" x14ac:dyDescent="0.25">
      <c r="D573" s="11"/>
      <c r="E573" s="11"/>
      <c r="F573" s="11"/>
      <c r="G573" s="11"/>
      <c r="H573" s="11"/>
      <c r="I573" s="11"/>
      <c r="J573" s="11"/>
      <c r="K573" s="11"/>
      <c r="L573" s="11"/>
    </row>
    <row r="574" spans="4:12" x14ac:dyDescent="0.25">
      <c r="D574" s="11"/>
      <c r="E574" s="11"/>
      <c r="F574" s="11"/>
      <c r="G574" s="11"/>
      <c r="H574" s="11"/>
      <c r="I574" s="11"/>
      <c r="J574" s="11"/>
      <c r="K574" s="11"/>
      <c r="L574" s="11"/>
    </row>
    <row r="575" spans="4:12" x14ac:dyDescent="0.25">
      <c r="D575" s="11"/>
      <c r="E575" s="11"/>
      <c r="F575" s="11"/>
      <c r="G575" s="11"/>
      <c r="H575" s="11"/>
      <c r="I575" s="11"/>
      <c r="J575" s="11"/>
      <c r="K575" s="11"/>
      <c r="L575" s="11"/>
    </row>
    <row r="576" spans="4:12" x14ac:dyDescent="0.25">
      <c r="D576" s="11"/>
      <c r="E576" s="11"/>
      <c r="F576" s="11"/>
      <c r="G576" s="11"/>
      <c r="H576" s="11"/>
      <c r="I576" s="11"/>
      <c r="J576" s="11"/>
      <c r="K576" s="11"/>
      <c r="L576" s="11"/>
    </row>
    <row r="577" spans="4:12" x14ac:dyDescent="0.25">
      <c r="D577" s="11"/>
      <c r="E577" s="11"/>
      <c r="F577" s="11"/>
      <c r="G577" s="11"/>
      <c r="H577" s="11"/>
      <c r="I577" s="11"/>
      <c r="J577" s="11"/>
      <c r="K577" s="11"/>
      <c r="L577" s="11"/>
    </row>
    <row r="578" spans="4:12" x14ac:dyDescent="0.25">
      <c r="D578" s="11"/>
      <c r="E578" s="11"/>
      <c r="F578" s="11"/>
      <c r="G578" s="11"/>
      <c r="H578" s="11"/>
      <c r="I578" s="11"/>
      <c r="J578" s="11"/>
      <c r="K578" s="11"/>
      <c r="L578" s="11"/>
    </row>
    <row r="579" spans="4:12" x14ac:dyDescent="0.25">
      <c r="D579" s="11"/>
      <c r="E579" s="11"/>
      <c r="F579" s="11"/>
      <c r="G579" s="11"/>
      <c r="H579" s="11"/>
      <c r="I579" s="11"/>
      <c r="J579" s="11"/>
      <c r="K579" s="11"/>
      <c r="L579" s="11"/>
    </row>
    <row r="580" spans="4:12" x14ac:dyDescent="0.25">
      <c r="D580" s="11"/>
      <c r="E580" s="11"/>
      <c r="F580" s="11"/>
      <c r="G580" s="11"/>
      <c r="H580" s="11"/>
      <c r="I580" s="11"/>
      <c r="J580" s="11"/>
      <c r="K580" s="11"/>
      <c r="L580" s="11"/>
    </row>
    <row r="581" spans="4:12" x14ac:dyDescent="0.25">
      <c r="D581" s="11"/>
      <c r="E581" s="11"/>
      <c r="F581" s="11"/>
      <c r="G581" s="11"/>
      <c r="H581" s="11"/>
      <c r="I581" s="11"/>
      <c r="J581" s="11"/>
      <c r="K581" s="11"/>
      <c r="L581" s="11"/>
    </row>
    <row r="582" spans="4:12" x14ac:dyDescent="0.25">
      <c r="D582" s="11"/>
      <c r="E582" s="11"/>
      <c r="F582" s="11"/>
      <c r="G582" s="11"/>
      <c r="H582" s="11"/>
      <c r="I582" s="11"/>
      <c r="J582" s="11"/>
      <c r="K582" s="11"/>
      <c r="L582" s="11"/>
    </row>
    <row r="583" spans="4:12" x14ac:dyDescent="0.25">
      <c r="D583" s="11"/>
      <c r="E583" s="11"/>
      <c r="F583" s="11"/>
      <c r="G583" s="11"/>
      <c r="H583" s="11"/>
      <c r="I583" s="11"/>
      <c r="J583" s="11"/>
      <c r="K583" s="11"/>
      <c r="L583" s="11"/>
    </row>
    <row r="584" spans="4:12" x14ac:dyDescent="0.25">
      <c r="D584" s="11"/>
      <c r="E584" s="11"/>
      <c r="F584" s="11"/>
      <c r="G584" s="11"/>
      <c r="H584" s="11"/>
      <c r="I584" s="11"/>
      <c r="J584" s="11"/>
      <c r="K584" s="11"/>
      <c r="L584" s="11"/>
    </row>
    <row r="585" spans="4:12" x14ac:dyDescent="0.25">
      <c r="D585" s="11"/>
      <c r="E585" s="11"/>
      <c r="F585" s="11"/>
      <c r="G585" s="11"/>
      <c r="H585" s="11"/>
      <c r="I585" s="11"/>
      <c r="J585" s="11"/>
      <c r="K585" s="11"/>
      <c r="L585" s="11"/>
    </row>
    <row r="586" spans="4:12" x14ac:dyDescent="0.25">
      <c r="D586" s="11"/>
      <c r="E586" s="11"/>
      <c r="F586" s="11"/>
      <c r="G586" s="11"/>
      <c r="H586" s="11"/>
      <c r="I586" s="11"/>
      <c r="J586" s="11"/>
      <c r="K586" s="11"/>
      <c r="L586" s="11"/>
    </row>
    <row r="587" spans="4:12" x14ac:dyDescent="0.25">
      <c r="D587" s="11"/>
      <c r="E587" s="11"/>
      <c r="F587" s="11"/>
      <c r="G587" s="11"/>
      <c r="H587" s="11"/>
      <c r="I587" s="11"/>
      <c r="J587" s="11"/>
      <c r="K587" s="11"/>
      <c r="L587" s="11"/>
    </row>
    <row r="588" spans="4:12" x14ac:dyDescent="0.25">
      <c r="D588" s="11"/>
      <c r="E588" s="11"/>
      <c r="F588" s="11"/>
      <c r="G588" s="11"/>
      <c r="H588" s="11"/>
      <c r="I588" s="11"/>
      <c r="J588" s="11"/>
      <c r="K588" s="11"/>
      <c r="L588" s="11"/>
    </row>
    <row r="589" spans="4:12" x14ac:dyDescent="0.25">
      <c r="D589" s="11"/>
      <c r="E589" s="11"/>
      <c r="F589" s="11"/>
      <c r="G589" s="11"/>
      <c r="H589" s="11"/>
      <c r="I589" s="11"/>
      <c r="J589" s="11"/>
      <c r="K589" s="11"/>
      <c r="L589" s="11"/>
    </row>
    <row r="590" spans="4:12" x14ac:dyDescent="0.25">
      <c r="D590" s="11"/>
      <c r="E590" s="11"/>
      <c r="F590" s="11"/>
      <c r="G590" s="11"/>
      <c r="H590" s="11"/>
      <c r="I590" s="11"/>
      <c r="J590" s="11"/>
      <c r="K590" s="11"/>
      <c r="L590" s="11"/>
    </row>
    <row r="591" spans="4:12" x14ac:dyDescent="0.25">
      <c r="D591" s="11"/>
      <c r="E591" s="11"/>
      <c r="F591" s="11"/>
      <c r="G591" s="11"/>
      <c r="H591" s="11"/>
      <c r="I591" s="11"/>
      <c r="J591" s="11"/>
      <c r="K591" s="11"/>
      <c r="L591" s="11"/>
    </row>
    <row r="592" spans="4:12" x14ac:dyDescent="0.25">
      <c r="D592" s="11"/>
      <c r="E592" s="11"/>
      <c r="F592" s="11"/>
      <c r="G592" s="11"/>
      <c r="H592" s="11"/>
      <c r="I592" s="11"/>
      <c r="J592" s="11"/>
      <c r="K592" s="11"/>
      <c r="L592" s="11"/>
    </row>
    <row r="593" spans="4:12" x14ac:dyDescent="0.25">
      <c r="D593" s="11"/>
      <c r="E593" s="11"/>
      <c r="F593" s="11"/>
      <c r="G593" s="11"/>
      <c r="H593" s="11"/>
      <c r="I593" s="11"/>
      <c r="J593" s="11"/>
      <c r="K593" s="11"/>
      <c r="L593" s="11"/>
    </row>
    <row r="594" spans="4:12" x14ac:dyDescent="0.25">
      <c r="D594" s="11"/>
      <c r="E594" s="11"/>
      <c r="F594" s="11"/>
      <c r="G594" s="11"/>
      <c r="H594" s="11"/>
      <c r="I594" s="11"/>
      <c r="J594" s="11"/>
      <c r="K594" s="11"/>
      <c r="L594" s="11"/>
    </row>
    <row r="595" spans="4:12" x14ac:dyDescent="0.25">
      <c r="D595" s="11"/>
      <c r="E595" s="11"/>
      <c r="F595" s="11"/>
      <c r="G595" s="11"/>
      <c r="H595" s="11"/>
      <c r="I595" s="11"/>
      <c r="J595" s="11"/>
      <c r="K595" s="11"/>
      <c r="L595" s="11"/>
    </row>
    <row r="596" spans="4:12" x14ac:dyDescent="0.25">
      <c r="D596" s="11"/>
      <c r="E596" s="11"/>
      <c r="F596" s="11"/>
      <c r="G596" s="11"/>
      <c r="H596" s="11"/>
      <c r="I596" s="11"/>
      <c r="J596" s="11"/>
      <c r="K596" s="11"/>
      <c r="L596" s="11"/>
    </row>
    <row r="597" spans="4:12" x14ac:dyDescent="0.25">
      <c r="D597" s="11"/>
      <c r="E597" s="11"/>
      <c r="F597" s="11"/>
      <c r="G597" s="11"/>
      <c r="H597" s="11"/>
      <c r="I597" s="11"/>
      <c r="J597" s="11"/>
      <c r="K597" s="11"/>
      <c r="L597" s="11"/>
    </row>
    <row r="598" spans="4:12" x14ac:dyDescent="0.25">
      <c r="D598" s="11"/>
      <c r="E598" s="11"/>
      <c r="F598" s="11"/>
      <c r="G598" s="11"/>
      <c r="H598" s="11"/>
      <c r="I598" s="11"/>
      <c r="J598" s="11"/>
      <c r="K598" s="11"/>
      <c r="L598" s="11"/>
    </row>
    <row r="599" spans="4:12" x14ac:dyDescent="0.25">
      <c r="D599" s="11"/>
      <c r="E599" s="11"/>
      <c r="F599" s="11"/>
      <c r="G599" s="11"/>
      <c r="H599" s="11"/>
      <c r="I599" s="11"/>
      <c r="J599" s="11"/>
      <c r="K599" s="11"/>
      <c r="L599" s="11"/>
    </row>
    <row r="600" spans="4:12" x14ac:dyDescent="0.25">
      <c r="D600" s="11"/>
      <c r="E600" s="11"/>
      <c r="F600" s="11"/>
      <c r="G600" s="11"/>
      <c r="H600" s="11"/>
      <c r="I600" s="11"/>
      <c r="J600" s="11"/>
      <c r="K600" s="11"/>
      <c r="L600" s="11"/>
    </row>
    <row r="601" spans="4:12" x14ac:dyDescent="0.25">
      <c r="D601" s="11"/>
      <c r="E601" s="11"/>
      <c r="F601" s="11"/>
      <c r="G601" s="11"/>
      <c r="H601" s="11"/>
      <c r="I601" s="11"/>
      <c r="J601" s="11"/>
      <c r="K601" s="11"/>
      <c r="L601" s="11"/>
    </row>
    <row r="602" spans="4:12" x14ac:dyDescent="0.25">
      <c r="D602" s="11"/>
      <c r="E602" s="11"/>
      <c r="F602" s="11"/>
      <c r="G602" s="11"/>
      <c r="H602" s="11"/>
      <c r="I602" s="11"/>
      <c r="J602" s="11"/>
      <c r="K602" s="11"/>
      <c r="L602" s="11"/>
    </row>
    <row r="603" spans="4:12" x14ac:dyDescent="0.25">
      <c r="D603" s="11"/>
      <c r="E603" s="11"/>
      <c r="F603" s="11"/>
      <c r="G603" s="11"/>
      <c r="H603" s="11"/>
      <c r="I603" s="11"/>
      <c r="J603" s="11"/>
      <c r="K603" s="11"/>
      <c r="L603" s="11"/>
    </row>
    <row r="604" spans="4:12" x14ac:dyDescent="0.25">
      <c r="D604" s="11"/>
      <c r="E604" s="11"/>
      <c r="F604" s="11"/>
      <c r="G604" s="11"/>
      <c r="H604" s="11"/>
      <c r="I604" s="11"/>
      <c r="J604" s="11"/>
      <c r="K604" s="11"/>
      <c r="L604" s="11"/>
    </row>
    <row r="605" spans="4:12" x14ac:dyDescent="0.25">
      <c r="D605" s="11"/>
      <c r="E605" s="11"/>
      <c r="F605" s="11"/>
      <c r="G605" s="11"/>
      <c r="H605" s="11"/>
      <c r="I605" s="11"/>
      <c r="J605" s="11"/>
      <c r="K605" s="11"/>
      <c r="L605" s="11"/>
    </row>
    <row r="606" spans="4:12" x14ac:dyDescent="0.25">
      <c r="D606" s="11"/>
      <c r="E606" s="11"/>
      <c r="F606" s="11"/>
      <c r="G606" s="11"/>
      <c r="H606" s="11"/>
      <c r="I606" s="11"/>
      <c r="J606" s="11"/>
      <c r="K606" s="11"/>
      <c r="L606" s="11"/>
    </row>
    <row r="607" spans="4:12" x14ac:dyDescent="0.25">
      <c r="D607" s="11"/>
      <c r="E607" s="11"/>
      <c r="F607" s="11"/>
      <c r="G607" s="11"/>
      <c r="H607" s="11"/>
      <c r="I607" s="11"/>
      <c r="J607" s="11"/>
      <c r="K607" s="11"/>
      <c r="L607" s="11"/>
    </row>
    <row r="608" spans="4:12" x14ac:dyDescent="0.25">
      <c r="D608" s="11"/>
      <c r="E608" s="11"/>
      <c r="F608" s="11"/>
      <c r="G608" s="11"/>
      <c r="H608" s="11"/>
      <c r="I608" s="11"/>
      <c r="J608" s="11"/>
      <c r="K608" s="11"/>
      <c r="L608" s="11"/>
    </row>
    <row r="609" spans="4:12" x14ac:dyDescent="0.25">
      <c r="D609" s="11"/>
      <c r="E609" s="11"/>
      <c r="F609" s="11"/>
      <c r="G609" s="11"/>
      <c r="H609" s="11"/>
      <c r="I609" s="11"/>
      <c r="J609" s="11"/>
      <c r="K609" s="11"/>
      <c r="L609" s="11"/>
    </row>
    <row r="610" spans="4:12" x14ac:dyDescent="0.25">
      <c r="D610" s="11"/>
      <c r="E610" s="11"/>
      <c r="F610" s="11"/>
      <c r="G610" s="11"/>
      <c r="H610" s="11"/>
      <c r="I610" s="11"/>
      <c r="J610" s="11"/>
      <c r="K610" s="11"/>
      <c r="L610" s="11"/>
    </row>
    <row r="611" spans="4:12" x14ac:dyDescent="0.25">
      <c r="D611" s="11"/>
      <c r="E611" s="11"/>
      <c r="F611" s="11"/>
      <c r="G611" s="11"/>
      <c r="H611" s="11"/>
      <c r="I611" s="11"/>
      <c r="J611" s="11"/>
      <c r="K611" s="11"/>
      <c r="L611" s="11"/>
    </row>
    <row r="612" spans="4:12" x14ac:dyDescent="0.25">
      <c r="D612" s="11"/>
      <c r="E612" s="11"/>
      <c r="F612" s="11"/>
      <c r="G612" s="11"/>
      <c r="H612" s="11"/>
      <c r="I612" s="11"/>
      <c r="J612" s="11"/>
      <c r="K612" s="11"/>
      <c r="L612" s="11"/>
    </row>
    <row r="613" spans="4:12" x14ac:dyDescent="0.25">
      <c r="D613" s="11"/>
      <c r="E613" s="11"/>
      <c r="F613" s="11"/>
      <c r="G613" s="11"/>
      <c r="H613" s="11"/>
      <c r="I613" s="11"/>
      <c r="J613" s="11"/>
      <c r="K613" s="11"/>
      <c r="L613" s="11"/>
    </row>
    <row r="614" spans="4:12" x14ac:dyDescent="0.25">
      <c r="D614" s="11"/>
      <c r="E614" s="11"/>
      <c r="F614" s="11"/>
      <c r="G614" s="11"/>
      <c r="H614" s="11"/>
      <c r="I614" s="11"/>
      <c r="J614" s="11"/>
      <c r="K614" s="11"/>
      <c r="L614" s="11"/>
    </row>
    <row r="615" spans="4:12" x14ac:dyDescent="0.25">
      <c r="D615" s="11"/>
      <c r="E615" s="11"/>
      <c r="F615" s="11"/>
      <c r="G615" s="11"/>
      <c r="H615" s="11"/>
      <c r="I615" s="11"/>
      <c r="J615" s="11"/>
      <c r="K615" s="11"/>
      <c r="L615" s="11"/>
    </row>
    <row r="616" spans="4:12" x14ac:dyDescent="0.25">
      <c r="D616" s="11"/>
      <c r="E616" s="11"/>
      <c r="F616" s="11"/>
      <c r="G616" s="11"/>
      <c r="H616" s="11"/>
      <c r="I616" s="11"/>
      <c r="J616" s="11"/>
      <c r="K616" s="11"/>
      <c r="L616" s="11"/>
    </row>
    <row r="617" spans="4:12" x14ac:dyDescent="0.25">
      <c r="D617" s="11"/>
      <c r="E617" s="11"/>
      <c r="F617" s="11"/>
      <c r="G617" s="11"/>
      <c r="H617" s="11"/>
      <c r="I617" s="11"/>
      <c r="J617" s="11"/>
      <c r="K617" s="11"/>
      <c r="L617" s="11"/>
    </row>
    <row r="618" spans="4:12" x14ac:dyDescent="0.25">
      <c r="D618" s="11"/>
      <c r="E618" s="11"/>
      <c r="F618" s="11"/>
      <c r="G618" s="11"/>
      <c r="H618" s="11"/>
      <c r="I618" s="11"/>
      <c r="J618" s="11"/>
      <c r="K618" s="11"/>
      <c r="L618" s="11"/>
    </row>
    <row r="619" spans="4:12" x14ac:dyDescent="0.25">
      <c r="D619" s="11"/>
      <c r="E619" s="11"/>
      <c r="F619" s="11"/>
      <c r="G619" s="11"/>
      <c r="H619" s="11"/>
      <c r="I619" s="11"/>
      <c r="J619" s="11"/>
      <c r="K619" s="11"/>
      <c r="L619" s="11"/>
    </row>
    <row r="620" spans="4:12" x14ac:dyDescent="0.25">
      <c r="D620" s="11"/>
      <c r="E620" s="11"/>
      <c r="F620" s="11"/>
      <c r="G620" s="11"/>
      <c r="H620" s="11"/>
      <c r="I620" s="11"/>
      <c r="J620" s="11"/>
      <c r="K620" s="11"/>
      <c r="L620" s="11"/>
    </row>
    <row r="621" spans="4:12" x14ac:dyDescent="0.25">
      <c r="D621" s="11"/>
      <c r="E621" s="11"/>
      <c r="F621" s="11"/>
      <c r="G621" s="11"/>
      <c r="H621" s="11"/>
      <c r="I621" s="11"/>
      <c r="J621" s="11"/>
      <c r="K621" s="11"/>
      <c r="L621" s="11"/>
    </row>
    <row r="622" spans="4:12" x14ac:dyDescent="0.25">
      <c r="D622" s="11"/>
      <c r="E622" s="11"/>
      <c r="F622" s="11"/>
      <c r="G622" s="11"/>
      <c r="H622" s="11"/>
      <c r="I622" s="11"/>
      <c r="J622" s="11"/>
      <c r="K622" s="11"/>
      <c r="L622" s="11"/>
    </row>
    <row r="623" spans="4:12" x14ac:dyDescent="0.25">
      <c r="D623" s="11"/>
      <c r="E623" s="11"/>
      <c r="F623" s="11"/>
      <c r="G623" s="11"/>
      <c r="H623" s="11"/>
      <c r="I623" s="11"/>
      <c r="J623" s="11"/>
      <c r="K623" s="11"/>
      <c r="L623" s="11"/>
    </row>
    <row r="624" spans="4:12" x14ac:dyDescent="0.25">
      <c r="D624" s="11"/>
      <c r="E624" s="11"/>
      <c r="F624" s="11"/>
      <c r="G624" s="11"/>
      <c r="H624" s="11"/>
      <c r="I624" s="11"/>
      <c r="J624" s="11"/>
      <c r="K624" s="11"/>
      <c r="L624" s="11"/>
    </row>
    <row r="625" spans="4:12" x14ac:dyDescent="0.25">
      <c r="D625" s="11"/>
      <c r="E625" s="11"/>
      <c r="F625" s="11"/>
      <c r="G625" s="11"/>
      <c r="H625" s="11"/>
      <c r="I625" s="11"/>
      <c r="J625" s="11"/>
      <c r="K625" s="11"/>
      <c r="L625" s="11"/>
    </row>
    <row r="626" spans="4:12" x14ac:dyDescent="0.25">
      <c r="D626" s="11"/>
      <c r="E626" s="11"/>
      <c r="F626" s="11"/>
      <c r="G626" s="11"/>
      <c r="H626" s="11"/>
      <c r="I626" s="11"/>
      <c r="J626" s="11"/>
      <c r="K626" s="11"/>
      <c r="L626" s="11"/>
    </row>
    <row r="627" spans="4:12" x14ac:dyDescent="0.25">
      <c r="D627" s="11"/>
      <c r="E627" s="11"/>
      <c r="F627" s="11"/>
      <c r="G627" s="11"/>
      <c r="H627" s="11"/>
      <c r="I627" s="11"/>
      <c r="J627" s="11"/>
      <c r="K627" s="11"/>
      <c r="L627" s="11"/>
    </row>
    <row r="628" spans="4:12" x14ac:dyDescent="0.25">
      <c r="D628" s="11"/>
      <c r="E628" s="11"/>
      <c r="F628" s="11"/>
      <c r="G628" s="11"/>
      <c r="H628" s="11"/>
      <c r="I628" s="11"/>
      <c r="J628" s="11"/>
      <c r="K628" s="11"/>
      <c r="L628" s="11"/>
    </row>
    <row r="629" spans="4:12" x14ac:dyDescent="0.25">
      <c r="D629" s="11"/>
      <c r="E629" s="11"/>
      <c r="F629" s="11"/>
      <c r="G629" s="11"/>
      <c r="H629" s="11"/>
      <c r="I629" s="11"/>
      <c r="J629" s="11"/>
      <c r="K629" s="11"/>
      <c r="L629" s="11"/>
    </row>
    <row r="630" spans="4:12" x14ac:dyDescent="0.25">
      <c r="D630" s="11"/>
      <c r="E630" s="11"/>
      <c r="F630" s="11"/>
      <c r="G630" s="11"/>
      <c r="H630" s="11"/>
      <c r="I630" s="11"/>
      <c r="J630" s="11"/>
      <c r="K630" s="11"/>
      <c r="L630" s="11"/>
    </row>
    <row r="631" spans="4:12" x14ac:dyDescent="0.25">
      <c r="D631" s="11"/>
      <c r="E631" s="11"/>
      <c r="F631" s="11"/>
      <c r="G631" s="11"/>
      <c r="H631" s="11"/>
      <c r="I631" s="11"/>
      <c r="J631" s="11"/>
      <c r="K631" s="11"/>
      <c r="L631" s="11"/>
    </row>
    <row r="632" spans="4:12" x14ac:dyDescent="0.25">
      <c r="D632" s="11"/>
      <c r="E632" s="11"/>
      <c r="F632" s="11"/>
      <c r="G632" s="11"/>
      <c r="H632" s="11"/>
      <c r="I632" s="11"/>
      <c r="J632" s="11"/>
      <c r="K632" s="11"/>
      <c r="L632" s="11"/>
    </row>
    <row r="633" spans="4:12" x14ac:dyDescent="0.25">
      <c r="D633" s="11"/>
      <c r="E633" s="11"/>
      <c r="F633" s="11"/>
      <c r="G633" s="11"/>
      <c r="H633" s="11"/>
      <c r="I633" s="11"/>
      <c r="J633" s="11"/>
      <c r="K633" s="11"/>
      <c r="L633" s="11"/>
    </row>
    <row r="634" spans="4:12" x14ac:dyDescent="0.25">
      <c r="D634" s="11"/>
      <c r="E634" s="11"/>
      <c r="F634" s="11"/>
      <c r="G634" s="11"/>
      <c r="H634" s="11"/>
      <c r="I634" s="11"/>
      <c r="J634" s="11"/>
      <c r="K634" s="11"/>
      <c r="L634" s="11"/>
    </row>
    <row r="635" spans="4:12" x14ac:dyDescent="0.25">
      <c r="D635" s="11"/>
      <c r="E635" s="11"/>
      <c r="F635" s="11"/>
      <c r="G635" s="11"/>
      <c r="H635" s="11"/>
      <c r="I635" s="11"/>
      <c r="J635" s="11"/>
      <c r="K635" s="11"/>
      <c r="L635" s="11"/>
    </row>
    <row r="636" spans="4:12" x14ac:dyDescent="0.25">
      <c r="D636" s="11"/>
      <c r="E636" s="11"/>
      <c r="F636" s="11"/>
      <c r="G636" s="11"/>
      <c r="H636" s="11"/>
      <c r="I636" s="11"/>
      <c r="J636" s="11"/>
      <c r="K636" s="11"/>
      <c r="L636" s="11"/>
    </row>
    <row r="637" spans="4:12" x14ac:dyDescent="0.25">
      <c r="D637" s="11"/>
      <c r="E637" s="11"/>
      <c r="F637" s="11"/>
      <c r="G637" s="11"/>
      <c r="H637" s="11"/>
      <c r="I637" s="11"/>
      <c r="J637" s="11"/>
      <c r="K637" s="11"/>
      <c r="L637" s="11"/>
    </row>
    <row r="638" spans="4:12" x14ac:dyDescent="0.25">
      <c r="D638" s="11"/>
      <c r="E638" s="11"/>
      <c r="F638" s="11"/>
      <c r="G638" s="11"/>
      <c r="H638" s="11"/>
      <c r="I638" s="11"/>
      <c r="J638" s="11"/>
      <c r="K638" s="11"/>
      <c r="L638" s="11"/>
    </row>
    <row r="639" spans="4:12" x14ac:dyDescent="0.25">
      <c r="D639" s="11"/>
      <c r="E639" s="11"/>
      <c r="F639" s="11"/>
      <c r="G639" s="11"/>
      <c r="H639" s="11"/>
      <c r="I639" s="11"/>
      <c r="J639" s="11"/>
      <c r="K639" s="11"/>
      <c r="L639" s="11"/>
    </row>
    <row r="640" spans="4:12" x14ac:dyDescent="0.25">
      <c r="D640" s="11"/>
      <c r="E640" s="11"/>
      <c r="F640" s="11"/>
      <c r="G640" s="11"/>
      <c r="H640" s="11"/>
      <c r="I640" s="11"/>
      <c r="J640" s="11"/>
      <c r="K640" s="11"/>
      <c r="L640" s="11"/>
    </row>
    <row r="641" spans="4:12" x14ac:dyDescent="0.25">
      <c r="D641" s="11"/>
      <c r="E641" s="11"/>
      <c r="F641" s="11"/>
      <c r="G641" s="11"/>
      <c r="H641" s="11"/>
      <c r="I641" s="11"/>
      <c r="J641" s="11"/>
      <c r="K641" s="11"/>
      <c r="L641" s="11"/>
    </row>
    <row r="642" spans="4:12" x14ac:dyDescent="0.25">
      <c r="D642" s="11"/>
      <c r="E642" s="11"/>
      <c r="F642" s="11"/>
      <c r="G642" s="11"/>
      <c r="H642" s="11"/>
      <c r="I642" s="11"/>
      <c r="J642" s="11"/>
      <c r="K642" s="11"/>
      <c r="L642" s="11"/>
    </row>
    <row r="643" spans="4:12" x14ac:dyDescent="0.25">
      <c r="D643" s="11"/>
      <c r="E643" s="11"/>
      <c r="F643" s="11"/>
      <c r="G643" s="11"/>
      <c r="H643" s="11"/>
      <c r="I643" s="11"/>
      <c r="J643" s="11"/>
      <c r="K643" s="11"/>
      <c r="L643" s="11"/>
    </row>
    <row r="644" spans="4:12" x14ac:dyDescent="0.25">
      <c r="D644" s="11"/>
      <c r="E644" s="11"/>
      <c r="F644" s="11"/>
      <c r="G644" s="11"/>
      <c r="H644" s="11"/>
      <c r="I644" s="11"/>
      <c r="J644" s="11"/>
      <c r="K644" s="11"/>
      <c r="L644" s="11"/>
    </row>
    <row r="645" spans="4:12" x14ac:dyDescent="0.25">
      <c r="D645" s="11"/>
      <c r="E645" s="11"/>
      <c r="F645" s="11"/>
      <c r="G645" s="11"/>
      <c r="H645" s="11"/>
      <c r="I645" s="11"/>
      <c r="J645" s="11"/>
      <c r="K645" s="11"/>
      <c r="L645" s="11"/>
    </row>
    <row r="646" spans="4:12" x14ac:dyDescent="0.25">
      <c r="D646" s="11"/>
      <c r="E646" s="11"/>
      <c r="F646" s="11"/>
      <c r="G646" s="11"/>
      <c r="H646" s="11"/>
      <c r="I646" s="11"/>
      <c r="J646" s="11"/>
      <c r="K646" s="11"/>
      <c r="L646" s="11"/>
    </row>
    <row r="647" spans="4:12" x14ac:dyDescent="0.25">
      <c r="D647" s="11"/>
      <c r="E647" s="11"/>
      <c r="F647" s="11"/>
      <c r="G647" s="11"/>
      <c r="H647" s="11"/>
      <c r="I647" s="11"/>
      <c r="J647" s="11"/>
      <c r="K647" s="11"/>
      <c r="L647" s="11"/>
    </row>
    <row r="648" spans="4:12" x14ac:dyDescent="0.25">
      <c r="D648" s="11"/>
      <c r="E648" s="11"/>
      <c r="F648" s="11"/>
      <c r="G648" s="11"/>
      <c r="H648" s="11"/>
      <c r="I648" s="11"/>
      <c r="J648" s="11"/>
      <c r="K648" s="11"/>
      <c r="L648" s="11"/>
    </row>
    <row r="649" spans="4:12" x14ac:dyDescent="0.25">
      <c r="D649" s="11"/>
      <c r="E649" s="11"/>
      <c r="F649" s="11"/>
      <c r="G649" s="11"/>
      <c r="H649" s="11"/>
      <c r="I649" s="11"/>
      <c r="J649" s="11"/>
      <c r="K649" s="11"/>
      <c r="L649" s="11"/>
    </row>
    <row r="650" spans="4:12" x14ac:dyDescent="0.25">
      <c r="D650" s="11"/>
      <c r="E650" s="11"/>
      <c r="F650" s="11"/>
      <c r="G650" s="11"/>
      <c r="H650" s="11"/>
      <c r="I650" s="11"/>
      <c r="J650" s="11"/>
      <c r="K650" s="11"/>
      <c r="L650" s="11"/>
    </row>
    <row r="651" spans="4:12" x14ac:dyDescent="0.25">
      <c r="D651" s="11"/>
      <c r="E651" s="11"/>
      <c r="F651" s="11"/>
      <c r="G651" s="11"/>
      <c r="H651" s="11"/>
      <c r="I651" s="11"/>
      <c r="J651" s="11"/>
      <c r="K651" s="11"/>
      <c r="L651" s="11"/>
    </row>
    <row r="652" spans="4:12" x14ac:dyDescent="0.25">
      <c r="D652" s="11"/>
      <c r="E652" s="11"/>
      <c r="F652" s="11"/>
      <c r="G652" s="11"/>
      <c r="H652" s="11"/>
      <c r="I652" s="11"/>
      <c r="J652" s="11"/>
      <c r="K652" s="11"/>
      <c r="L652" s="11"/>
    </row>
    <row r="653" spans="4:12" x14ac:dyDescent="0.25">
      <c r="D653" s="11"/>
      <c r="E653" s="11"/>
      <c r="F653" s="11"/>
      <c r="G653" s="11"/>
      <c r="H653" s="11"/>
      <c r="I653" s="11"/>
      <c r="J653" s="11"/>
      <c r="K653" s="11"/>
      <c r="L653" s="11"/>
    </row>
    <row r="654" spans="4:12" x14ac:dyDescent="0.25">
      <c r="D654" s="11"/>
      <c r="E654" s="11"/>
      <c r="F654" s="11"/>
      <c r="G654" s="11"/>
      <c r="H654" s="11"/>
      <c r="I654" s="11"/>
      <c r="J654" s="11"/>
      <c r="K654" s="11"/>
      <c r="L654" s="11"/>
    </row>
    <row r="655" spans="4:12" x14ac:dyDescent="0.25">
      <c r="D655" s="11"/>
      <c r="E655" s="11"/>
      <c r="F655" s="11"/>
      <c r="G655" s="11"/>
      <c r="H655" s="11"/>
      <c r="I655" s="11"/>
      <c r="J655" s="11"/>
      <c r="K655" s="11"/>
      <c r="L655" s="11"/>
    </row>
    <row r="656" spans="4:12" x14ac:dyDescent="0.25">
      <c r="D656" s="11"/>
      <c r="E656" s="11"/>
      <c r="F656" s="11"/>
      <c r="G656" s="11"/>
      <c r="H656" s="11"/>
      <c r="I656" s="11"/>
      <c r="J656" s="11"/>
      <c r="K656" s="11"/>
      <c r="L656" s="11"/>
    </row>
    <row r="657" spans="4:12" x14ac:dyDescent="0.25">
      <c r="D657" s="11"/>
      <c r="E657" s="11"/>
      <c r="F657" s="11"/>
      <c r="G657" s="11"/>
      <c r="H657" s="11"/>
      <c r="I657" s="11"/>
      <c r="J657" s="11"/>
      <c r="K657" s="11"/>
      <c r="L657" s="11"/>
    </row>
    <row r="658" spans="4:12" x14ac:dyDescent="0.25">
      <c r="D658" s="11"/>
      <c r="E658" s="11"/>
      <c r="F658" s="11"/>
      <c r="G658" s="11"/>
      <c r="H658" s="11"/>
      <c r="I658" s="11"/>
      <c r="J658" s="11"/>
      <c r="K658" s="11"/>
      <c r="L658" s="11"/>
    </row>
    <row r="659" spans="4:12" x14ac:dyDescent="0.25">
      <c r="D659" s="11"/>
      <c r="E659" s="11"/>
      <c r="F659" s="11"/>
      <c r="G659" s="11"/>
      <c r="H659" s="11"/>
      <c r="I659" s="11"/>
      <c r="J659" s="11"/>
      <c r="K659" s="11"/>
      <c r="L659" s="11"/>
    </row>
    <row r="660" spans="4:12" x14ac:dyDescent="0.25">
      <c r="D660" s="11"/>
      <c r="E660" s="11"/>
      <c r="F660" s="11"/>
      <c r="G660" s="11"/>
      <c r="H660" s="11"/>
      <c r="I660" s="11"/>
      <c r="J660" s="11"/>
      <c r="K660" s="11"/>
      <c r="L660" s="11"/>
    </row>
    <row r="661" spans="4:12" x14ac:dyDescent="0.25">
      <c r="D661" s="11"/>
      <c r="E661" s="11"/>
      <c r="F661" s="11"/>
      <c r="G661" s="11"/>
      <c r="H661" s="11"/>
      <c r="I661" s="11"/>
      <c r="J661" s="11"/>
      <c r="K661" s="11"/>
      <c r="L661" s="11"/>
    </row>
    <row r="662" spans="4:12" x14ac:dyDescent="0.25">
      <c r="D662" s="11"/>
      <c r="E662" s="11"/>
      <c r="F662" s="11"/>
      <c r="G662" s="11"/>
      <c r="H662" s="11"/>
      <c r="I662" s="11"/>
      <c r="J662" s="11"/>
      <c r="K662" s="11"/>
      <c r="L662" s="11"/>
    </row>
    <row r="663" spans="4:12" x14ac:dyDescent="0.25">
      <c r="D663" s="11"/>
      <c r="E663" s="11"/>
      <c r="F663" s="11"/>
      <c r="G663" s="11"/>
      <c r="H663" s="11"/>
      <c r="I663" s="11"/>
      <c r="J663" s="11"/>
      <c r="K663" s="11"/>
      <c r="L663" s="11"/>
    </row>
    <row r="664" spans="4:12" x14ac:dyDescent="0.25">
      <c r="D664" s="11"/>
      <c r="E664" s="11"/>
      <c r="F664" s="11"/>
      <c r="G664" s="11"/>
      <c r="H664" s="11"/>
      <c r="I664" s="11"/>
      <c r="J664" s="11"/>
      <c r="K664" s="11"/>
      <c r="L664" s="11"/>
    </row>
    <row r="665" spans="4:12" x14ac:dyDescent="0.25">
      <c r="D665" s="11"/>
      <c r="E665" s="11"/>
      <c r="F665" s="11"/>
      <c r="G665" s="11"/>
      <c r="H665" s="11"/>
      <c r="I665" s="11"/>
      <c r="J665" s="11"/>
      <c r="K665" s="11"/>
      <c r="L665" s="11"/>
    </row>
    <row r="666" spans="4:12" x14ac:dyDescent="0.25">
      <c r="D666" s="11"/>
      <c r="E666" s="11"/>
      <c r="F666" s="11"/>
      <c r="G666" s="11"/>
      <c r="H666" s="11"/>
      <c r="I666" s="11"/>
      <c r="J666" s="11"/>
      <c r="K666" s="11"/>
      <c r="L666" s="11"/>
    </row>
    <row r="667" spans="4:12" x14ac:dyDescent="0.25">
      <c r="D667" s="11"/>
      <c r="E667" s="11"/>
      <c r="F667" s="11"/>
      <c r="G667" s="11"/>
      <c r="H667" s="11"/>
      <c r="I667" s="11"/>
      <c r="J667" s="11"/>
      <c r="K667" s="11"/>
      <c r="L667" s="11"/>
    </row>
    <row r="668" spans="4:12" x14ac:dyDescent="0.25">
      <c r="D668" s="11"/>
      <c r="E668" s="11"/>
      <c r="F668" s="11"/>
      <c r="G668" s="11"/>
      <c r="H668" s="11"/>
      <c r="I668" s="11"/>
      <c r="J668" s="11"/>
      <c r="K668" s="11"/>
      <c r="L668" s="11"/>
    </row>
    <row r="669" spans="4:12" x14ac:dyDescent="0.25">
      <c r="D669" s="11"/>
      <c r="E669" s="11"/>
      <c r="F669" s="11"/>
      <c r="G669" s="11"/>
      <c r="H669" s="11"/>
      <c r="I669" s="11"/>
      <c r="J669" s="11"/>
      <c r="K669" s="11"/>
      <c r="L669" s="11"/>
    </row>
    <row r="670" spans="4:12" x14ac:dyDescent="0.25">
      <c r="D670" s="11"/>
      <c r="E670" s="11"/>
      <c r="F670" s="11"/>
      <c r="G670" s="11"/>
      <c r="H670" s="11"/>
      <c r="I670" s="11"/>
      <c r="J670" s="11"/>
      <c r="K670" s="11"/>
      <c r="L670" s="11"/>
    </row>
    <row r="671" spans="4:12" x14ac:dyDescent="0.25">
      <c r="D671" s="11"/>
      <c r="E671" s="11"/>
      <c r="F671" s="11"/>
      <c r="G671" s="11"/>
      <c r="H671" s="11"/>
      <c r="I671" s="11"/>
      <c r="J671" s="11"/>
      <c r="K671" s="11"/>
      <c r="L671" s="11"/>
    </row>
    <row r="672" spans="4:12" x14ac:dyDescent="0.25">
      <c r="D672" s="11"/>
      <c r="E672" s="11"/>
      <c r="F672" s="11"/>
      <c r="G672" s="11"/>
      <c r="H672" s="11"/>
      <c r="I672" s="11"/>
      <c r="J672" s="11"/>
      <c r="K672" s="11"/>
      <c r="L672" s="11"/>
    </row>
    <row r="673" spans="4:12" x14ac:dyDescent="0.25">
      <c r="D673" s="11"/>
      <c r="E673" s="11"/>
      <c r="F673" s="11"/>
      <c r="G673" s="11"/>
      <c r="H673" s="11"/>
      <c r="I673" s="11"/>
      <c r="J673" s="11"/>
      <c r="K673" s="11"/>
      <c r="L673" s="11"/>
    </row>
    <row r="674" spans="4:12" x14ac:dyDescent="0.25">
      <c r="D674" s="11"/>
      <c r="E674" s="11"/>
      <c r="F674" s="11"/>
      <c r="G674" s="11"/>
      <c r="H674" s="11"/>
      <c r="I674" s="11"/>
      <c r="J674" s="11"/>
      <c r="K674" s="11"/>
      <c r="L674" s="11"/>
    </row>
    <row r="675" spans="4:12" x14ac:dyDescent="0.25">
      <c r="D675" s="11"/>
      <c r="E675" s="11"/>
      <c r="F675" s="11"/>
      <c r="G675" s="11"/>
      <c r="H675" s="11"/>
      <c r="I675" s="11"/>
      <c r="J675" s="11"/>
      <c r="K675" s="11"/>
      <c r="L675" s="11"/>
    </row>
    <row r="676" spans="4:12" x14ac:dyDescent="0.25">
      <c r="D676" s="11"/>
      <c r="E676" s="11"/>
      <c r="F676" s="11"/>
      <c r="G676" s="11"/>
      <c r="H676" s="11"/>
      <c r="I676" s="11"/>
      <c r="J676" s="11"/>
      <c r="K676" s="11"/>
      <c r="L676" s="11"/>
    </row>
    <row r="677" spans="4:12" x14ac:dyDescent="0.25">
      <c r="D677" s="11"/>
      <c r="E677" s="11"/>
      <c r="F677" s="11"/>
      <c r="G677" s="11"/>
      <c r="H677" s="11"/>
      <c r="I677" s="11"/>
      <c r="J677" s="11"/>
      <c r="K677" s="11"/>
      <c r="L677" s="11"/>
    </row>
    <row r="678" spans="4:12" x14ac:dyDescent="0.25">
      <c r="D678" s="11"/>
      <c r="E678" s="11"/>
      <c r="F678" s="11"/>
      <c r="G678" s="11"/>
      <c r="H678" s="11"/>
      <c r="I678" s="11"/>
      <c r="J678" s="11"/>
      <c r="K678" s="11"/>
      <c r="L678" s="11"/>
    </row>
    <row r="679" spans="4:12" x14ac:dyDescent="0.25">
      <c r="D679" s="11"/>
      <c r="E679" s="11"/>
      <c r="F679" s="11"/>
      <c r="G679" s="11"/>
      <c r="H679" s="11"/>
      <c r="I679" s="11"/>
      <c r="J679" s="11"/>
      <c r="K679" s="11"/>
      <c r="L679" s="11"/>
    </row>
    <row r="680" spans="4:12" x14ac:dyDescent="0.25">
      <c r="D680" s="11"/>
      <c r="E680" s="11"/>
      <c r="F680" s="11"/>
      <c r="G680" s="11"/>
      <c r="H680" s="11"/>
      <c r="I680" s="11"/>
      <c r="J680" s="11"/>
      <c r="K680" s="11"/>
      <c r="L680" s="11"/>
    </row>
    <row r="681" spans="4:12" x14ac:dyDescent="0.25">
      <c r="D681" s="11"/>
      <c r="E681" s="11"/>
      <c r="F681" s="11"/>
      <c r="G681" s="11"/>
      <c r="H681" s="11"/>
      <c r="I681" s="11"/>
      <c r="J681" s="11"/>
      <c r="K681" s="11"/>
      <c r="L681" s="11"/>
    </row>
    <row r="682" spans="4:12" x14ac:dyDescent="0.25">
      <c r="D682" s="11"/>
      <c r="E682" s="11"/>
      <c r="F682" s="11"/>
      <c r="G682" s="11"/>
      <c r="H682" s="11"/>
      <c r="I682" s="11"/>
      <c r="J682" s="11"/>
      <c r="K682" s="11"/>
      <c r="L682" s="11"/>
    </row>
    <row r="683" spans="4:12" x14ac:dyDescent="0.25">
      <c r="D683" s="11"/>
      <c r="E683" s="11"/>
      <c r="F683" s="11"/>
      <c r="G683" s="11"/>
      <c r="H683" s="11"/>
      <c r="I683" s="11"/>
      <c r="J683" s="11"/>
      <c r="K683" s="11"/>
      <c r="L683" s="11"/>
    </row>
    <row r="684" spans="4:12" x14ac:dyDescent="0.25">
      <c r="D684" s="11"/>
      <c r="E684" s="11"/>
      <c r="F684" s="11"/>
      <c r="G684" s="11"/>
      <c r="H684" s="11"/>
      <c r="I684" s="11"/>
      <c r="J684" s="11"/>
      <c r="K684" s="11"/>
      <c r="L684" s="11"/>
    </row>
    <row r="685" spans="4:12" x14ac:dyDescent="0.25">
      <c r="D685" s="11"/>
      <c r="E685" s="11"/>
      <c r="F685" s="11"/>
      <c r="G685" s="11"/>
      <c r="H685" s="11"/>
      <c r="I685" s="11"/>
      <c r="J685" s="11"/>
      <c r="K685" s="11"/>
      <c r="L685" s="11"/>
    </row>
    <row r="686" spans="4:12" x14ac:dyDescent="0.25">
      <c r="D686" s="11"/>
      <c r="E686" s="11"/>
      <c r="F686" s="11"/>
      <c r="G686" s="11"/>
      <c r="H686" s="11"/>
      <c r="I686" s="11"/>
      <c r="J686" s="11"/>
      <c r="K686" s="11"/>
      <c r="L686" s="11"/>
    </row>
    <row r="687" spans="4:12" x14ac:dyDescent="0.25">
      <c r="D687" s="11"/>
      <c r="E687" s="11"/>
      <c r="F687" s="11"/>
      <c r="G687" s="11"/>
      <c r="H687" s="11"/>
      <c r="I687" s="11"/>
      <c r="J687" s="11"/>
      <c r="K687" s="11"/>
      <c r="L687" s="11"/>
    </row>
    <row r="688" spans="4:12" x14ac:dyDescent="0.25">
      <c r="D688" s="11"/>
      <c r="E688" s="11"/>
      <c r="F688" s="11"/>
      <c r="G688" s="11"/>
      <c r="H688" s="11"/>
      <c r="I688" s="11"/>
      <c r="J688" s="11"/>
      <c r="K688" s="11"/>
      <c r="L688" s="11"/>
    </row>
    <row r="689" spans="4:12" x14ac:dyDescent="0.25">
      <c r="D689" s="11"/>
      <c r="E689" s="11"/>
      <c r="F689" s="11"/>
      <c r="G689" s="11"/>
      <c r="H689" s="11"/>
      <c r="I689" s="11"/>
      <c r="J689" s="11"/>
      <c r="K689" s="11"/>
      <c r="L689" s="11"/>
    </row>
    <row r="690" spans="4:12" x14ac:dyDescent="0.25">
      <c r="D690" s="11"/>
      <c r="E690" s="11"/>
      <c r="F690" s="11"/>
      <c r="G690" s="11"/>
      <c r="H690" s="11"/>
      <c r="I690" s="11"/>
      <c r="J690" s="11"/>
      <c r="K690" s="11"/>
      <c r="L690" s="11"/>
    </row>
    <row r="691" spans="4:12" x14ac:dyDescent="0.25">
      <c r="D691" s="11"/>
      <c r="E691" s="11"/>
      <c r="F691" s="11"/>
      <c r="G691" s="11"/>
      <c r="H691" s="11"/>
      <c r="I691" s="11"/>
      <c r="J691" s="11"/>
      <c r="K691" s="11"/>
      <c r="L691" s="11"/>
    </row>
    <row r="692" spans="4:12" x14ac:dyDescent="0.25">
      <c r="D692" s="11"/>
      <c r="E692" s="11"/>
      <c r="F692" s="11"/>
      <c r="G692" s="11"/>
      <c r="H692" s="11"/>
      <c r="I692" s="11"/>
      <c r="J692" s="11"/>
      <c r="K692" s="11"/>
      <c r="L692" s="11"/>
    </row>
    <row r="693" spans="4:12" x14ac:dyDescent="0.25">
      <c r="D693" s="11"/>
      <c r="E693" s="11"/>
      <c r="F693" s="11"/>
      <c r="G693" s="11"/>
      <c r="H693" s="11"/>
      <c r="I693" s="11"/>
      <c r="J693" s="11"/>
      <c r="K693" s="11"/>
      <c r="L693" s="11"/>
    </row>
    <row r="694" spans="4:12" x14ac:dyDescent="0.25">
      <c r="D694" s="11"/>
      <c r="E694" s="11"/>
      <c r="F694" s="11"/>
      <c r="G694" s="11"/>
      <c r="H694" s="11"/>
      <c r="I694" s="11"/>
      <c r="J694" s="11"/>
      <c r="K694" s="11"/>
      <c r="L694" s="11"/>
    </row>
    <row r="695" spans="4:12" x14ac:dyDescent="0.25">
      <c r="D695" s="11"/>
      <c r="E695" s="11"/>
      <c r="F695" s="11"/>
      <c r="G695" s="11"/>
      <c r="H695" s="11"/>
      <c r="I695" s="11"/>
      <c r="J695" s="11"/>
      <c r="K695" s="11"/>
      <c r="L695" s="11"/>
    </row>
    <row r="696" spans="4:12" x14ac:dyDescent="0.25">
      <c r="D696" s="11"/>
      <c r="E696" s="11"/>
      <c r="F696" s="11"/>
      <c r="G696" s="11"/>
      <c r="H696" s="11"/>
      <c r="I696" s="11"/>
      <c r="J696" s="11"/>
      <c r="K696" s="11"/>
      <c r="L696" s="11"/>
    </row>
    <row r="697" spans="4:12" x14ac:dyDescent="0.25">
      <c r="D697" s="11"/>
      <c r="E697" s="11"/>
      <c r="F697" s="11"/>
      <c r="G697" s="11"/>
      <c r="H697" s="11"/>
      <c r="I697" s="11"/>
      <c r="J697" s="11"/>
      <c r="K697" s="11"/>
      <c r="L697" s="11"/>
    </row>
    <row r="698" spans="4:12" x14ac:dyDescent="0.25">
      <c r="D698" s="11"/>
      <c r="E698" s="11"/>
      <c r="F698" s="11"/>
      <c r="G698" s="11"/>
      <c r="H698" s="11"/>
      <c r="I698" s="11"/>
      <c r="J698" s="11"/>
      <c r="K698" s="11"/>
      <c r="L698" s="11"/>
    </row>
    <row r="699" spans="4:12" x14ac:dyDescent="0.25">
      <c r="D699" s="11"/>
      <c r="E699" s="11"/>
      <c r="F699" s="11"/>
      <c r="G699" s="11"/>
      <c r="H699" s="11"/>
      <c r="I699" s="11"/>
      <c r="J699" s="11"/>
      <c r="K699" s="11"/>
      <c r="L699" s="11"/>
    </row>
    <row r="700" spans="4:12" x14ac:dyDescent="0.25">
      <c r="D700" s="11"/>
      <c r="E700" s="11"/>
      <c r="F700" s="11"/>
      <c r="G700" s="11"/>
      <c r="H700" s="11"/>
      <c r="I700" s="11"/>
      <c r="J700" s="11"/>
      <c r="K700" s="11"/>
      <c r="L700" s="11"/>
    </row>
    <row r="701" spans="4:12" x14ac:dyDescent="0.25">
      <c r="D701" s="11"/>
      <c r="E701" s="11"/>
      <c r="F701" s="11"/>
      <c r="G701" s="11"/>
      <c r="H701" s="11"/>
      <c r="I701" s="11"/>
      <c r="J701" s="11"/>
      <c r="K701" s="11"/>
      <c r="L701" s="11"/>
    </row>
    <row r="702" spans="4:12" x14ac:dyDescent="0.25">
      <c r="D702" s="11"/>
      <c r="E702" s="11"/>
      <c r="F702" s="11"/>
      <c r="G702" s="11"/>
      <c r="H702" s="11"/>
      <c r="I702" s="11"/>
      <c r="J702" s="11"/>
      <c r="K702" s="11"/>
      <c r="L702" s="11"/>
    </row>
    <row r="703" spans="4:12" x14ac:dyDescent="0.25">
      <c r="D703" s="11"/>
      <c r="E703" s="11"/>
      <c r="F703" s="11"/>
      <c r="G703" s="11"/>
      <c r="H703" s="11"/>
      <c r="I703" s="11"/>
      <c r="J703" s="11"/>
      <c r="K703" s="11"/>
      <c r="L703" s="11"/>
    </row>
    <row r="704" spans="4:12" x14ac:dyDescent="0.25">
      <c r="D704" s="11"/>
      <c r="E704" s="11"/>
      <c r="F704" s="11"/>
      <c r="G704" s="11"/>
      <c r="H704" s="11"/>
      <c r="I704" s="11"/>
      <c r="J704" s="11"/>
      <c r="K704" s="11"/>
      <c r="L704" s="11"/>
    </row>
    <row r="705" spans="4:12" x14ac:dyDescent="0.25">
      <c r="D705" s="11"/>
      <c r="E705" s="11"/>
      <c r="F705" s="11"/>
      <c r="G705" s="11"/>
      <c r="H705" s="11"/>
      <c r="I705" s="11"/>
      <c r="J705" s="11"/>
      <c r="K705" s="11"/>
      <c r="L705" s="11"/>
    </row>
    <row r="706" spans="4:12" x14ac:dyDescent="0.25">
      <c r="D706" s="11"/>
      <c r="E706" s="11"/>
      <c r="F706" s="11"/>
      <c r="G706" s="11"/>
      <c r="H706" s="11"/>
      <c r="I706" s="11"/>
      <c r="J706" s="11"/>
      <c r="K706" s="11"/>
      <c r="L706" s="11"/>
    </row>
    <row r="707" spans="4:12" x14ac:dyDescent="0.25">
      <c r="D707" s="11"/>
      <c r="E707" s="11"/>
      <c r="F707" s="11"/>
      <c r="G707" s="11"/>
      <c r="H707" s="11"/>
      <c r="I707" s="11"/>
      <c r="J707" s="11"/>
      <c r="K707" s="11"/>
      <c r="L707" s="11"/>
    </row>
    <row r="708" spans="4:12" x14ac:dyDescent="0.25">
      <c r="D708" s="11"/>
      <c r="E708" s="11"/>
      <c r="F708" s="11"/>
      <c r="G708" s="11"/>
      <c r="H708" s="11"/>
      <c r="I708" s="11"/>
      <c r="J708" s="11"/>
      <c r="K708" s="11"/>
      <c r="L708" s="11"/>
    </row>
    <row r="709" spans="4:12" x14ac:dyDescent="0.25">
      <c r="D709" s="11"/>
      <c r="E709" s="11"/>
      <c r="F709" s="11"/>
      <c r="G709" s="11"/>
      <c r="H709" s="11"/>
      <c r="I709" s="11"/>
      <c r="J709" s="11"/>
      <c r="K709" s="11"/>
      <c r="L709" s="11"/>
    </row>
    <row r="710" spans="4:12" x14ac:dyDescent="0.25">
      <c r="D710" s="11"/>
      <c r="E710" s="11"/>
      <c r="F710" s="11"/>
      <c r="G710" s="11"/>
      <c r="H710" s="11"/>
      <c r="I710" s="11"/>
      <c r="J710" s="11"/>
      <c r="K710" s="11"/>
      <c r="L710" s="11"/>
    </row>
    <row r="711" spans="4:12" x14ac:dyDescent="0.25">
      <c r="D711" s="11"/>
      <c r="E711" s="11"/>
      <c r="F711" s="11"/>
      <c r="G711" s="11"/>
      <c r="H711" s="11"/>
      <c r="I711" s="11"/>
      <c r="J711" s="11"/>
      <c r="K711" s="11"/>
      <c r="L711" s="11"/>
    </row>
    <row r="712" spans="4:12" x14ac:dyDescent="0.25">
      <c r="D712" s="11"/>
      <c r="E712" s="11"/>
      <c r="F712" s="11"/>
      <c r="G712" s="11"/>
      <c r="H712" s="11"/>
      <c r="I712" s="11"/>
      <c r="J712" s="11"/>
      <c r="K712" s="11"/>
      <c r="L712" s="11"/>
    </row>
    <row r="713" spans="4:12" x14ac:dyDescent="0.25">
      <c r="D713" s="11"/>
      <c r="E713" s="11"/>
      <c r="F713" s="11"/>
      <c r="G713" s="11"/>
      <c r="H713" s="11"/>
      <c r="I713" s="11"/>
      <c r="J713" s="11"/>
      <c r="K713" s="11"/>
      <c r="L713" s="11"/>
    </row>
    <row r="714" spans="4:12" x14ac:dyDescent="0.25">
      <c r="D714" s="11"/>
      <c r="E714" s="11"/>
      <c r="F714" s="11"/>
      <c r="G714" s="11"/>
      <c r="H714" s="11"/>
      <c r="I714" s="11"/>
      <c r="J714" s="11"/>
      <c r="K714" s="11"/>
      <c r="L714" s="11"/>
    </row>
    <row r="715" spans="4:12" x14ac:dyDescent="0.25">
      <c r="D715" s="11"/>
      <c r="E715" s="11"/>
      <c r="F715" s="11"/>
      <c r="G715" s="11"/>
      <c r="H715" s="11"/>
      <c r="I715" s="11"/>
      <c r="J715" s="11"/>
      <c r="K715" s="11"/>
      <c r="L715" s="11"/>
    </row>
    <row r="716" spans="4:12" x14ac:dyDescent="0.25">
      <c r="D716" s="11"/>
      <c r="E716" s="11"/>
      <c r="F716" s="11"/>
      <c r="G716" s="11"/>
      <c r="H716" s="11"/>
      <c r="I716" s="11"/>
      <c r="J716" s="11"/>
      <c r="K716" s="11"/>
      <c r="L716" s="11"/>
    </row>
    <row r="717" spans="4:12" x14ac:dyDescent="0.25">
      <c r="D717" s="11"/>
      <c r="E717" s="11"/>
      <c r="F717" s="11"/>
      <c r="G717" s="11"/>
      <c r="H717" s="11"/>
      <c r="I717" s="11"/>
      <c r="J717" s="11"/>
      <c r="K717" s="11"/>
      <c r="L717" s="11"/>
    </row>
    <row r="718" spans="4:12" x14ac:dyDescent="0.25">
      <c r="D718" s="11"/>
      <c r="E718" s="11"/>
      <c r="F718" s="11"/>
      <c r="G718" s="11"/>
      <c r="H718" s="11"/>
      <c r="I718" s="11"/>
      <c r="J718" s="11"/>
      <c r="K718" s="11"/>
      <c r="L718" s="11"/>
    </row>
    <row r="719" spans="4:12" x14ac:dyDescent="0.25">
      <c r="D719" s="11"/>
      <c r="E719" s="11"/>
      <c r="F719" s="11"/>
      <c r="G719" s="11"/>
      <c r="H719" s="11"/>
      <c r="I719" s="11"/>
      <c r="J719" s="11"/>
      <c r="K719" s="11"/>
      <c r="L719" s="11"/>
    </row>
    <row r="720" spans="4:12" x14ac:dyDescent="0.25">
      <c r="D720" s="11"/>
      <c r="E720" s="11"/>
      <c r="F720" s="11"/>
      <c r="G720" s="11"/>
      <c r="H720" s="11"/>
      <c r="I720" s="11"/>
      <c r="J720" s="11"/>
      <c r="K720" s="11"/>
      <c r="L720" s="11"/>
    </row>
    <row r="721" spans="4:12" x14ac:dyDescent="0.25">
      <c r="D721" s="11"/>
      <c r="E721" s="11"/>
      <c r="F721" s="11"/>
      <c r="G721" s="11"/>
      <c r="H721" s="11"/>
      <c r="I721" s="11"/>
      <c r="J721" s="11"/>
      <c r="K721" s="11"/>
      <c r="L721" s="11"/>
    </row>
    <row r="722" spans="4:12" x14ac:dyDescent="0.25">
      <c r="D722" s="11"/>
      <c r="E722" s="11"/>
      <c r="F722" s="11"/>
      <c r="G722" s="11"/>
      <c r="H722" s="11"/>
      <c r="I722" s="11"/>
      <c r="J722" s="11"/>
      <c r="K722" s="11"/>
      <c r="L722" s="11"/>
    </row>
    <row r="723" spans="4:12" x14ac:dyDescent="0.25">
      <c r="D723" s="11"/>
      <c r="E723" s="11"/>
      <c r="F723" s="11"/>
      <c r="G723" s="11"/>
      <c r="H723" s="11"/>
      <c r="I723" s="11"/>
      <c r="J723" s="11"/>
      <c r="K723" s="11"/>
      <c r="L723" s="11"/>
    </row>
    <row r="724" spans="4:12" x14ac:dyDescent="0.25">
      <c r="D724" s="11"/>
      <c r="E724" s="11"/>
      <c r="F724" s="11"/>
      <c r="G724" s="11"/>
      <c r="H724" s="11"/>
      <c r="I724" s="11"/>
      <c r="J724" s="11"/>
      <c r="K724" s="11"/>
      <c r="L724" s="11"/>
    </row>
    <row r="725" spans="4:12" x14ac:dyDescent="0.25">
      <c r="D725" s="11"/>
      <c r="E725" s="11"/>
      <c r="F725" s="11"/>
      <c r="G725" s="11"/>
      <c r="H725" s="11"/>
      <c r="I725" s="11"/>
      <c r="J725" s="11"/>
      <c r="K725" s="11"/>
      <c r="L725" s="11"/>
    </row>
    <row r="726" spans="4:12" x14ac:dyDescent="0.25">
      <c r="D726" s="11"/>
      <c r="E726" s="11"/>
      <c r="F726" s="11"/>
      <c r="G726" s="11"/>
      <c r="H726" s="11"/>
      <c r="I726" s="11"/>
      <c r="J726" s="11"/>
      <c r="K726" s="11"/>
      <c r="L726" s="11"/>
    </row>
    <row r="727" spans="4:12" x14ac:dyDescent="0.25">
      <c r="D727" s="11"/>
      <c r="E727" s="11"/>
      <c r="F727" s="11"/>
      <c r="G727" s="11"/>
      <c r="H727" s="11"/>
      <c r="I727" s="11"/>
      <c r="J727" s="11"/>
      <c r="K727" s="11"/>
      <c r="L727" s="11"/>
    </row>
    <row r="728" spans="4:12" x14ac:dyDescent="0.25">
      <c r="D728" s="11"/>
      <c r="E728" s="11"/>
      <c r="F728" s="11"/>
      <c r="G728" s="11"/>
      <c r="H728" s="11"/>
      <c r="I728" s="11"/>
      <c r="J728" s="11"/>
      <c r="K728" s="11"/>
      <c r="L728" s="11"/>
    </row>
    <row r="729" spans="4:12" x14ac:dyDescent="0.25">
      <c r="D729" s="11"/>
      <c r="E729" s="11"/>
      <c r="F729" s="11"/>
      <c r="G729" s="11"/>
      <c r="H729" s="11"/>
      <c r="I729" s="11"/>
      <c r="J729" s="11"/>
      <c r="K729" s="11"/>
      <c r="L729" s="11"/>
    </row>
    <row r="730" spans="4:12" x14ac:dyDescent="0.25">
      <c r="D730" s="11"/>
      <c r="E730" s="11"/>
      <c r="F730" s="11"/>
      <c r="G730" s="11"/>
      <c r="H730" s="11"/>
      <c r="I730" s="11"/>
      <c r="J730" s="11"/>
      <c r="K730" s="11"/>
      <c r="L730" s="11"/>
    </row>
    <row r="731" spans="4:12" x14ac:dyDescent="0.25">
      <c r="D731" s="11"/>
      <c r="E731" s="11"/>
      <c r="F731" s="11"/>
      <c r="G731" s="11"/>
      <c r="H731" s="11"/>
      <c r="I731" s="11"/>
      <c r="J731" s="11"/>
      <c r="K731" s="11"/>
      <c r="L731" s="11"/>
    </row>
    <row r="732" spans="4:12" x14ac:dyDescent="0.25">
      <c r="D732" s="11"/>
      <c r="E732" s="11"/>
      <c r="F732" s="11"/>
      <c r="G732" s="11"/>
      <c r="H732" s="11"/>
      <c r="I732" s="11"/>
      <c r="J732" s="11"/>
      <c r="K732" s="11"/>
      <c r="L732" s="11"/>
    </row>
    <row r="733" spans="4:12" x14ac:dyDescent="0.25">
      <c r="D733" s="11"/>
      <c r="E733" s="11"/>
      <c r="F733" s="11"/>
      <c r="G733" s="11"/>
      <c r="H733" s="11"/>
      <c r="I733" s="11"/>
      <c r="J733" s="11"/>
      <c r="K733" s="11"/>
      <c r="L733" s="11"/>
    </row>
    <row r="734" spans="4:12" x14ac:dyDescent="0.25">
      <c r="D734" s="11"/>
      <c r="E734" s="11"/>
      <c r="F734" s="11"/>
      <c r="G734" s="11"/>
      <c r="H734" s="11"/>
      <c r="I734" s="11"/>
      <c r="J734" s="11"/>
      <c r="K734" s="11"/>
      <c r="L734" s="11"/>
    </row>
    <row r="735" spans="4:12" x14ac:dyDescent="0.25">
      <c r="D735" s="11"/>
      <c r="E735" s="11"/>
      <c r="F735" s="11"/>
      <c r="G735" s="11"/>
      <c r="H735" s="11"/>
      <c r="I735" s="11"/>
      <c r="J735" s="11"/>
      <c r="K735" s="11"/>
      <c r="L735" s="11"/>
    </row>
    <row r="736" spans="4:12" x14ac:dyDescent="0.25">
      <c r="D736" s="11"/>
      <c r="E736" s="11"/>
      <c r="F736" s="11"/>
      <c r="G736" s="11"/>
      <c r="H736" s="11"/>
      <c r="I736" s="11"/>
      <c r="J736" s="11"/>
      <c r="K736" s="11"/>
      <c r="L736" s="11"/>
    </row>
    <row r="737" spans="4:12" x14ac:dyDescent="0.25">
      <c r="D737" s="11"/>
      <c r="E737" s="11"/>
      <c r="F737" s="11"/>
      <c r="G737" s="11"/>
      <c r="H737" s="11"/>
      <c r="I737" s="11"/>
      <c r="J737" s="11"/>
      <c r="K737" s="11"/>
      <c r="L737" s="11"/>
    </row>
    <row r="738" spans="4:12" x14ac:dyDescent="0.25">
      <c r="D738" s="11"/>
      <c r="E738" s="11"/>
      <c r="F738" s="11"/>
      <c r="G738" s="11"/>
      <c r="H738" s="11"/>
      <c r="I738" s="11"/>
      <c r="J738" s="11"/>
      <c r="K738" s="11"/>
      <c r="L738" s="11"/>
    </row>
    <row r="739" spans="4:12" x14ac:dyDescent="0.25">
      <c r="D739" s="11"/>
      <c r="E739" s="11"/>
      <c r="F739" s="11"/>
      <c r="G739" s="11"/>
      <c r="H739" s="11"/>
      <c r="I739" s="11"/>
      <c r="J739" s="11"/>
      <c r="K739" s="11"/>
      <c r="L739" s="11"/>
    </row>
    <row r="740" spans="4:12" x14ac:dyDescent="0.25">
      <c r="D740" s="11"/>
      <c r="E740" s="11"/>
      <c r="F740" s="11"/>
      <c r="G740" s="11"/>
      <c r="H740" s="11"/>
      <c r="I740" s="11"/>
      <c r="J740" s="11"/>
      <c r="K740" s="11"/>
      <c r="L740" s="11"/>
    </row>
    <row r="741" spans="4:12" x14ac:dyDescent="0.25">
      <c r="D741" s="11"/>
      <c r="E741" s="11"/>
      <c r="F741" s="11"/>
      <c r="G741" s="11"/>
      <c r="H741" s="11"/>
      <c r="I741" s="11"/>
      <c r="J741" s="11"/>
      <c r="K741" s="11"/>
      <c r="L741" s="11"/>
    </row>
    <row r="742" spans="4:12" x14ac:dyDescent="0.25">
      <c r="D742" s="11"/>
      <c r="E742" s="11"/>
      <c r="F742" s="11"/>
      <c r="G742" s="11"/>
      <c r="H742" s="11"/>
      <c r="I742" s="11"/>
      <c r="J742" s="11"/>
      <c r="K742" s="11"/>
      <c r="L742" s="11"/>
    </row>
    <row r="743" spans="4:12" x14ac:dyDescent="0.25">
      <c r="D743" s="11"/>
      <c r="E743" s="11"/>
      <c r="F743" s="11"/>
      <c r="G743" s="11"/>
      <c r="H743" s="11"/>
      <c r="I743" s="11"/>
      <c r="J743" s="11"/>
      <c r="K743" s="11"/>
      <c r="L743" s="11"/>
    </row>
    <row r="744" spans="4:12" x14ac:dyDescent="0.25">
      <c r="D744" s="11"/>
      <c r="E744" s="11"/>
      <c r="F744" s="11"/>
      <c r="G744" s="11"/>
      <c r="H744" s="11"/>
      <c r="I744" s="11"/>
      <c r="J744" s="11"/>
      <c r="K744" s="11"/>
      <c r="L744" s="11"/>
    </row>
    <row r="745" spans="4:12" x14ac:dyDescent="0.25">
      <c r="D745" s="11"/>
      <c r="E745" s="11"/>
      <c r="F745" s="11"/>
      <c r="G745" s="11"/>
      <c r="H745" s="11"/>
      <c r="I745" s="11"/>
      <c r="J745" s="11"/>
      <c r="K745" s="11"/>
      <c r="L745" s="11"/>
    </row>
    <row r="746" spans="4:12" x14ac:dyDescent="0.25">
      <c r="D746" s="11"/>
      <c r="E746" s="11"/>
      <c r="F746" s="11"/>
      <c r="G746" s="11"/>
      <c r="H746" s="11"/>
      <c r="I746" s="11"/>
      <c r="J746" s="11"/>
      <c r="K746" s="11"/>
      <c r="L746" s="11"/>
    </row>
    <row r="747" spans="4:12" x14ac:dyDescent="0.25">
      <c r="D747" s="11"/>
      <c r="E747" s="11"/>
      <c r="F747" s="11"/>
      <c r="G747" s="11"/>
      <c r="H747" s="11"/>
      <c r="I747" s="11"/>
      <c r="J747" s="11"/>
      <c r="K747" s="11"/>
      <c r="L747" s="11"/>
    </row>
    <row r="748" spans="4:12" x14ac:dyDescent="0.25">
      <c r="D748" s="11"/>
      <c r="E748" s="11"/>
      <c r="F748" s="11"/>
      <c r="G748" s="11"/>
      <c r="H748" s="11"/>
      <c r="I748" s="11"/>
      <c r="J748" s="11"/>
      <c r="K748" s="11"/>
      <c r="L748" s="11"/>
    </row>
    <row r="749" spans="4:12" x14ac:dyDescent="0.25">
      <c r="D749" s="11"/>
      <c r="E749" s="11"/>
      <c r="F749" s="11"/>
      <c r="G749" s="11"/>
      <c r="H749" s="11"/>
      <c r="I749" s="11"/>
      <c r="J749" s="11"/>
      <c r="K749" s="11"/>
      <c r="L749" s="11"/>
    </row>
    <row r="750" spans="4:12" x14ac:dyDescent="0.25">
      <c r="D750" s="11"/>
      <c r="E750" s="11"/>
      <c r="F750" s="11"/>
      <c r="G750" s="11"/>
      <c r="H750" s="11"/>
      <c r="I750" s="11"/>
      <c r="J750" s="11"/>
      <c r="K750" s="11"/>
      <c r="L750" s="11"/>
    </row>
    <row r="751" spans="4:12" x14ac:dyDescent="0.25">
      <c r="D751" s="11"/>
      <c r="E751" s="11"/>
      <c r="F751" s="11"/>
      <c r="G751" s="11"/>
      <c r="H751" s="11"/>
      <c r="I751" s="11"/>
      <c r="J751" s="11"/>
      <c r="K751" s="11"/>
      <c r="L751" s="11"/>
    </row>
    <row r="752" spans="4:12" x14ac:dyDescent="0.25">
      <c r="D752" s="11"/>
      <c r="E752" s="11"/>
      <c r="F752" s="11"/>
      <c r="G752" s="11"/>
      <c r="H752" s="11"/>
      <c r="I752" s="11"/>
      <c r="J752" s="11"/>
      <c r="K752" s="11"/>
      <c r="L752" s="11"/>
    </row>
    <row r="753" spans="4:12" x14ac:dyDescent="0.25">
      <c r="D753" s="11"/>
      <c r="E753" s="11"/>
      <c r="F753" s="11"/>
      <c r="G753" s="11"/>
      <c r="H753" s="11"/>
      <c r="I753" s="11"/>
      <c r="J753" s="11"/>
      <c r="K753" s="11"/>
      <c r="L753" s="11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H277 H284:H1048576">
    <cfRule type="cellIs" dxfId="7" priority="1" operator="lessThan">
      <formula>-0.1</formula>
    </cfRule>
    <cfRule type="cellIs" dxfId="6" priority="2" operator="greaterThan">
      <formula>0.1</formula>
    </cfRule>
  </conditionalFormatting>
  <conditionalFormatting sqref="K277 K284:K1048576">
    <cfRule type="cellIs" dxfId="5" priority="3" operator="lessThan">
      <formula>-0.1</formula>
    </cfRule>
    <cfRule type="cellIs" dxfId="4" priority="4" operator="greaterThan">
      <formula>0.1</formula>
    </cfRule>
  </conditionalFormatting>
  <pageMargins left="0.2" right="0.2" top="0.75" bottom="0.5" header="0.3" footer="0.3"/>
  <pageSetup paperSize="3" scale="88" fitToHeight="0" orientation="landscape" r:id="rId1"/>
  <headerFooter>
    <oddHeader>&amp;C&amp;"-,Bold"&amp;14FY26 OPERATING BUDGET - BEACH PATROL - FIRST DRAFT - 12.11.24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B6B38-4051-4E83-B4A6-3EFC5E346966}">
  <sheetPr>
    <pageSetUpPr fitToPage="1"/>
  </sheetPr>
  <dimension ref="A1:P753"/>
  <sheetViews>
    <sheetView topLeftCell="C1" workbookViewId="0"/>
  </sheetViews>
  <sheetFormatPr defaultColWidth="10.42578125" defaultRowHeight="14.25" x14ac:dyDescent="0.2"/>
  <cols>
    <col min="1" max="1" width="22" style="4" bestFit="1" customWidth="1"/>
    <col min="2" max="2" width="70.42578125" style="4" bestFit="1" customWidth="1"/>
    <col min="3" max="3" width="14.5703125" style="4" bestFit="1" customWidth="1"/>
    <col min="4" max="7" width="14.5703125" style="4" customWidth="1"/>
    <col min="8" max="8" width="2.7109375" style="4" customWidth="1"/>
    <col min="9" max="9" width="16.42578125" style="4" bestFit="1" customWidth="1"/>
    <col min="10" max="10" width="20" style="4" customWidth="1"/>
    <col min="11" max="11" width="2.7109375" style="4" customWidth="1"/>
    <col min="12" max="12" width="16.42578125" style="37" bestFit="1" customWidth="1"/>
    <col min="13" max="13" width="17.42578125" style="38" customWidth="1"/>
    <col min="14" max="14" width="10.42578125" style="4"/>
    <col min="15" max="15" width="13.28515625" style="11" bestFit="1" customWidth="1"/>
    <col min="16" max="16384" width="10.42578125" style="4"/>
  </cols>
  <sheetData>
    <row r="1" spans="1:15" ht="15" customHeight="1" x14ac:dyDescent="0.2">
      <c r="A1" s="1" t="s">
        <v>0</v>
      </c>
      <c r="B1" s="2" t="s">
        <v>1</v>
      </c>
      <c r="C1" s="52" t="s">
        <v>327</v>
      </c>
      <c r="D1" s="52" t="s">
        <v>328</v>
      </c>
      <c r="E1" s="52" t="s">
        <v>329</v>
      </c>
      <c r="F1" s="52" t="s">
        <v>330</v>
      </c>
      <c r="G1" s="52" t="s">
        <v>331</v>
      </c>
      <c r="H1" s="3"/>
      <c r="I1" s="52" t="s">
        <v>2</v>
      </c>
      <c r="J1" s="52" t="s">
        <v>332</v>
      </c>
      <c r="K1" s="3"/>
      <c r="L1" s="55" t="s">
        <v>3</v>
      </c>
      <c r="M1" s="54" t="s">
        <v>333</v>
      </c>
    </row>
    <row r="2" spans="1:15" ht="15" x14ac:dyDescent="0.2">
      <c r="A2" s="5"/>
      <c r="B2" s="6"/>
      <c r="C2" s="52"/>
      <c r="D2" s="52"/>
      <c r="E2" s="52"/>
      <c r="F2" s="52"/>
      <c r="G2" s="52"/>
      <c r="H2" s="3"/>
      <c r="I2" s="52"/>
      <c r="J2" s="52"/>
      <c r="K2" s="3"/>
      <c r="L2" s="55"/>
      <c r="M2" s="54"/>
    </row>
    <row r="3" spans="1:15" ht="15" x14ac:dyDescent="0.25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5" ht="15" hidden="1" customHeight="1" x14ac:dyDescent="0.25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5" ht="15" hidden="1" x14ac:dyDescent="0.25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5" ht="15" hidden="1" x14ac:dyDescent="0.2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450000</v>
      </c>
      <c r="M6" s="38">
        <f>+L6/J6</f>
        <v>0.6428571428571429</v>
      </c>
      <c r="O6" s="11">
        <f>0.08*L6</f>
        <v>36000</v>
      </c>
    </row>
    <row r="7" spans="1:15" ht="15" hidden="1" x14ac:dyDescent="0.2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800000</v>
      </c>
      <c r="M7" s="38">
        <f>+L7/J7</f>
        <v>0.96969696969696972</v>
      </c>
    </row>
    <row r="8" spans="1:15" ht="15" hidden="1" x14ac:dyDescent="0.2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>+L8/J8</f>
        <v>1</v>
      </c>
      <c r="O8" s="11">
        <f>0.5*L8</f>
        <v>237500</v>
      </c>
    </row>
    <row r="9" spans="1:15" ht="15" hidden="1" x14ac:dyDescent="0.2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>+L9/J9</f>
        <v>1</v>
      </c>
    </row>
    <row r="10" spans="1:15" ht="15" hidden="1" x14ac:dyDescent="0.2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>+L10/J10</f>
        <v>1</v>
      </c>
    </row>
    <row r="11" spans="1:15" ht="15" hidden="1" x14ac:dyDescent="0.2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5" ht="15" hidden="1" x14ac:dyDescent="0.25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1860000</v>
      </c>
      <c r="M12" s="38">
        <f>+L12/J12</f>
        <v>0.87119437939110067</v>
      </c>
    </row>
    <row r="13" spans="1:15" ht="15" hidden="1" x14ac:dyDescent="0.2">
      <c r="D13" s="11"/>
      <c r="E13" s="11"/>
      <c r="F13" s="11"/>
      <c r="G13" s="11"/>
      <c r="H13" s="3"/>
      <c r="I13" s="11"/>
      <c r="J13" s="11"/>
      <c r="K13" s="3"/>
      <c r="L13" s="11"/>
    </row>
    <row r="14" spans="1:15" ht="15" hidden="1" x14ac:dyDescent="0.25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5" ht="15" hidden="1" x14ac:dyDescent="0.25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5" ht="15" hidden="1" x14ac:dyDescent="0.2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5" ht="15" hidden="1" x14ac:dyDescent="0.2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>+L17/J17</f>
        <v>1</v>
      </c>
    </row>
    <row r="18" spans="1:15" ht="15" hidden="1" x14ac:dyDescent="0.2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5" ht="15" hidden="1" x14ac:dyDescent="0.2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ref="M19:M26" si="0">+L19/J19</f>
        <v>1.0317460317460319</v>
      </c>
    </row>
    <row r="20" spans="1:15" ht="15" hidden="1" x14ac:dyDescent="0.2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0"/>
        <v>0.99580712788259962</v>
      </c>
      <c r="O20" s="11">
        <f>0.05*L20</f>
        <v>23750</v>
      </c>
    </row>
    <row r="21" spans="1:15" ht="15" hidden="1" x14ac:dyDescent="0.2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361053.5</v>
      </c>
      <c r="H21" s="3"/>
      <c r="I21" s="11">
        <v>880085</v>
      </c>
      <c r="J21" s="11">
        <v>361000</v>
      </c>
      <c r="K21" s="3"/>
      <c r="L21" s="11">
        <v>350000</v>
      </c>
      <c r="M21" s="38">
        <f t="shared" si="0"/>
        <v>0.96952908587257614</v>
      </c>
      <c r="O21" s="11">
        <f>0.05*L21</f>
        <v>17500</v>
      </c>
    </row>
    <row r="22" spans="1:15" ht="15" hidden="1" x14ac:dyDescent="0.2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1173685.8799999999</v>
      </c>
      <c r="H22" s="3"/>
      <c r="I22" s="11">
        <f>411257+128000</f>
        <v>539257</v>
      </c>
      <c r="J22" s="11">
        <v>1173000</v>
      </c>
      <c r="K22" s="3"/>
      <c r="L22" s="11">
        <v>1175000</v>
      </c>
      <c r="M22" s="38">
        <f t="shared" si="0"/>
        <v>1.0017050298380221</v>
      </c>
    </row>
    <row r="23" spans="1:15" ht="15" hidden="1" x14ac:dyDescent="0.2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0"/>
        <v>1</v>
      </c>
      <c r="O23" s="11">
        <f>0.2*L23</f>
        <v>120000</v>
      </c>
    </row>
    <row r="24" spans="1:15" ht="15" hidden="1" x14ac:dyDescent="0.2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0"/>
        <v>1</v>
      </c>
    </row>
    <row r="25" spans="1:15" ht="15" hidden="1" x14ac:dyDescent="0.2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0"/>
        <v>0.7</v>
      </c>
    </row>
    <row r="26" spans="1:15" ht="15" hidden="1" x14ac:dyDescent="0.2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0"/>
        <v>1</v>
      </c>
    </row>
    <row r="27" spans="1:15" ht="15" hidden="1" x14ac:dyDescent="0.2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5" ht="15" hidden="1" x14ac:dyDescent="0.25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3090060.2399999998</v>
      </c>
      <c r="H28" s="3"/>
      <c r="I28" s="11">
        <f>SUM(I16:I27)</f>
        <v>3144505</v>
      </c>
      <c r="J28" s="11">
        <f>SUM(J16:J27)</f>
        <v>3181000</v>
      </c>
      <c r="K28" s="3"/>
      <c r="L28" s="11">
        <f>SUM(L16:L27)</f>
        <v>3165000</v>
      </c>
      <c r="M28" s="38">
        <f>+L28/J28</f>
        <v>0.99497013517761712</v>
      </c>
    </row>
    <row r="29" spans="1:15" ht="15" hidden="1" x14ac:dyDescent="0.2">
      <c r="D29" s="11"/>
      <c r="E29" s="11"/>
      <c r="F29" s="11"/>
      <c r="G29" s="11"/>
      <c r="H29" s="3"/>
      <c r="I29" s="11"/>
      <c r="J29" s="11"/>
      <c r="K29" s="3"/>
      <c r="L29" s="11"/>
    </row>
    <row r="30" spans="1:15" ht="15" hidden="1" x14ac:dyDescent="0.25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5" ht="15" hidden="1" x14ac:dyDescent="0.25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5" ht="15" hidden="1" x14ac:dyDescent="0.2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>+L32/J32</f>
        <v>1</v>
      </c>
    </row>
    <row r="33" spans="1:13" ht="15" hidden="1" x14ac:dyDescent="0.2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>+L33/J33</f>
        <v>1</v>
      </c>
    </row>
    <row r="34" spans="1:13" ht="15" hidden="1" x14ac:dyDescent="0.2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>+L34/J34</f>
        <v>1</v>
      </c>
    </row>
    <row r="35" spans="1:13" ht="15" hidden="1" x14ac:dyDescent="0.2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>+L35/J35</f>
        <v>1</v>
      </c>
    </row>
    <row r="36" spans="1:13" ht="15" hidden="1" x14ac:dyDescent="0.2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ht="15" hidden="1" x14ac:dyDescent="0.25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</f>
        <v>1</v>
      </c>
    </row>
    <row r="38" spans="1:13" ht="15" hidden="1" x14ac:dyDescent="0.2">
      <c r="D38" s="11"/>
      <c r="E38" s="11"/>
      <c r="F38" s="11"/>
      <c r="G38" s="11"/>
      <c r="H38" s="3"/>
      <c r="I38" s="11"/>
      <c r="J38" s="11"/>
      <c r="K38" s="3"/>
      <c r="L38" s="11"/>
    </row>
    <row r="39" spans="1:13" ht="15" hidden="1" x14ac:dyDescent="0.25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ht="15" hidden="1" x14ac:dyDescent="0.25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ht="15" hidden="1" x14ac:dyDescent="0.25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ht="15" hidden="1" x14ac:dyDescent="0.2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>+L42/J42</f>
        <v>1</v>
      </c>
    </row>
    <row r="43" spans="1:13" ht="15" hidden="1" x14ac:dyDescent="0.2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>+L43/J43</f>
        <v>0.23809523809523808</v>
      </c>
    </row>
    <row r="44" spans="1:13" ht="15" hidden="1" x14ac:dyDescent="0.2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>+L44/J44</f>
        <v>1</v>
      </c>
    </row>
    <row r="45" spans="1:13" ht="15" hidden="1" x14ac:dyDescent="0.2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ht="15" hidden="1" x14ac:dyDescent="0.25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</f>
        <v>0.64179104477611937</v>
      </c>
    </row>
    <row r="47" spans="1:13" ht="15" hidden="1" x14ac:dyDescent="0.2">
      <c r="D47" s="11"/>
      <c r="E47" s="11"/>
      <c r="F47" s="11"/>
      <c r="G47" s="11"/>
      <c r="H47" s="3"/>
      <c r="I47" s="11"/>
      <c r="J47" s="11"/>
      <c r="K47" s="3"/>
      <c r="L47" s="11"/>
    </row>
    <row r="48" spans="1:13" ht="15" hidden="1" x14ac:dyDescent="0.25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5" ht="15" hidden="1" x14ac:dyDescent="0.2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</f>
        <v>0.7142857142857143</v>
      </c>
    </row>
    <row r="50" spans="1:15" ht="15" hidden="1" x14ac:dyDescent="0.2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5" ht="15" hidden="1" x14ac:dyDescent="0.25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</f>
        <v>0.7142857142857143</v>
      </c>
    </row>
    <row r="52" spans="1:15" ht="15" hidden="1" x14ac:dyDescent="0.2">
      <c r="D52" s="11"/>
      <c r="E52" s="11"/>
      <c r="F52" s="11"/>
      <c r="G52" s="11"/>
      <c r="H52" s="3"/>
      <c r="I52" s="11"/>
      <c r="J52" s="11"/>
      <c r="K52" s="3"/>
      <c r="L52" s="11"/>
    </row>
    <row r="53" spans="1:15" ht="15" hidden="1" x14ac:dyDescent="0.25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5" ht="15" hidden="1" x14ac:dyDescent="0.25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5" ht="15" hidden="1" x14ac:dyDescent="0.2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</f>
        <v>0.42857142857142855</v>
      </c>
    </row>
    <row r="56" spans="1:15" ht="15" hidden="1" x14ac:dyDescent="0.2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5" ht="15" hidden="1" x14ac:dyDescent="0.2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</f>
        <v>0.1</v>
      </c>
    </row>
    <row r="58" spans="1:15" ht="15" hidden="1" x14ac:dyDescent="0.2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/>
      <c r="J58" s="11"/>
      <c r="K58" s="3"/>
      <c r="L58" s="11">
        <v>1500</v>
      </c>
    </row>
    <row r="59" spans="1:15" ht="15" hidden="1" x14ac:dyDescent="0.2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</f>
        <v>1</v>
      </c>
    </row>
    <row r="60" spans="1:15" ht="15" hidden="1" x14ac:dyDescent="0.2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5" ht="15" hidden="1" x14ac:dyDescent="0.25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54000</v>
      </c>
      <c r="J61" s="11">
        <f>SUM(J55:J60)</f>
        <v>78500</v>
      </c>
      <c r="K61" s="3"/>
      <c r="L61" s="11">
        <f>SUM(L55:L60)</f>
        <v>55500</v>
      </c>
      <c r="M61" s="38">
        <f>+L61/J61</f>
        <v>0.70700636942675155</v>
      </c>
    </row>
    <row r="62" spans="1:15" ht="15" hidden="1" x14ac:dyDescent="0.2">
      <c r="D62" s="11"/>
      <c r="E62" s="11"/>
      <c r="F62" s="11"/>
      <c r="G62" s="11"/>
      <c r="H62" s="3"/>
      <c r="I62" s="11"/>
      <c r="J62" s="11"/>
      <c r="K62" s="3"/>
      <c r="L62" s="11"/>
    </row>
    <row r="63" spans="1:15" ht="15" x14ac:dyDescent="0.25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5771463.9800000004</v>
      </c>
      <c r="H63" s="3"/>
      <c r="I63" s="11">
        <f>+I61+I51+I46+I37+I28+I12</f>
        <v>5814005</v>
      </c>
      <c r="J63" s="11">
        <f>+J61+J51+J46+J37+J28+J12</f>
        <v>6257000</v>
      </c>
      <c r="K63" s="3"/>
      <c r="L63" s="11">
        <f>+L61+L51+L46+L37+L28+L12</f>
        <v>5795000</v>
      </c>
      <c r="M63" s="38">
        <f>+L63/J63</f>
        <v>0.92616269777848814</v>
      </c>
    </row>
    <row r="64" spans="1:15" s="28" customFormat="1" ht="15" hidden="1" x14ac:dyDescent="0.25">
      <c r="A64" s="27"/>
      <c r="B64" s="27"/>
      <c r="C64" s="26">
        <v>4276151</v>
      </c>
      <c r="D64" s="4">
        <v>6019921.370000001</v>
      </c>
      <c r="E64" s="4">
        <v>4860796.18</v>
      </c>
      <c r="F64" s="4">
        <v>5851407.4800000004</v>
      </c>
      <c r="G64" s="4">
        <v>5811859.7700000005</v>
      </c>
      <c r="H64" s="3"/>
      <c r="I64" s="4"/>
      <c r="J64" s="4"/>
      <c r="K64" s="3"/>
      <c r="L64" s="37"/>
      <c r="M64" s="38"/>
      <c r="O64" s="43"/>
    </row>
    <row r="65" spans="1:15" s="28" customFormat="1" ht="15" x14ac:dyDescent="0.25">
      <c r="A65" s="27"/>
      <c r="B65" s="27"/>
      <c r="C65" s="26"/>
      <c r="D65" s="11"/>
      <c r="E65" s="11"/>
      <c r="F65" s="11"/>
      <c r="G65" s="11"/>
      <c r="H65" s="3"/>
      <c r="I65" s="11"/>
      <c r="J65" s="11"/>
      <c r="K65" s="3"/>
      <c r="L65" s="11"/>
      <c r="M65" s="38"/>
      <c r="O65" s="43"/>
    </row>
    <row r="66" spans="1:15" ht="15" hidden="1" x14ac:dyDescent="0.25">
      <c r="A66" s="9" t="s">
        <v>88</v>
      </c>
      <c r="B66" s="10" t="s">
        <v>89</v>
      </c>
      <c r="D66" s="11"/>
      <c r="E66" s="11"/>
      <c r="F66" s="11"/>
      <c r="G66" s="11"/>
      <c r="H66" s="3"/>
      <c r="I66" s="11"/>
      <c r="J66" s="11"/>
      <c r="K66" s="3"/>
      <c r="L66" s="11"/>
    </row>
    <row r="67" spans="1:15" ht="15" hidden="1" x14ac:dyDescent="0.25">
      <c r="A67" s="12" t="s">
        <v>9</v>
      </c>
      <c r="B67" s="13" t="s">
        <v>10</v>
      </c>
      <c r="D67" s="11"/>
      <c r="E67" s="11"/>
      <c r="F67" s="11"/>
      <c r="G67" s="11"/>
      <c r="H67" s="3"/>
      <c r="I67" s="11"/>
      <c r="J67" s="11"/>
      <c r="K67" s="3"/>
      <c r="L67" s="11"/>
    </row>
    <row r="68" spans="1:15" ht="15" hidden="1" x14ac:dyDescent="0.2">
      <c r="A68" s="14" t="s">
        <v>90</v>
      </c>
      <c r="B68" s="15" t="s">
        <v>91</v>
      </c>
      <c r="C68" s="16">
        <v>26237</v>
      </c>
      <c r="D68" s="11">
        <v>34249.040000000001</v>
      </c>
      <c r="E68" s="11">
        <v>36787.03</v>
      </c>
      <c r="F68" s="11">
        <v>65317.5</v>
      </c>
      <c r="G68" s="11">
        <v>180826.08</v>
      </c>
      <c r="H68" s="3"/>
      <c r="I68" s="11">
        <v>60000</v>
      </c>
      <c r="J68" s="11">
        <v>200000</v>
      </c>
      <c r="K68" s="3"/>
      <c r="L68" s="11">
        <v>200000</v>
      </c>
      <c r="M68" s="38">
        <f t="shared" ref="M68:M84" si="1">+L68/J68</f>
        <v>1</v>
      </c>
    </row>
    <row r="69" spans="1:15" ht="15" hidden="1" x14ac:dyDescent="0.2">
      <c r="A69" s="14" t="s">
        <v>92</v>
      </c>
      <c r="B69" s="15" t="s">
        <v>93</v>
      </c>
      <c r="C69" s="16">
        <v>15987</v>
      </c>
      <c r="D69" s="11">
        <v>20126.57</v>
      </c>
      <c r="E69" s="11">
        <v>7018.92</v>
      </c>
      <c r="F69" s="11">
        <v>6942.57</v>
      </c>
      <c r="G69" s="11">
        <v>6245.62</v>
      </c>
      <c r="H69" s="3"/>
      <c r="I69" s="11">
        <f>+I6*0.01</f>
        <v>5000</v>
      </c>
      <c r="J69" s="11">
        <v>7000</v>
      </c>
      <c r="K69" s="3"/>
      <c r="L69" s="11">
        <f>0.01*L6</f>
        <v>4500</v>
      </c>
      <c r="M69" s="38">
        <f t="shared" si="1"/>
        <v>0.6428571428571429</v>
      </c>
    </row>
    <row r="70" spans="1:15" ht="15" hidden="1" x14ac:dyDescent="0.2">
      <c r="A70" s="14" t="s">
        <v>94</v>
      </c>
      <c r="B70" s="15" t="s">
        <v>95</v>
      </c>
      <c r="C70" s="16">
        <v>373</v>
      </c>
      <c r="D70" s="11">
        <v>4546.7</v>
      </c>
      <c r="E70" s="11">
        <v>1736.1</v>
      </c>
      <c r="F70" s="11">
        <v>3225.47</v>
      </c>
      <c r="G70" s="11">
        <v>2965.18</v>
      </c>
      <c r="H70" s="3"/>
      <c r="I70" s="11">
        <v>3000</v>
      </c>
      <c r="J70" s="11">
        <v>3000</v>
      </c>
      <c r="K70" s="3"/>
      <c r="L70" s="11">
        <v>3000</v>
      </c>
      <c r="M70" s="38">
        <f t="shared" si="1"/>
        <v>1</v>
      </c>
    </row>
    <row r="71" spans="1:15" ht="15" hidden="1" x14ac:dyDescent="0.2">
      <c r="A71" s="14" t="s">
        <v>96</v>
      </c>
      <c r="B71" s="15" t="s">
        <v>97</v>
      </c>
      <c r="C71" s="16">
        <v>6202</v>
      </c>
      <c r="D71" s="11">
        <v>2604.8200000000002</v>
      </c>
      <c r="E71" s="11">
        <v>3101.25</v>
      </c>
      <c r="F71" s="11">
        <v>232</v>
      </c>
      <c r="G71" s="11">
        <v>239</v>
      </c>
      <c r="H71" s="3"/>
      <c r="I71" s="11">
        <v>5000</v>
      </c>
      <c r="J71" s="11">
        <v>500</v>
      </c>
      <c r="K71" s="3"/>
      <c r="L71" s="11">
        <v>5000</v>
      </c>
      <c r="M71" s="38">
        <f t="shared" si="1"/>
        <v>10</v>
      </c>
    </row>
    <row r="72" spans="1:15" ht="15" hidden="1" x14ac:dyDescent="0.2">
      <c r="A72" s="14" t="s">
        <v>98</v>
      </c>
      <c r="B72" s="15" t="s">
        <v>62</v>
      </c>
      <c r="C72" s="16">
        <v>0</v>
      </c>
      <c r="D72" s="11">
        <v>5600</v>
      </c>
      <c r="E72" s="11">
        <v>5474.97</v>
      </c>
      <c r="F72" s="11">
        <v>11265</v>
      </c>
      <c r="G72" s="11">
        <v>11700</v>
      </c>
      <c r="H72" s="3"/>
      <c r="I72" s="11">
        <v>5000</v>
      </c>
      <c r="J72" s="11">
        <v>12000</v>
      </c>
      <c r="K72" s="3"/>
      <c r="L72" s="11">
        <v>5000</v>
      </c>
      <c r="M72" s="38">
        <f t="shared" si="1"/>
        <v>0.41666666666666669</v>
      </c>
    </row>
    <row r="73" spans="1:15" ht="15" hidden="1" x14ac:dyDescent="0.2">
      <c r="A73" s="14" t="s">
        <v>99</v>
      </c>
      <c r="B73" s="15" t="s">
        <v>100</v>
      </c>
      <c r="C73" s="16">
        <v>3410</v>
      </c>
      <c r="D73" s="11">
        <v>1195</v>
      </c>
      <c r="E73" s="11">
        <v>8127.02</v>
      </c>
      <c r="F73" s="11">
        <v>6156</v>
      </c>
      <c r="G73" s="11">
        <v>8940</v>
      </c>
      <c r="H73" s="3"/>
      <c r="I73" s="11">
        <v>5000</v>
      </c>
      <c r="J73" s="11">
        <v>10000</v>
      </c>
      <c r="K73" s="3"/>
      <c r="L73" s="11">
        <v>5000</v>
      </c>
      <c r="M73" s="38">
        <f t="shared" si="1"/>
        <v>0.5</v>
      </c>
    </row>
    <row r="74" spans="1:15" ht="15" hidden="1" x14ac:dyDescent="0.2">
      <c r="A74" s="14" t="s">
        <v>101</v>
      </c>
      <c r="B74" s="15" t="s">
        <v>102</v>
      </c>
      <c r="C74" s="16">
        <f>57845+2373</f>
        <v>60218</v>
      </c>
      <c r="D74" s="11">
        <v>56921.25</v>
      </c>
      <c r="E74" s="11">
        <v>37022.5</v>
      </c>
      <c r="F74" s="11">
        <v>81058.55</v>
      </c>
      <c r="G74" s="11">
        <v>70914.41</v>
      </c>
      <c r="H74" s="3"/>
      <c r="I74" s="11">
        <v>100000</v>
      </c>
      <c r="J74" s="11">
        <v>100000</v>
      </c>
      <c r="K74" s="3"/>
      <c r="L74" s="11">
        <v>100000</v>
      </c>
      <c r="M74" s="38">
        <f t="shared" si="1"/>
        <v>1</v>
      </c>
    </row>
    <row r="75" spans="1:15" ht="15" hidden="1" x14ac:dyDescent="0.2">
      <c r="A75" s="14" t="s">
        <v>103</v>
      </c>
      <c r="B75" s="15" t="s">
        <v>104</v>
      </c>
      <c r="C75" s="16">
        <v>21000</v>
      </c>
      <c r="D75" s="11">
        <v>24500</v>
      </c>
      <c r="E75" s="11">
        <v>31990</v>
      </c>
      <c r="F75" s="11">
        <v>55595</v>
      </c>
      <c r="G75" s="11">
        <v>67393</v>
      </c>
      <c r="H75" s="3"/>
      <c r="I75" s="11">
        <v>60000</v>
      </c>
      <c r="J75" s="11">
        <v>68000</v>
      </c>
      <c r="K75" s="3"/>
      <c r="L75" s="11">
        <v>65000</v>
      </c>
      <c r="M75" s="38">
        <f t="shared" si="1"/>
        <v>0.95588235294117652</v>
      </c>
    </row>
    <row r="76" spans="1:15" ht="15" hidden="1" x14ac:dyDescent="0.2">
      <c r="A76" s="14" t="s">
        <v>105</v>
      </c>
      <c r="B76" s="15" t="s">
        <v>106</v>
      </c>
      <c r="C76" s="16">
        <v>0</v>
      </c>
      <c r="D76" s="11">
        <v>0</v>
      </c>
      <c r="E76" s="11">
        <v>0</v>
      </c>
      <c r="F76" s="11">
        <v>0</v>
      </c>
      <c r="G76" s="11">
        <v>0</v>
      </c>
      <c r="H76" s="3"/>
      <c r="I76" s="11">
        <v>2000</v>
      </c>
      <c r="J76" s="11">
        <v>2000</v>
      </c>
      <c r="K76" s="3"/>
      <c r="L76" s="11">
        <v>0</v>
      </c>
      <c r="M76" s="38">
        <f t="shared" si="1"/>
        <v>0</v>
      </c>
    </row>
    <row r="77" spans="1:15" ht="15" hidden="1" x14ac:dyDescent="0.2">
      <c r="A77" s="14" t="s">
        <v>107</v>
      </c>
      <c r="B77" s="15" t="s">
        <v>108</v>
      </c>
      <c r="C77" s="16">
        <v>970</v>
      </c>
      <c r="D77" s="11">
        <v>280</v>
      </c>
      <c r="E77" s="11">
        <v>14559.11</v>
      </c>
      <c r="F77" s="11">
        <v>8440.1</v>
      </c>
      <c r="G77" s="11">
        <v>3170</v>
      </c>
      <c r="H77" s="3"/>
      <c r="I77" s="11">
        <v>3000</v>
      </c>
      <c r="J77" s="11">
        <v>3000</v>
      </c>
      <c r="K77" s="3"/>
      <c r="L77" s="11">
        <v>3000</v>
      </c>
      <c r="M77" s="38">
        <f t="shared" si="1"/>
        <v>1</v>
      </c>
    </row>
    <row r="78" spans="1:15" ht="15" hidden="1" x14ac:dyDescent="0.2">
      <c r="A78" s="14" t="s">
        <v>109</v>
      </c>
      <c r="B78" s="15" t="s">
        <v>110</v>
      </c>
      <c r="C78" s="16">
        <v>79966</v>
      </c>
      <c r="D78" s="11">
        <v>105164.45</v>
      </c>
      <c r="E78" s="11">
        <v>88000.18</v>
      </c>
      <c r="F78" s="11">
        <v>134525.44</v>
      </c>
      <c r="G78" s="11">
        <v>60944.78</v>
      </c>
      <c r="H78" s="3"/>
      <c r="I78" s="11">
        <v>85000</v>
      </c>
      <c r="J78" s="11">
        <v>85000</v>
      </c>
      <c r="K78" s="3"/>
      <c r="L78" s="11">
        <v>85000</v>
      </c>
      <c r="M78" s="38">
        <f t="shared" si="1"/>
        <v>1</v>
      </c>
    </row>
    <row r="79" spans="1:15" ht="15" hidden="1" x14ac:dyDescent="0.2">
      <c r="A79" s="14">
        <v>6010950</v>
      </c>
      <c r="B79" s="15" t="s">
        <v>111</v>
      </c>
      <c r="C79" s="16">
        <v>0</v>
      </c>
      <c r="D79" s="11"/>
      <c r="E79" s="11"/>
      <c r="F79" s="11">
        <v>12656.25</v>
      </c>
      <c r="G79" s="11">
        <v>18002.84</v>
      </c>
      <c r="H79" s="3"/>
      <c r="I79" s="11">
        <v>50000</v>
      </c>
      <c r="J79" s="11">
        <v>25000</v>
      </c>
      <c r="K79" s="3"/>
      <c r="L79" s="11">
        <v>5000</v>
      </c>
      <c r="M79" s="38">
        <f t="shared" si="1"/>
        <v>0.2</v>
      </c>
    </row>
    <row r="80" spans="1:15" ht="15" hidden="1" x14ac:dyDescent="0.2">
      <c r="A80" s="14" t="s">
        <v>112</v>
      </c>
      <c r="B80" s="15" t="s">
        <v>113</v>
      </c>
      <c r="C80" s="16">
        <v>8750</v>
      </c>
      <c r="D80" s="11">
        <v>10250</v>
      </c>
      <c r="E80" s="11">
        <v>10200</v>
      </c>
      <c r="F80" s="11">
        <v>10650</v>
      </c>
      <c r="G80" s="11">
        <v>6400</v>
      </c>
      <c r="H80" s="3"/>
      <c r="I80" s="11">
        <v>15000</v>
      </c>
      <c r="J80" s="11">
        <v>15000</v>
      </c>
      <c r="K80" s="3"/>
      <c r="L80" s="11">
        <v>20000</v>
      </c>
      <c r="M80" s="38">
        <f t="shared" si="1"/>
        <v>1.3333333333333333</v>
      </c>
    </row>
    <row r="81" spans="1:15" ht="15" hidden="1" x14ac:dyDescent="0.2">
      <c r="A81" s="14" t="s">
        <v>114</v>
      </c>
      <c r="B81" s="15" t="s">
        <v>115</v>
      </c>
      <c r="C81" s="16">
        <v>0</v>
      </c>
      <c r="D81" s="11">
        <v>27958.95</v>
      </c>
      <c r="E81" s="11">
        <v>6961.88</v>
      </c>
      <c r="F81" s="11">
        <v>26351.88</v>
      </c>
      <c r="G81" s="11">
        <v>10292.4</v>
      </c>
      <c r="H81" s="3"/>
      <c r="I81" s="11">
        <v>9000</v>
      </c>
      <c r="J81" s="11">
        <v>13000</v>
      </c>
      <c r="K81" s="3"/>
      <c r="L81" s="11">
        <v>15000</v>
      </c>
      <c r="M81" s="38">
        <f t="shared" si="1"/>
        <v>1.1538461538461537</v>
      </c>
    </row>
    <row r="82" spans="1:15" ht="15" hidden="1" x14ac:dyDescent="0.2">
      <c r="A82" s="14" t="s">
        <v>116</v>
      </c>
      <c r="B82" s="15" t="s">
        <v>117</v>
      </c>
      <c r="C82" s="16">
        <v>5788</v>
      </c>
      <c r="D82" s="11">
        <v>4300</v>
      </c>
      <c r="E82" s="11">
        <v>4869</v>
      </c>
      <c r="F82" s="11">
        <v>4340</v>
      </c>
      <c r="G82" s="11">
        <v>2125</v>
      </c>
      <c r="H82" s="3"/>
      <c r="I82" s="11">
        <v>6500</v>
      </c>
      <c r="J82" s="11">
        <v>6500</v>
      </c>
      <c r="K82" s="3"/>
      <c r="L82" s="11">
        <v>5000</v>
      </c>
      <c r="M82" s="38">
        <f t="shared" si="1"/>
        <v>0.76923076923076927</v>
      </c>
    </row>
    <row r="83" spans="1:15" ht="15" hidden="1" x14ac:dyDescent="0.2">
      <c r="A83" s="14" t="s">
        <v>118</v>
      </c>
      <c r="B83" s="15" t="s">
        <v>119</v>
      </c>
      <c r="C83" s="16">
        <v>18709</v>
      </c>
      <c r="D83" s="11">
        <v>13876.48</v>
      </c>
      <c r="E83" s="11">
        <v>18187.78</v>
      </c>
      <c r="F83" s="11">
        <v>15407.18</v>
      </c>
      <c r="G83" s="11">
        <v>110.43</v>
      </c>
      <c r="H83" s="3"/>
      <c r="I83" s="11">
        <v>7500</v>
      </c>
      <c r="J83" s="11">
        <v>7500</v>
      </c>
      <c r="K83" s="3"/>
      <c r="L83" s="11">
        <v>7500</v>
      </c>
      <c r="M83" s="38">
        <f t="shared" si="1"/>
        <v>1</v>
      </c>
    </row>
    <row r="84" spans="1:15" ht="15" hidden="1" x14ac:dyDescent="0.2">
      <c r="A84" s="14" t="s">
        <v>120</v>
      </c>
      <c r="B84" s="15" t="s">
        <v>121</v>
      </c>
      <c r="C84" s="16">
        <v>61378</v>
      </c>
      <c r="D84" s="11">
        <v>40060.879999999997</v>
      </c>
      <c r="E84" s="11">
        <v>1266.28</v>
      </c>
      <c r="F84" s="11">
        <v>36224.44</v>
      </c>
      <c r="G84" s="11">
        <v>14761.21</v>
      </c>
      <c r="H84" s="3"/>
      <c r="I84" s="11">
        <v>35000</v>
      </c>
      <c r="J84" s="11">
        <v>35000</v>
      </c>
      <c r="K84" s="3"/>
      <c r="L84" s="11">
        <v>20000</v>
      </c>
      <c r="M84" s="38">
        <f t="shared" si="1"/>
        <v>0.5714285714285714</v>
      </c>
    </row>
    <row r="85" spans="1:15" ht="15" hidden="1" x14ac:dyDescent="0.2">
      <c r="A85" s="14"/>
      <c r="B85" s="15"/>
      <c r="C85" s="16"/>
      <c r="D85" s="11"/>
      <c r="E85" s="11"/>
      <c r="F85" s="11"/>
      <c r="G85" s="11"/>
      <c r="H85" s="3"/>
      <c r="I85" s="11"/>
      <c r="J85" s="11"/>
      <c r="K85" s="3"/>
      <c r="L85" s="11"/>
    </row>
    <row r="86" spans="1:15" s="20" customFormat="1" ht="15" hidden="1" x14ac:dyDescent="0.25">
      <c r="A86" s="29"/>
      <c r="B86" s="30" t="s">
        <v>122</v>
      </c>
      <c r="C86" s="16">
        <f>SUM(C68:C84)</f>
        <v>308988</v>
      </c>
      <c r="D86" s="11">
        <f>SUM(D68:D84)</f>
        <v>351634.14</v>
      </c>
      <c r="E86" s="11">
        <f>SUM(E68:E84)</f>
        <v>275302.02</v>
      </c>
      <c r="F86" s="11">
        <f>SUM(F68:F84)</f>
        <v>478387.38</v>
      </c>
      <c r="G86" s="11">
        <f>SUM(G68:G84)</f>
        <v>465029.95</v>
      </c>
      <c r="H86" s="3"/>
      <c r="I86" s="11">
        <f>SUM(I68:I84)</f>
        <v>456000</v>
      </c>
      <c r="J86" s="11">
        <f>SUM(J68:J84)</f>
        <v>592500</v>
      </c>
      <c r="K86" s="3"/>
      <c r="L86" s="11">
        <f>SUM(L68:L84)</f>
        <v>548000</v>
      </c>
      <c r="M86" s="38">
        <f>+L86/J86</f>
        <v>0.9248945147679325</v>
      </c>
      <c r="O86" s="44"/>
    </row>
    <row r="87" spans="1:15" s="20" customFormat="1" ht="15" hidden="1" x14ac:dyDescent="0.25">
      <c r="A87" s="29"/>
      <c r="B87" s="30"/>
      <c r="C87" s="16"/>
      <c r="D87" s="11"/>
      <c r="E87" s="11"/>
      <c r="F87" s="11"/>
      <c r="G87" s="11"/>
      <c r="H87" s="3"/>
      <c r="I87" s="11"/>
      <c r="J87" s="11"/>
      <c r="K87" s="3"/>
      <c r="L87" s="11"/>
      <c r="M87" s="38"/>
      <c r="O87" s="44"/>
    </row>
    <row r="88" spans="1:15" ht="15" hidden="1" x14ac:dyDescent="0.2">
      <c r="A88" s="14" t="s">
        <v>123</v>
      </c>
      <c r="B88" s="15" t="s">
        <v>124</v>
      </c>
      <c r="C88" s="16">
        <v>238952</v>
      </c>
      <c r="D88" s="11">
        <v>299344.71999999997</v>
      </c>
      <c r="E88" s="11">
        <v>296161.17</v>
      </c>
      <c r="F88" s="11">
        <v>348848.89</v>
      </c>
      <c r="G88" s="11">
        <v>211577.23</v>
      </c>
      <c r="H88" s="3"/>
      <c r="I88" s="11">
        <v>381989</v>
      </c>
      <c r="J88" s="11">
        <v>381989</v>
      </c>
      <c r="K88" s="3"/>
      <c r="L88" s="11">
        <f>+'[1]Non-Union - 3.5%'!$I$13+'[1]Non-Union - 3.5%'!$V$13</f>
        <v>400796.10425099998</v>
      </c>
      <c r="M88" s="38">
        <f t="shared" ref="M88:M108" si="2">+L88/J88</f>
        <v>1.0492346749539907</v>
      </c>
    </row>
    <row r="89" spans="1:15" ht="15" hidden="1" x14ac:dyDescent="0.2">
      <c r="A89" s="14" t="s">
        <v>125</v>
      </c>
      <c r="B89" s="15" t="s">
        <v>126</v>
      </c>
      <c r="C89" s="16">
        <v>19656</v>
      </c>
      <c r="D89" s="11">
        <v>24665.38</v>
      </c>
      <c r="E89" s="11">
        <v>23771.06</v>
      </c>
      <c r="F89" s="11">
        <v>25648.01</v>
      </c>
      <c r="G89" s="11">
        <v>18946.3</v>
      </c>
      <c r="H89" s="3"/>
      <c r="I89" s="11">
        <v>30559</v>
      </c>
      <c r="J89" s="11">
        <v>30559</v>
      </c>
      <c r="K89" s="3"/>
      <c r="L89" s="11">
        <f>+'[1]Non-Union - 3.5%'!$P$13+'[1]Non-Union - 3.5%'!$Z$13</f>
        <v>32063.68834008</v>
      </c>
      <c r="M89" s="38">
        <f t="shared" si="2"/>
        <v>1.0492387951202591</v>
      </c>
    </row>
    <row r="90" spans="1:15" ht="15" hidden="1" x14ac:dyDescent="0.2">
      <c r="A90" s="14" t="s">
        <v>127</v>
      </c>
      <c r="B90" s="15" t="s">
        <v>128</v>
      </c>
      <c r="C90" s="16">
        <v>45927</v>
      </c>
      <c r="D90" s="11">
        <v>58698.76</v>
      </c>
      <c r="E90" s="11">
        <v>67570.789999999994</v>
      </c>
      <c r="F90" s="11">
        <v>64434.796000000002</v>
      </c>
      <c r="G90" s="11">
        <v>51089.38</v>
      </c>
      <c r="H90" s="3"/>
      <c r="I90" s="11">
        <f>67402+3616+1226+136</f>
        <v>72380</v>
      </c>
      <c r="J90" s="11">
        <v>72380</v>
      </c>
      <c r="K90" s="3"/>
      <c r="L90" s="11">
        <f>+SUM('[1]Non-Union - 3.5%'!$K$13:$M$13)</f>
        <v>85547.279999999984</v>
      </c>
      <c r="M90" s="38">
        <f t="shared" si="2"/>
        <v>1.1819187620889746</v>
      </c>
    </row>
    <row r="91" spans="1:15" ht="15" hidden="1" x14ac:dyDescent="0.2">
      <c r="A91" s="14" t="s">
        <v>129</v>
      </c>
      <c r="B91" s="15" t="s">
        <v>130</v>
      </c>
      <c r="C91" s="16">
        <v>4516</v>
      </c>
      <c r="D91" s="11">
        <v>3310.13</v>
      </c>
      <c r="E91" s="11">
        <v>783.71</v>
      </c>
      <c r="F91" s="11">
        <v>3864.75</v>
      </c>
      <c r="G91" s="11">
        <v>2659.38</v>
      </c>
      <c r="H91" s="3"/>
      <c r="I91" s="11">
        <v>4112</v>
      </c>
      <c r="J91" s="11">
        <v>4112</v>
      </c>
      <c r="K91" s="3"/>
      <c r="L91" s="11">
        <f>+'[1]Non-Union - 3.5%'!$O$13+'[1]Non-Union - 3.5%'!$X$13</f>
        <v>4321.0660252799998</v>
      </c>
      <c r="M91" s="38">
        <f t="shared" si="2"/>
        <v>1.0508429049805448</v>
      </c>
    </row>
    <row r="92" spans="1:15" ht="15" hidden="1" x14ac:dyDescent="0.2">
      <c r="A92" s="14" t="s">
        <v>131</v>
      </c>
      <c r="B92" s="15" t="s">
        <v>132</v>
      </c>
      <c r="C92" s="16">
        <v>2521</v>
      </c>
      <c r="D92" s="11">
        <v>2307.63</v>
      </c>
      <c r="E92" s="11">
        <v>3053.15</v>
      </c>
      <c r="F92" s="11">
        <v>3349.54</v>
      </c>
      <c r="G92" s="11">
        <v>6215.25</v>
      </c>
      <c r="H92" s="3"/>
      <c r="I92" s="11">
        <v>496</v>
      </c>
      <c r="J92" s="11">
        <v>496</v>
      </c>
      <c r="K92" s="3"/>
      <c r="L92" s="11">
        <f>+'[1]Non-Union - 3.5%'!$Y$13+'[1]Non-Union - 3.5%'!$R$13</f>
        <v>522.03493552630005</v>
      </c>
      <c r="M92" s="38">
        <f t="shared" si="2"/>
        <v>1.0524897893675405</v>
      </c>
    </row>
    <row r="93" spans="1:15" ht="15" hidden="1" x14ac:dyDescent="0.2">
      <c r="A93" s="14" t="s">
        <v>133</v>
      </c>
      <c r="B93" s="15" t="s">
        <v>134</v>
      </c>
      <c r="C93" s="16">
        <v>0</v>
      </c>
      <c r="D93" s="11">
        <v>11442.46</v>
      </c>
      <c r="E93" s="11">
        <v>4424.22</v>
      </c>
      <c r="F93" s="11">
        <v>3650.56</v>
      </c>
      <c r="G93" s="11">
        <v>3376.96</v>
      </c>
      <c r="H93" s="3"/>
      <c r="I93" s="11">
        <v>5000</v>
      </c>
      <c r="J93" s="11">
        <v>5000</v>
      </c>
      <c r="K93" s="3"/>
      <c r="L93" s="11">
        <v>5000</v>
      </c>
      <c r="M93" s="38">
        <f t="shared" si="2"/>
        <v>1</v>
      </c>
    </row>
    <row r="94" spans="1:15" ht="15" hidden="1" x14ac:dyDescent="0.2">
      <c r="A94" s="14" t="s">
        <v>135</v>
      </c>
      <c r="B94" s="15" t="s">
        <v>136</v>
      </c>
      <c r="C94" s="16">
        <v>0</v>
      </c>
      <c r="D94" s="11">
        <v>1059.43</v>
      </c>
      <c r="E94" s="11">
        <v>550.42999999999995</v>
      </c>
      <c r="F94" s="11">
        <v>323.07</v>
      </c>
      <c r="G94" s="11">
        <v>293.18</v>
      </c>
      <c r="H94" s="3"/>
      <c r="I94" s="11">
        <v>450</v>
      </c>
      <c r="J94" s="11">
        <v>450</v>
      </c>
      <c r="K94" s="3"/>
      <c r="L94" s="11">
        <v>450</v>
      </c>
      <c r="M94" s="38">
        <f t="shared" si="2"/>
        <v>1</v>
      </c>
    </row>
    <row r="95" spans="1:15" ht="15" hidden="1" x14ac:dyDescent="0.2">
      <c r="A95" s="14" t="s">
        <v>137</v>
      </c>
      <c r="B95" s="15" t="s">
        <v>138</v>
      </c>
      <c r="C95" s="16">
        <v>12</v>
      </c>
      <c r="D95" s="11">
        <v>19.940000000000001</v>
      </c>
      <c r="E95" s="11">
        <v>117.15</v>
      </c>
      <c r="F95" s="11">
        <v>650.58000000000004</v>
      </c>
      <c r="G95" s="11">
        <v>-239.21</v>
      </c>
      <c r="H95" s="3"/>
      <c r="I95" s="11">
        <v>15</v>
      </c>
      <c r="J95" s="11">
        <v>15</v>
      </c>
      <c r="K95" s="3"/>
      <c r="L95" s="11">
        <v>15</v>
      </c>
      <c r="M95" s="38">
        <f t="shared" si="2"/>
        <v>1</v>
      </c>
    </row>
    <row r="96" spans="1:15" ht="15" hidden="1" x14ac:dyDescent="0.2">
      <c r="A96" s="14" t="s">
        <v>139</v>
      </c>
      <c r="B96" s="15" t="s">
        <v>140</v>
      </c>
      <c r="C96" s="16">
        <v>15361</v>
      </c>
      <c r="D96" s="11">
        <v>19630.669999999998</v>
      </c>
      <c r="E96" s="11">
        <v>17868.97</v>
      </c>
      <c r="F96" s="11">
        <v>22859.69</v>
      </c>
      <c r="G96" s="11">
        <v>21956.58</v>
      </c>
      <c r="H96" s="3"/>
      <c r="I96" s="11">
        <v>30000</v>
      </c>
      <c r="J96" s="11">
        <v>30000</v>
      </c>
      <c r="K96" s="3"/>
      <c r="L96" s="11">
        <v>30000</v>
      </c>
      <c r="M96" s="38">
        <f t="shared" si="2"/>
        <v>1</v>
      </c>
    </row>
    <row r="97" spans="1:13" ht="15" hidden="1" x14ac:dyDescent="0.2">
      <c r="A97" s="14" t="s">
        <v>141</v>
      </c>
      <c r="B97" s="15" t="s">
        <v>142</v>
      </c>
      <c r="C97" s="16">
        <v>2450</v>
      </c>
      <c r="D97" s="11">
        <v>2907.5</v>
      </c>
      <c r="E97" s="11">
        <v>2185</v>
      </c>
      <c r="F97" s="11">
        <v>3020</v>
      </c>
      <c r="G97" s="11">
        <v>3274</v>
      </c>
      <c r="H97" s="3"/>
      <c r="I97" s="11">
        <v>2900</v>
      </c>
      <c r="J97" s="11">
        <v>6000</v>
      </c>
      <c r="K97" s="3"/>
      <c r="L97" s="11">
        <v>9500</v>
      </c>
      <c r="M97" s="38">
        <f t="shared" si="2"/>
        <v>1.5833333333333333</v>
      </c>
    </row>
    <row r="98" spans="1:13" ht="15" hidden="1" x14ac:dyDescent="0.2">
      <c r="A98" s="14" t="s">
        <v>143</v>
      </c>
      <c r="B98" s="15" t="s">
        <v>144</v>
      </c>
      <c r="C98" s="16">
        <v>212</v>
      </c>
      <c r="D98" s="11">
        <v>427.5</v>
      </c>
      <c r="E98" s="11">
        <v>432</v>
      </c>
      <c r="F98" s="11">
        <v>438</v>
      </c>
      <c r="G98" s="11">
        <v>441</v>
      </c>
      <c r="H98" s="3"/>
      <c r="I98" s="11">
        <v>500</v>
      </c>
      <c r="J98" s="11">
        <v>500</v>
      </c>
      <c r="K98" s="3"/>
      <c r="L98" s="11">
        <v>500</v>
      </c>
      <c r="M98" s="38">
        <f t="shared" si="2"/>
        <v>1</v>
      </c>
    </row>
    <row r="99" spans="1:13" ht="15" hidden="1" x14ac:dyDescent="0.2">
      <c r="A99" s="14" t="s">
        <v>145</v>
      </c>
      <c r="B99" s="15" t="s">
        <v>146</v>
      </c>
      <c r="C99" s="16">
        <v>4463</v>
      </c>
      <c r="D99" s="11">
        <v>1800.73</v>
      </c>
      <c r="E99" s="11">
        <v>547.07000000000005</v>
      </c>
      <c r="F99" s="11">
        <v>8821.2900000000009</v>
      </c>
      <c r="G99" s="11">
        <v>3991.24</v>
      </c>
      <c r="H99" s="3"/>
      <c r="I99" s="11">
        <v>2500</v>
      </c>
      <c r="J99" s="11">
        <v>2500</v>
      </c>
      <c r="K99" s="3"/>
      <c r="L99" s="11">
        <v>4000</v>
      </c>
      <c r="M99" s="38">
        <f t="shared" si="2"/>
        <v>1.6</v>
      </c>
    </row>
    <row r="100" spans="1:13" ht="15" hidden="1" x14ac:dyDescent="0.2">
      <c r="A100" s="14" t="s">
        <v>147</v>
      </c>
      <c r="B100" s="15" t="s">
        <v>148</v>
      </c>
      <c r="C100" s="16">
        <v>800</v>
      </c>
      <c r="D100" s="11">
        <v>5400</v>
      </c>
      <c r="E100" s="11">
        <v>4649.26</v>
      </c>
      <c r="F100" s="11">
        <f>27.75+5712.29</f>
        <v>5740.04</v>
      </c>
      <c r="G100" s="11">
        <v>3693.08</v>
      </c>
      <c r="H100" s="3"/>
      <c r="I100" s="11">
        <v>7000</v>
      </c>
      <c r="J100" s="11">
        <v>7000</v>
      </c>
      <c r="K100" s="3"/>
      <c r="L100" s="11">
        <v>7000</v>
      </c>
      <c r="M100" s="38">
        <f t="shared" si="2"/>
        <v>1</v>
      </c>
    </row>
    <row r="101" spans="1:13" ht="15" hidden="1" x14ac:dyDescent="0.2">
      <c r="A101" s="14" t="s">
        <v>149</v>
      </c>
      <c r="B101" s="15" t="s">
        <v>150</v>
      </c>
      <c r="C101" s="16">
        <v>6393</v>
      </c>
      <c r="D101" s="11">
        <v>13331.78</v>
      </c>
      <c r="E101" s="11">
        <v>6194.78</v>
      </c>
      <c r="F101" s="11">
        <v>10546.53</v>
      </c>
      <c r="G101" s="11">
        <v>8908.3700000000008</v>
      </c>
      <c r="H101" s="3"/>
      <c r="I101" s="11">
        <v>12000</v>
      </c>
      <c r="J101" s="11">
        <v>12000</v>
      </c>
      <c r="K101" s="3"/>
      <c r="L101" s="11">
        <v>10000</v>
      </c>
      <c r="M101" s="38">
        <f t="shared" si="2"/>
        <v>0.83333333333333337</v>
      </c>
    </row>
    <row r="102" spans="1:13" ht="15" hidden="1" x14ac:dyDescent="0.2">
      <c r="A102" s="14" t="s">
        <v>151</v>
      </c>
      <c r="B102" s="15" t="s">
        <v>152</v>
      </c>
      <c r="C102" s="16">
        <v>123595</v>
      </c>
      <c r="D102" s="11">
        <v>77893.25</v>
      </c>
      <c r="E102" s="11">
        <v>111072.12</v>
      </c>
      <c r="F102" s="11">
        <v>67595.73</v>
      </c>
      <c r="G102" s="11">
        <v>35353.14</v>
      </c>
      <c r="H102" s="3"/>
      <c r="I102" s="11">
        <v>75000</v>
      </c>
      <c r="J102" s="11">
        <v>75000</v>
      </c>
      <c r="K102" s="3"/>
      <c r="L102" s="11">
        <v>55000</v>
      </c>
      <c r="M102" s="38">
        <f t="shared" si="2"/>
        <v>0.73333333333333328</v>
      </c>
    </row>
    <row r="103" spans="1:13" ht="15" hidden="1" x14ac:dyDescent="0.2">
      <c r="A103" s="14" t="s">
        <v>153</v>
      </c>
      <c r="B103" s="15" t="s">
        <v>154</v>
      </c>
      <c r="C103" s="16">
        <v>69989</v>
      </c>
      <c r="D103" s="11">
        <v>67934.31</v>
      </c>
      <c r="E103" s="11">
        <v>54600.33</v>
      </c>
      <c r="F103" s="11">
        <v>64303.13</v>
      </c>
      <c r="G103" s="11">
        <v>45856.43</v>
      </c>
      <c r="H103" s="3"/>
      <c r="I103" s="11">
        <v>70000</v>
      </c>
      <c r="J103" s="11">
        <v>70000</v>
      </c>
      <c r="K103" s="3"/>
      <c r="L103" s="11">
        <v>70000</v>
      </c>
      <c r="M103" s="38">
        <f t="shared" si="2"/>
        <v>1</v>
      </c>
    </row>
    <row r="104" spans="1:13" ht="15" hidden="1" x14ac:dyDescent="0.2">
      <c r="A104" s="14" t="s">
        <v>155</v>
      </c>
      <c r="B104" s="15" t="s">
        <v>156</v>
      </c>
      <c r="C104" s="16">
        <v>273</v>
      </c>
      <c r="D104" s="11">
        <v>1021.46</v>
      </c>
      <c r="E104" s="11">
        <v>1050</v>
      </c>
      <c r="F104" s="11">
        <v>847.7</v>
      </c>
      <c r="G104" s="11">
        <v>2742</v>
      </c>
      <c r="H104" s="3"/>
      <c r="I104" s="11">
        <v>2500</v>
      </c>
      <c r="J104" s="11">
        <v>2500</v>
      </c>
      <c r="K104" s="3"/>
      <c r="L104" s="11">
        <v>1500</v>
      </c>
      <c r="M104" s="38">
        <f t="shared" si="2"/>
        <v>0.6</v>
      </c>
    </row>
    <row r="105" spans="1:13" ht="15" hidden="1" x14ac:dyDescent="0.2">
      <c r="A105" s="14" t="s">
        <v>157</v>
      </c>
      <c r="B105" s="15" t="s">
        <v>158</v>
      </c>
      <c r="C105" s="16">
        <v>1090</v>
      </c>
      <c r="D105" s="11">
        <v>4187.83</v>
      </c>
      <c r="E105" s="11">
        <v>10491.92</v>
      </c>
      <c r="F105" s="11">
        <v>6520.29</v>
      </c>
      <c r="G105" s="11">
        <v>3149.6</v>
      </c>
      <c r="H105" s="3"/>
      <c r="I105" s="11">
        <v>7500</v>
      </c>
      <c r="J105" s="11">
        <v>7500</v>
      </c>
      <c r="K105" s="3"/>
      <c r="L105" s="11">
        <v>7500</v>
      </c>
      <c r="M105" s="38">
        <f t="shared" si="2"/>
        <v>1</v>
      </c>
    </row>
    <row r="106" spans="1:13" ht="15" hidden="1" x14ac:dyDescent="0.2">
      <c r="A106" s="14" t="s">
        <v>159</v>
      </c>
      <c r="B106" s="15" t="s">
        <v>160</v>
      </c>
      <c r="C106" s="16">
        <v>13862</v>
      </c>
      <c r="D106" s="11">
        <v>15086.37</v>
      </c>
      <c r="E106" s="11">
        <v>14827.27</v>
      </c>
      <c r="F106" s="11">
        <v>14232.8</v>
      </c>
      <c r="G106" s="11">
        <v>9257</v>
      </c>
      <c r="H106" s="3"/>
      <c r="I106" s="11">
        <v>10000</v>
      </c>
      <c r="J106" s="11">
        <v>10000</v>
      </c>
      <c r="K106" s="3"/>
      <c r="L106" s="11">
        <v>10000</v>
      </c>
      <c r="M106" s="38">
        <f t="shared" si="2"/>
        <v>1</v>
      </c>
    </row>
    <row r="107" spans="1:13" ht="15" hidden="1" x14ac:dyDescent="0.2">
      <c r="A107" s="14" t="s">
        <v>161</v>
      </c>
      <c r="B107" s="15" t="s">
        <v>162</v>
      </c>
      <c r="C107" s="16">
        <v>6413</v>
      </c>
      <c r="D107" s="11">
        <v>4831.68</v>
      </c>
      <c r="E107" s="11">
        <v>987.24</v>
      </c>
      <c r="F107" s="11">
        <v>1546</v>
      </c>
      <c r="G107" s="11">
        <v>0</v>
      </c>
      <c r="H107" s="3"/>
      <c r="I107" s="11">
        <v>2000</v>
      </c>
      <c r="J107" s="11">
        <v>2000</v>
      </c>
      <c r="K107" s="3"/>
      <c r="L107" s="11">
        <v>0</v>
      </c>
      <c r="M107" s="38">
        <f t="shared" si="2"/>
        <v>0</v>
      </c>
    </row>
    <row r="108" spans="1:13" ht="15" hidden="1" x14ac:dyDescent="0.2">
      <c r="A108" s="14" t="s">
        <v>163</v>
      </c>
      <c r="B108" s="15" t="s">
        <v>80</v>
      </c>
      <c r="C108" s="16">
        <v>2119</v>
      </c>
      <c r="D108" s="11">
        <v>5919.82</v>
      </c>
      <c r="E108" s="11">
        <v>4906.71</v>
      </c>
      <c r="F108" s="11">
        <v>3419.16</v>
      </c>
      <c r="G108" s="11">
        <v>1490.69</v>
      </c>
      <c r="H108" s="3"/>
      <c r="I108" s="11">
        <v>5000</v>
      </c>
      <c r="J108" s="11">
        <v>5000</v>
      </c>
      <c r="K108" s="3"/>
      <c r="L108" s="11">
        <v>5000</v>
      </c>
      <c r="M108" s="38">
        <f t="shared" si="2"/>
        <v>1</v>
      </c>
    </row>
    <row r="109" spans="1:13" ht="15" hidden="1" x14ac:dyDescent="0.2">
      <c r="A109" s="14">
        <v>6021800</v>
      </c>
      <c r="B109" s="15" t="s">
        <v>164</v>
      </c>
      <c r="C109" s="16"/>
      <c r="D109" s="11"/>
      <c r="E109" s="11"/>
      <c r="F109" s="11">
        <v>187.03</v>
      </c>
      <c r="G109" s="11"/>
      <c r="H109" s="3"/>
      <c r="I109" s="11"/>
      <c r="J109" s="11"/>
      <c r="K109" s="3"/>
      <c r="L109" s="11"/>
    </row>
    <row r="110" spans="1:13" ht="15" hidden="1" x14ac:dyDescent="0.2">
      <c r="A110" s="14"/>
      <c r="B110" s="15"/>
      <c r="C110" s="16"/>
      <c r="D110" s="11"/>
      <c r="E110" s="11"/>
      <c r="F110" s="11"/>
      <c r="G110" s="11"/>
      <c r="H110" s="3"/>
      <c r="I110" s="11"/>
      <c r="J110" s="11"/>
      <c r="K110" s="3"/>
      <c r="L110" s="11"/>
    </row>
    <row r="111" spans="1:13" ht="15" hidden="1" x14ac:dyDescent="0.25">
      <c r="A111" s="29"/>
      <c r="B111" s="30" t="s">
        <v>165</v>
      </c>
      <c r="C111" s="16">
        <f>SUM(C88:C109)</f>
        <v>558604</v>
      </c>
      <c r="D111" s="11">
        <f>SUM(D88:D109)</f>
        <v>621221.34999999986</v>
      </c>
      <c r="E111" s="11">
        <f>SUM(E88:E109)</f>
        <v>626244.35000000009</v>
      </c>
      <c r="F111" s="11">
        <f>SUM(F88:F109)</f>
        <v>660847.58600000013</v>
      </c>
      <c r="G111" s="11">
        <f>SUM(G88:G109)</f>
        <v>434031.6</v>
      </c>
      <c r="H111" s="3"/>
      <c r="I111" s="11">
        <f>SUM(I88:I109)</f>
        <v>721901</v>
      </c>
      <c r="J111" s="11">
        <f>SUM(J88:J109)</f>
        <v>725001</v>
      </c>
      <c r="K111" s="3"/>
      <c r="L111" s="11">
        <f>SUM(L88:L109)</f>
        <v>738715.17355188623</v>
      </c>
      <c r="M111" s="38">
        <f>+L111/J111</f>
        <v>1.018916075359739</v>
      </c>
    </row>
    <row r="112" spans="1:13" ht="15" hidden="1" x14ac:dyDescent="0.25">
      <c r="A112" s="29"/>
      <c r="B112" s="30"/>
      <c r="C112" s="16"/>
      <c r="D112" s="11"/>
      <c r="E112" s="11"/>
      <c r="F112" s="11"/>
      <c r="G112" s="11"/>
      <c r="H112" s="3"/>
      <c r="I112" s="11"/>
      <c r="J112" s="11"/>
      <c r="K112" s="3"/>
      <c r="L112" s="11"/>
    </row>
    <row r="113" spans="1:13" ht="15" hidden="1" x14ac:dyDescent="0.2">
      <c r="A113" s="14" t="s">
        <v>166</v>
      </c>
      <c r="B113" s="15" t="s">
        <v>124</v>
      </c>
      <c r="C113" s="16">
        <v>76083</v>
      </c>
      <c r="D113" s="11">
        <v>79040.23</v>
      </c>
      <c r="E113" s="11">
        <v>43912.42</v>
      </c>
      <c r="F113" s="11">
        <v>78104.09</v>
      </c>
      <c r="G113" s="11">
        <v>52944.25</v>
      </c>
      <c r="H113" s="3"/>
      <c r="I113" s="11">
        <v>73917</v>
      </c>
      <c r="J113" s="11">
        <v>73917</v>
      </c>
      <c r="K113" s="3"/>
      <c r="L113" s="11">
        <f>+'[1]Non-Union - 3.5%'!$I$37+'[1]Non-Union - 3.5%'!$V$37</f>
        <v>76501.61099999999</v>
      </c>
      <c r="M113" s="38">
        <f>+L113/J113</f>
        <v>1.034966394740046</v>
      </c>
    </row>
    <row r="114" spans="1:13" ht="15" hidden="1" x14ac:dyDescent="0.2">
      <c r="A114" s="14" t="s">
        <v>167</v>
      </c>
      <c r="B114" s="15" t="s">
        <v>126</v>
      </c>
      <c r="C114" s="16">
        <v>6414</v>
      </c>
      <c r="D114" s="11">
        <v>6815.97</v>
      </c>
      <c r="E114" s="11">
        <v>3560.42</v>
      </c>
      <c r="F114" s="11">
        <v>6311.4</v>
      </c>
      <c r="G114" s="11">
        <v>4111.22</v>
      </c>
      <c r="H114" s="3"/>
      <c r="I114" s="11">
        <f>539+5374</f>
        <v>5913</v>
      </c>
      <c r="J114" s="11">
        <v>5913</v>
      </c>
      <c r="K114" s="3"/>
      <c r="L114" s="11">
        <f>+'[1]Non-Union - 3.5%'!$P$37+'[1]Non-Union - 3.5%'!$Z$37</f>
        <v>6120.1288800000002</v>
      </c>
      <c r="M114" s="38">
        <f>+L114/J114</f>
        <v>1.0350294063926941</v>
      </c>
    </row>
    <row r="115" spans="1:13" ht="15" hidden="1" x14ac:dyDescent="0.2">
      <c r="A115" s="14" t="s">
        <v>168</v>
      </c>
      <c r="B115" s="15" t="s">
        <v>128</v>
      </c>
      <c r="C115" s="16">
        <v>33023</v>
      </c>
      <c r="D115" s="11">
        <v>43423.3</v>
      </c>
      <c r="E115" s="11">
        <v>24854.54</v>
      </c>
      <c r="F115" s="11">
        <v>32649.040000000001</v>
      </c>
      <c r="G115" s="11">
        <v>25625</v>
      </c>
      <c r="H115" s="3"/>
      <c r="I115" s="11">
        <v>36757</v>
      </c>
      <c r="J115" s="11">
        <v>36756</v>
      </c>
      <c r="K115" s="3"/>
      <c r="L115" s="11">
        <f>+SUM('[1]Non-Union - 3.5%'!$K$37:$N$37)</f>
        <v>43510.62</v>
      </c>
      <c r="M115" s="38">
        <f>+L115/J115</f>
        <v>1.1837691805419523</v>
      </c>
    </row>
    <row r="116" spans="1:13" ht="15" hidden="1" x14ac:dyDescent="0.2">
      <c r="A116" s="14" t="s">
        <v>169</v>
      </c>
      <c r="B116" s="15" t="s">
        <v>130</v>
      </c>
      <c r="C116" s="16">
        <v>1206</v>
      </c>
      <c r="D116" s="11">
        <v>1242.4000000000001</v>
      </c>
      <c r="E116" s="11">
        <v>0</v>
      </c>
      <c r="F116" s="11">
        <v>0</v>
      </c>
      <c r="G116" s="11">
        <v>0</v>
      </c>
      <c r="H116" s="3"/>
      <c r="I116" s="11"/>
      <c r="J116" s="11"/>
      <c r="K116" s="3"/>
      <c r="L116" s="11"/>
    </row>
    <row r="117" spans="1:13" ht="15" hidden="1" x14ac:dyDescent="0.2">
      <c r="A117" s="14" t="s">
        <v>170</v>
      </c>
      <c r="B117" s="15" t="s">
        <v>171</v>
      </c>
      <c r="C117" s="16">
        <v>1435</v>
      </c>
      <c r="D117" s="11">
        <v>-158.06</v>
      </c>
      <c r="E117" s="11">
        <v>0</v>
      </c>
      <c r="F117" s="11">
        <v>0</v>
      </c>
      <c r="G117" s="11">
        <v>284.5</v>
      </c>
      <c r="H117" s="3"/>
      <c r="I117" s="11">
        <v>500</v>
      </c>
      <c r="J117" s="11">
        <v>500</v>
      </c>
      <c r="K117" s="3"/>
      <c r="L117" s="11">
        <v>500</v>
      </c>
      <c r="M117" s="38">
        <f t="shared" ref="M117:M124" si="3">+L117/J117</f>
        <v>1</v>
      </c>
    </row>
    <row r="118" spans="1:13" ht="15" hidden="1" x14ac:dyDescent="0.2">
      <c r="A118" s="14" t="s">
        <v>172</v>
      </c>
      <c r="B118" s="15" t="s">
        <v>132</v>
      </c>
      <c r="C118" s="16">
        <v>391</v>
      </c>
      <c r="D118" s="11">
        <v>321.33999999999997</v>
      </c>
      <c r="E118" s="11">
        <v>1026.3</v>
      </c>
      <c r="F118" s="11">
        <v>1301.3599999999999</v>
      </c>
      <c r="G118" s="11">
        <v>929.28</v>
      </c>
      <c r="H118" s="3"/>
      <c r="I118" s="11">
        <v>325</v>
      </c>
      <c r="J118" s="11">
        <v>326</v>
      </c>
      <c r="K118" s="3"/>
      <c r="L118" s="11">
        <f>+'[1]Non-Union - 3.5%'!$R$37+'[1]Non-Union - 3.5%'!$Y$37</f>
        <v>337.60708839999995</v>
      </c>
      <c r="M118" s="38">
        <f t="shared" si="3"/>
        <v>1.0356045656441717</v>
      </c>
    </row>
    <row r="119" spans="1:13" ht="15" hidden="1" x14ac:dyDescent="0.2">
      <c r="A119" s="14" t="s">
        <v>173</v>
      </c>
      <c r="B119" s="15" t="s">
        <v>134</v>
      </c>
      <c r="C119" s="16">
        <v>16553</v>
      </c>
      <c r="D119" s="11">
        <v>57169.25</v>
      </c>
      <c r="E119" s="11">
        <v>81223.45</v>
      </c>
      <c r="F119" s="11">
        <v>80574.27</v>
      </c>
      <c r="G119" s="11">
        <v>91053.41</v>
      </c>
      <c r="H119" s="3"/>
      <c r="I119" s="11">
        <v>83250</v>
      </c>
      <c r="J119" s="11">
        <v>83250</v>
      </c>
      <c r="K119" s="3"/>
      <c r="L119" s="11">
        <v>94825</v>
      </c>
      <c r="M119" s="38">
        <f t="shared" si="3"/>
        <v>1.139039039039039</v>
      </c>
    </row>
    <row r="120" spans="1:13" ht="15" hidden="1" x14ac:dyDescent="0.2">
      <c r="A120" s="14" t="s">
        <v>174</v>
      </c>
      <c r="B120" s="15" t="s">
        <v>136</v>
      </c>
      <c r="C120" s="16">
        <v>2648</v>
      </c>
      <c r="D120" s="11">
        <v>4799.67</v>
      </c>
      <c r="E120" s="11">
        <f>4917.14+80.26</f>
        <v>4997.4000000000005</v>
      </c>
      <c r="F120" s="11">
        <v>5512.81</v>
      </c>
      <c r="G120" s="11">
        <v>6809.54</v>
      </c>
      <c r="H120" s="3"/>
      <c r="I120" s="11">
        <v>8325</v>
      </c>
      <c r="J120" s="11">
        <v>8325</v>
      </c>
      <c r="K120" s="3"/>
      <c r="L120" s="11">
        <v>9427.25</v>
      </c>
      <c r="M120" s="38">
        <f t="shared" si="3"/>
        <v>1.1324024024024024</v>
      </c>
    </row>
    <row r="121" spans="1:13" ht="15" hidden="1" x14ac:dyDescent="0.2">
      <c r="A121" s="14" t="s">
        <v>175</v>
      </c>
      <c r="B121" s="15" t="s">
        <v>176</v>
      </c>
      <c r="C121" s="16">
        <v>0</v>
      </c>
      <c r="D121" s="11">
        <v>1173.17</v>
      </c>
      <c r="E121" s="11">
        <v>1248.1099999999999</v>
      </c>
      <c r="F121" s="11">
        <v>2017.2</v>
      </c>
      <c r="G121" s="11">
        <v>2958.49</v>
      </c>
      <c r="H121" s="3"/>
      <c r="I121" s="11">
        <v>3000</v>
      </c>
      <c r="J121" s="11">
        <v>3000</v>
      </c>
      <c r="K121" s="3"/>
      <c r="L121" s="11">
        <v>3000</v>
      </c>
      <c r="M121" s="38">
        <f t="shared" si="3"/>
        <v>1</v>
      </c>
    </row>
    <row r="122" spans="1:13" ht="15" hidden="1" x14ac:dyDescent="0.2">
      <c r="A122" s="14" t="s">
        <v>177</v>
      </c>
      <c r="B122" s="15" t="s">
        <v>138</v>
      </c>
      <c r="C122" s="16">
        <v>401</v>
      </c>
      <c r="D122" s="11">
        <v>362.49</v>
      </c>
      <c r="E122" s="11">
        <v>717.5</v>
      </c>
      <c r="F122" s="11">
        <v>8095.98</v>
      </c>
      <c r="G122" s="11">
        <v>-2329.25</v>
      </c>
      <c r="H122" s="3"/>
      <c r="I122" s="11">
        <v>366.3</v>
      </c>
      <c r="J122" s="11">
        <v>366.3</v>
      </c>
      <c r="K122" s="3"/>
      <c r="L122" s="11">
        <f>392.92+24.31</f>
        <v>417.23</v>
      </c>
      <c r="M122" s="38">
        <f t="shared" si="3"/>
        <v>1.139039039039039</v>
      </c>
    </row>
    <row r="123" spans="1:13" ht="15" hidden="1" x14ac:dyDescent="0.2">
      <c r="A123" s="14" t="s">
        <v>178</v>
      </c>
      <c r="B123" s="15" t="s">
        <v>140</v>
      </c>
      <c r="C123" s="16">
        <v>10858</v>
      </c>
      <c r="D123" s="11">
        <v>10186.4</v>
      </c>
      <c r="E123" s="11">
        <v>7670.93</v>
      </c>
      <c r="F123" s="11">
        <v>10989.56</v>
      </c>
      <c r="G123" s="11">
        <v>6400.26</v>
      </c>
      <c r="H123" s="3"/>
      <c r="I123" s="11">
        <v>11130</v>
      </c>
      <c r="J123" s="11">
        <v>11130</v>
      </c>
      <c r="K123" s="3"/>
      <c r="L123" s="11">
        <v>10000</v>
      </c>
      <c r="M123" s="38">
        <f t="shared" si="3"/>
        <v>0.89847259658580414</v>
      </c>
    </row>
    <row r="124" spans="1:13" ht="15" hidden="1" x14ac:dyDescent="0.2">
      <c r="A124" s="14" t="s">
        <v>179</v>
      </c>
      <c r="B124" s="15" t="s">
        <v>142</v>
      </c>
      <c r="C124" s="16">
        <v>0</v>
      </c>
      <c r="D124" s="11">
        <v>780</v>
      </c>
      <c r="E124" s="11">
        <v>2040</v>
      </c>
      <c r="F124" s="11">
        <v>2880</v>
      </c>
      <c r="G124" s="11">
        <v>1808</v>
      </c>
      <c r="H124" s="3"/>
      <c r="I124" s="11">
        <v>2880</v>
      </c>
      <c r="J124" s="11">
        <v>2880</v>
      </c>
      <c r="K124" s="3"/>
      <c r="L124" s="11">
        <v>3400</v>
      </c>
      <c r="M124" s="38">
        <f t="shared" si="3"/>
        <v>1.1805555555555556</v>
      </c>
    </row>
    <row r="125" spans="1:13" ht="15" hidden="1" x14ac:dyDescent="0.2">
      <c r="A125" s="14" t="s">
        <v>180</v>
      </c>
      <c r="B125" s="15" t="s">
        <v>146</v>
      </c>
      <c r="C125" s="16">
        <v>9812</v>
      </c>
      <c r="D125" s="11">
        <v>7179.74</v>
      </c>
      <c r="E125" s="11">
        <v>2565.46</v>
      </c>
      <c r="F125" s="11">
        <v>471.52</v>
      </c>
      <c r="G125" s="11">
        <v>2092.15</v>
      </c>
      <c r="H125" s="3"/>
      <c r="I125" s="11"/>
      <c r="J125" s="11">
        <v>0</v>
      </c>
      <c r="K125" s="3"/>
      <c r="L125" s="11"/>
    </row>
    <row r="126" spans="1:13" ht="15" hidden="1" x14ac:dyDescent="0.2">
      <c r="A126" s="14" t="s">
        <v>181</v>
      </c>
      <c r="B126" s="15" t="s">
        <v>182</v>
      </c>
      <c r="C126" s="16">
        <v>0</v>
      </c>
      <c r="D126" s="11">
        <v>678.62</v>
      </c>
      <c r="E126" s="11">
        <v>13.48</v>
      </c>
      <c r="F126" s="11">
        <v>151.41</v>
      </c>
      <c r="G126" s="11">
        <v>46.12</v>
      </c>
      <c r="H126" s="3"/>
      <c r="I126" s="11">
        <v>200</v>
      </c>
      <c r="J126" s="11">
        <v>200</v>
      </c>
      <c r="K126" s="3"/>
      <c r="L126" s="11">
        <v>100</v>
      </c>
      <c r="M126" s="38">
        <f>+L126/J126</f>
        <v>0.5</v>
      </c>
    </row>
    <row r="127" spans="1:13" ht="15" hidden="1" x14ac:dyDescent="0.2">
      <c r="A127" s="14" t="s">
        <v>183</v>
      </c>
      <c r="B127" s="15" t="s">
        <v>184</v>
      </c>
      <c r="C127" s="16">
        <v>170</v>
      </c>
      <c r="D127" s="11">
        <v>248.95</v>
      </c>
      <c r="E127" s="11">
        <v>1737.2</v>
      </c>
      <c r="F127" s="11">
        <v>0</v>
      </c>
      <c r="G127" s="11">
        <v>384.3</v>
      </c>
      <c r="H127" s="3"/>
      <c r="I127" s="11">
        <v>2500</v>
      </c>
      <c r="J127" s="11">
        <v>2500</v>
      </c>
      <c r="K127" s="3"/>
      <c r="L127" s="11">
        <v>1000</v>
      </c>
      <c r="M127" s="38">
        <f>+L127/J127</f>
        <v>0.4</v>
      </c>
    </row>
    <row r="128" spans="1:13" ht="15" hidden="1" x14ac:dyDescent="0.2">
      <c r="A128" s="14" t="s">
        <v>185</v>
      </c>
      <c r="B128" s="15" t="s">
        <v>152</v>
      </c>
      <c r="C128" s="16">
        <v>274</v>
      </c>
      <c r="D128" s="11">
        <v>278.35000000000002</v>
      </c>
      <c r="E128" s="11">
        <v>188.23</v>
      </c>
      <c r="F128" s="11">
        <v>295.79000000000002</v>
      </c>
      <c r="G128" s="11">
        <v>365.12</v>
      </c>
      <c r="H128" s="3"/>
      <c r="I128" s="11">
        <v>500</v>
      </c>
      <c r="J128" s="11">
        <v>500</v>
      </c>
      <c r="K128" s="3"/>
      <c r="L128" s="11">
        <v>500</v>
      </c>
      <c r="M128" s="38">
        <f>+L128/J128</f>
        <v>1</v>
      </c>
    </row>
    <row r="129" spans="1:13" ht="15" hidden="1" x14ac:dyDescent="0.2">
      <c r="A129" s="14" t="s">
        <v>186</v>
      </c>
      <c r="B129" s="15" t="s">
        <v>156</v>
      </c>
      <c r="C129" s="16">
        <v>0</v>
      </c>
      <c r="D129" s="11">
        <v>849.2</v>
      </c>
      <c r="E129" s="11"/>
      <c r="F129" s="11">
        <v>0</v>
      </c>
      <c r="G129" s="11">
        <v>0</v>
      </c>
      <c r="H129" s="3"/>
      <c r="I129" s="11"/>
      <c r="J129" s="11"/>
      <c r="K129" s="3"/>
      <c r="L129" s="11"/>
    </row>
    <row r="130" spans="1:13" ht="15" hidden="1" x14ac:dyDescent="0.2">
      <c r="A130" s="14" t="s">
        <v>187</v>
      </c>
      <c r="B130" s="15" t="s">
        <v>158</v>
      </c>
      <c r="C130" s="16">
        <v>156</v>
      </c>
      <c r="D130" s="11">
        <v>0</v>
      </c>
      <c r="E130" s="11">
        <v>0</v>
      </c>
      <c r="F130" s="11">
        <v>0</v>
      </c>
      <c r="G130" s="11">
        <v>0</v>
      </c>
      <c r="H130" s="3"/>
      <c r="I130" s="11">
        <v>1000</v>
      </c>
      <c r="J130" s="11">
        <v>1000</v>
      </c>
      <c r="K130" s="3"/>
      <c r="L130" s="11">
        <v>1000</v>
      </c>
      <c r="M130" s="38">
        <f>+L130/J130</f>
        <v>1</v>
      </c>
    </row>
    <row r="131" spans="1:13" ht="15" hidden="1" x14ac:dyDescent="0.2">
      <c r="A131" s="14" t="s">
        <v>188</v>
      </c>
      <c r="B131" s="15" t="s">
        <v>160</v>
      </c>
      <c r="C131" s="16">
        <v>3361</v>
      </c>
      <c r="D131" s="11">
        <v>5796.52</v>
      </c>
      <c r="E131" s="11">
        <v>2531.19</v>
      </c>
      <c r="F131" s="11">
        <v>4850.5600000000004</v>
      </c>
      <c r="G131" s="11">
        <v>1651.74</v>
      </c>
      <c r="H131" s="3"/>
      <c r="I131" s="11">
        <v>7000</v>
      </c>
      <c r="J131" s="11">
        <v>7000</v>
      </c>
      <c r="K131" s="3"/>
      <c r="L131" s="11">
        <v>2500</v>
      </c>
      <c r="M131" s="38">
        <f>+L131/J131</f>
        <v>0.35714285714285715</v>
      </c>
    </row>
    <row r="132" spans="1:13" ht="15" hidden="1" x14ac:dyDescent="0.2">
      <c r="A132" s="14" t="s">
        <v>189</v>
      </c>
      <c r="B132" s="15" t="s">
        <v>80</v>
      </c>
      <c r="C132" s="16">
        <v>2862</v>
      </c>
      <c r="D132" s="11">
        <v>2240.1999999999998</v>
      </c>
      <c r="E132" s="11">
        <v>331.83</v>
      </c>
      <c r="F132" s="11">
        <v>65.14</v>
      </c>
      <c r="G132" s="11">
        <v>447.89</v>
      </c>
      <c r="H132" s="3"/>
      <c r="I132" s="11">
        <v>1500</v>
      </c>
      <c r="J132" s="11">
        <v>1500</v>
      </c>
      <c r="K132" s="3"/>
      <c r="L132" s="11">
        <v>1000</v>
      </c>
      <c r="M132" s="38">
        <f>+L132/J132</f>
        <v>0.66666666666666663</v>
      </c>
    </row>
    <row r="133" spans="1:13" ht="15" hidden="1" x14ac:dyDescent="0.2">
      <c r="A133" s="14" t="s">
        <v>190</v>
      </c>
      <c r="B133" s="15" t="s">
        <v>164</v>
      </c>
      <c r="C133" s="16">
        <v>1185</v>
      </c>
      <c r="D133" s="11">
        <v>1175.76</v>
      </c>
      <c r="E133" s="11">
        <v>220</v>
      </c>
      <c r="F133" s="11">
        <v>883.97</v>
      </c>
      <c r="G133" s="11">
        <v>703</v>
      </c>
      <c r="H133" s="3"/>
      <c r="I133" s="11">
        <v>1500</v>
      </c>
      <c r="J133" s="11">
        <v>1500</v>
      </c>
      <c r="K133" s="3"/>
      <c r="L133" s="11">
        <v>1500</v>
      </c>
      <c r="M133" s="38">
        <f>+L133/J133</f>
        <v>1</v>
      </c>
    </row>
    <row r="134" spans="1:13" ht="15" hidden="1" x14ac:dyDescent="0.2">
      <c r="A134" s="14">
        <v>6052000</v>
      </c>
      <c r="B134" s="15" t="s">
        <v>191</v>
      </c>
      <c r="C134" s="16"/>
      <c r="D134" s="11"/>
      <c r="E134" s="11"/>
      <c r="F134" s="11">
        <v>0</v>
      </c>
      <c r="G134" s="11">
        <v>0</v>
      </c>
      <c r="H134" s="3"/>
      <c r="I134" s="11"/>
      <c r="J134" s="11"/>
      <c r="K134" s="3"/>
      <c r="L134" s="11"/>
    </row>
    <row r="135" spans="1:13" ht="15" hidden="1" x14ac:dyDescent="0.2">
      <c r="A135" s="14"/>
      <c r="B135" s="15"/>
      <c r="C135" s="16"/>
      <c r="D135" s="11"/>
      <c r="E135" s="11"/>
      <c r="F135" s="11"/>
      <c r="G135" s="11"/>
      <c r="H135" s="3"/>
      <c r="I135" s="11"/>
      <c r="J135" s="11"/>
      <c r="K135" s="3"/>
      <c r="L135" s="11"/>
    </row>
    <row r="136" spans="1:13" ht="15" hidden="1" x14ac:dyDescent="0.25">
      <c r="A136" s="29"/>
      <c r="B136" s="30" t="s">
        <v>192</v>
      </c>
      <c r="C136" s="16">
        <f>SUM(C113:C134)</f>
        <v>166832</v>
      </c>
      <c r="D136" s="11">
        <f>SUM(D113:D134)</f>
        <v>223603.50000000003</v>
      </c>
      <c r="E136" s="11">
        <f>SUM(E113:E134)</f>
        <v>178838.46</v>
      </c>
      <c r="F136" s="11">
        <f>SUM(F113:F134)</f>
        <v>235154.10000000003</v>
      </c>
      <c r="G136" s="11">
        <f>SUM(G113:G134)</f>
        <v>196285.02</v>
      </c>
      <c r="H136" s="3"/>
      <c r="I136" s="11">
        <f>SUM(I113:I134)</f>
        <v>240563.3</v>
      </c>
      <c r="J136" s="11">
        <f>SUM(J113:J134)</f>
        <v>240563.3</v>
      </c>
      <c r="K136" s="3"/>
      <c r="L136" s="11">
        <f>SUM(L113:L134)</f>
        <v>255639.44696840001</v>
      </c>
      <c r="M136" s="38">
        <f>+L136/J136</f>
        <v>1.0626701868838682</v>
      </c>
    </row>
    <row r="137" spans="1:13" ht="15" hidden="1" x14ac:dyDescent="0.25">
      <c r="A137" s="29"/>
      <c r="B137" s="30"/>
      <c r="C137" s="16"/>
      <c r="D137" s="11"/>
      <c r="E137" s="11"/>
      <c r="F137" s="11"/>
      <c r="G137" s="11"/>
      <c r="H137" s="3"/>
      <c r="I137" s="11"/>
      <c r="J137" s="11"/>
      <c r="K137" s="3"/>
      <c r="L137" s="11"/>
    </row>
    <row r="138" spans="1:13" ht="15" hidden="1" x14ac:dyDescent="0.2">
      <c r="A138" s="14" t="s">
        <v>193</v>
      </c>
      <c r="B138" s="15" t="s">
        <v>124</v>
      </c>
      <c r="C138" s="16">
        <v>51980</v>
      </c>
      <c r="D138" s="11">
        <v>54667.360000000001</v>
      </c>
      <c r="E138" s="11">
        <v>55705.91</v>
      </c>
      <c r="F138" s="11">
        <v>77351.539999999994</v>
      </c>
      <c r="G138" s="11">
        <v>67077.399999999994</v>
      </c>
      <c r="H138" s="3"/>
      <c r="I138" s="11">
        <v>110589</v>
      </c>
      <c r="J138" s="11">
        <v>110589</v>
      </c>
      <c r="K138" s="3"/>
      <c r="L138" s="11">
        <f>+'[1]Non-Union - 3.5%'!$I$43</f>
        <v>113560.2</v>
      </c>
      <c r="M138" s="38">
        <f t="shared" ref="M138:M145" si="4">+L138/J138</f>
        <v>1.0268670482597726</v>
      </c>
    </row>
    <row r="139" spans="1:13" ht="15" hidden="1" x14ac:dyDescent="0.2">
      <c r="A139" s="14" t="s">
        <v>194</v>
      </c>
      <c r="B139" s="15" t="s">
        <v>126</v>
      </c>
      <c r="C139" s="16">
        <v>4106</v>
      </c>
      <c r="D139" s="11">
        <v>4775.8500000000004</v>
      </c>
      <c r="E139" s="11">
        <v>4564.83</v>
      </c>
      <c r="F139" s="11">
        <v>6504.31</v>
      </c>
      <c r="G139" s="11">
        <v>4632.8100000000004</v>
      </c>
      <c r="H139" s="3"/>
      <c r="I139" s="11">
        <v>8847</v>
      </c>
      <c r="J139" s="11">
        <v>8847</v>
      </c>
      <c r="K139" s="3"/>
      <c r="L139" s="11">
        <f>+'[1]Non-Union - 3.5%'!$P$43</f>
        <v>9084.8159999999989</v>
      </c>
      <c r="M139" s="38">
        <f t="shared" si="4"/>
        <v>1.026880976602238</v>
      </c>
    </row>
    <row r="140" spans="1:13" ht="15" hidden="1" x14ac:dyDescent="0.2">
      <c r="A140" s="14" t="s">
        <v>195</v>
      </c>
      <c r="B140" s="15" t="s">
        <v>128</v>
      </c>
      <c r="C140" s="16">
        <v>10250</v>
      </c>
      <c r="D140" s="11">
        <v>10725.34</v>
      </c>
      <c r="E140" s="11">
        <v>11006.55</v>
      </c>
      <c r="F140" s="11">
        <v>14335.23</v>
      </c>
      <c r="G140" s="11">
        <v>11031.78</v>
      </c>
      <c r="H140" s="3"/>
      <c r="I140" s="11">
        <v>15891</v>
      </c>
      <c r="J140" s="11">
        <v>15891</v>
      </c>
      <c r="K140" s="3"/>
      <c r="L140" s="11">
        <f>+SUM('[1]Non-Union - 3.5%'!$K$43:$N$43)</f>
        <v>18515.920000000002</v>
      </c>
      <c r="M140" s="38">
        <f t="shared" si="4"/>
        <v>1.1651828078786737</v>
      </c>
    </row>
    <row r="141" spans="1:13" ht="15" hidden="1" x14ac:dyDescent="0.2">
      <c r="A141" s="14" t="s">
        <v>196</v>
      </c>
      <c r="B141" s="15" t="s">
        <v>130</v>
      </c>
      <c r="C141" s="16">
        <v>1422</v>
      </c>
      <c r="D141" s="11">
        <v>1599.68</v>
      </c>
      <c r="E141" s="11">
        <v>2038.87</v>
      </c>
      <c r="F141" s="11">
        <v>1812.72</v>
      </c>
      <c r="G141" s="11">
        <v>1272.3599999999999</v>
      </c>
      <c r="H141" s="3"/>
      <c r="I141" s="11">
        <v>1950</v>
      </c>
      <c r="J141" s="11">
        <v>1950</v>
      </c>
      <c r="K141" s="3"/>
      <c r="L141" s="11">
        <f>+'[1]Non-Union - 3.5%'!$O$43</f>
        <v>2018.25</v>
      </c>
      <c r="M141" s="38">
        <f t="shared" si="4"/>
        <v>1.0349999999999999</v>
      </c>
    </row>
    <row r="142" spans="1:13" ht="15" hidden="1" x14ac:dyDescent="0.2">
      <c r="A142" s="14" t="s">
        <v>197</v>
      </c>
      <c r="B142" s="15" t="s">
        <v>171</v>
      </c>
      <c r="C142" s="16">
        <v>0</v>
      </c>
      <c r="D142" s="11">
        <v>42</v>
      </c>
      <c r="E142" s="11">
        <v>20</v>
      </c>
      <c r="F142" s="11">
        <v>0</v>
      </c>
      <c r="G142" s="11">
        <v>134.38999999999999</v>
      </c>
      <c r="H142" s="3"/>
      <c r="I142" s="11">
        <v>200</v>
      </c>
      <c r="J142" s="11">
        <v>200</v>
      </c>
      <c r="K142" s="3"/>
      <c r="L142" s="11">
        <v>200</v>
      </c>
      <c r="M142" s="38">
        <f t="shared" si="4"/>
        <v>1</v>
      </c>
    </row>
    <row r="143" spans="1:13" ht="15" hidden="1" x14ac:dyDescent="0.2">
      <c r="A143" s="14" t="s">
        <v>198</v>
      </c>
      <c r="B143" s="15" t="s">
        <v>132</v>
      </c>
      <c r="C143" s="16">
        <v>270</v>
      </c>
      <c r="D143" s="11"/>
      <c r="E143" s="11">
        <v>661.55</v>
      </c>
      <c r="F143" s="11">
        <v>1301.17</v>
      </c>
      <c r="G143" s="11">
        <v>1747.34</v>
      </c>
      <c r="H143" s="3"/>
      <c r="I143" s="11">
        <v>487</v>
      </c>
      <c r="J143" s="11">
        <v>487</v>
      </c>
      <c r="K143" s="3"/>
      <c r="L143" s="11">
        <f>+'[1]Non-Union - 3.5%'!$R$43</f>
        <v>499.66487999999998</v>
      </c>
      <c r="M143" s="38">
        <f t="shared" si="4"/>
        <v>1.0260059137577002</v>
      </c>
    </row>
    <row r="144" spans="1:13" ht="15" hidden="1" x14ac:dyDescent="0.2">
      <c r="A144" s="14" t="s">
        <v>199</v>
      </c>
      <c r="B144" s="15" t="s">
        <v>200</v>
      </c>
      <c r="C144" s="16">
        <v>502</v>
      </c>
      <c r="D144" s="11">
        <v>545.34</v>
      </c>
      <c r="E144" s="11">
        <v>738.29</v>
      </c>
      <c r="F144" s="11">
        <v>1088.67</v>
      </c>
      <c r="G144" s="11">
        <v>1300.55</v>
      </c>
      <c r="H144" s="3"/>
      <c r="I144" s="11">
        <v>1000</v>
      </c>
      <c r="J144" s="11">
        <v>1000</v>
      </c>
      <c r="K144" s="3"/>
      <c r="L144" s="11">
        <v>1500</v>
      </c>
      <c r="M144" s="38">
        <f t="shared" si="4"/>
        <v>1.5</v>
      </c>
    </row>
    <row r="145" spans="1:13" ht="15" hidden="1" x14ac:dyDescent="0.2">
      <c r="A145" s="14" t="s">
        <v>201</v>
      </c>
      <c r="B145" s="15" t="s">
        <v>182</v>
      </c>
      <c r="C145" s="16">
        <v>960</v>
      </c>
      <c r="D145" s="11">
        <v>1524.36</v>
      </c>
      <c r="E145" s="11">
        <v>1848.74</v>
      </c>
      <c r="F145" s="11">
        <v>1790.09</v>
      </c>
      <c r="G145" s="11">
        <v>1692.08</v>
      </c>
      <c r="H145" s="3"/>
      <c r="I145" s="11">
        <v>2500</v>
      </c>
      <c r="J145" s="11">
        <v>2500</v>
      </c>
      <c r="K145" s="3"/>
      <c r="L145" s="11">
        <v>2500</v>
      </c>
      <c r="M145" s="38">
        <f t="shared" si="4"/>
        <v>1</v>
      </c>
    </row>
    <row r="146" spans="1:13" ht="15" hidden="1" x14ac:dyDescent="0.2">
      <c r="A146" s="14">
        <v>6060610</v>
      </c>
      <c r="B146" s="15" t="s">
        <v>184</v>
      </c>
      <c r="C146" s="16"/>
      <c r="D146" s="11"/>
      <c r="E146" s="11"/>
      <c r="F146" s="11">
        <v>453.95</v>
      </c>
      <c r="G146" s="11">
        <v>0</v>
      </c>
      <c r="H146" s="3"/>
      <c r="I146" s="11"/>
      <c r="J146" s="11"/>
      <c r="K146" s="3"/>
      <c r="L146" s="11"/>
    </row>
    <row r="147" spans="1:13" ht="15" hidden="1" x14ac:dyDescent="0.2">
      <c r="A147" s="14" t="s">
        <v>202</v>
      </c>
      <c r="B147" s="15" t="s">
        <v>156</v>
      </c>
      <c r="C147" s="16">
        <v>145</v>
      </c>
      <c r="D147" s="11">
        <v>200.74</v>
      </c>
      <c r="E147" s="11">
        <v>0</v>
      </c>
      <c r="F147" s="11"/>
      <c r="G147" s="11">
        <v>205</v>
      </c>
      <c r="H147" s="3"/>
      <c r="I147" s="11">
        <v>500</v>
      </c>
      <c r="J147" s="11">
        <v>500</v>
      </c>
      <c r="K147" s="3"/>
      <c r="L147" s="11">
        <v>500</v>
      </c>
      <c r="M147" s="38">
        <f>+L147/J147</f>
        <v>1</v>
      </c>
    </row>
    <row r="148" spans="1:13" ht="15" hidden="1" x14ac:dyDescent="0.2">
      <c r="A148" s="14" t="s">
        <v>203</v>
      </c>
      <c r="B148" s="15" t="s">
        <v>158</v>
      </c>
      <c r="C148" s="16">
        <v>155</v>
      </c>
      <c r="D148" s="11">
        <v>165</v>
      </c>
      <c r="E148" s="11">
        <v>165</v>
      </c>
      <c r="F148" s="11">
        <v>903.91</v>
      </c>
      <c r="G148" s="11">
        <v>70</v>
      </c>
      <c r="H148" s="3"/>
      <c r="I148" s="11">
        <v>1000</v>
      </c>
      <c r="J148" s="11">
        <v>1000</v>
      </c>
      <c r="K148" s="3"/>
      <c r="L148" s="11">
        <v>500</v>
      </c>
      <c r="M148" s="38">
        <f>+L148/J148</f>
        <v>0.5</v>
      </c>
    </row>
    <row r="149" spans="1:13" ht="15" hidden="1" x14ac:dyDescent="0.2">
      <c r="A149" s="14" t="s">
        <v>204</v>
      </c>
      <c r="B149" s="15" t="s">
        <v>160</v>
      </c>
      <c r="C149" s="16">
        <v>864</v>
      </c>
      <c r="D149" s="11">
        <v>1547.8</v>
      </c>
      <c r="E149" s="11">
        <v>913.43</v>
      </c>
      <c r="F149" s="11">
        <v>1486.03</v>
      </c>
      <c r="G149" s="11">
        <v>1402.02</v>
      </c>
      <c r="H149" s="3"/>
      <c r="I149" s="11">
        <v>2500</v>
      </c>
      <c r="J149" s="11">
        <v>2500</v>
      </c>
      <c r="K149" s="3"/>
      <c r="L149" s="11">
        <v>2000</v>
      </c>
      <c r="M149" s="38">
        <f>+L149/J149</f>
        <v>0.8</v>
      </c>
    </row>
    <row r="150" spans="1:13" ht="15" hidden="1" x14ac:dyDescent="0.2">
      <c r="A150" s="14" t="s">
        <v>205</v>
      </c>
      <c r="B150" s="15" t="s">
        <v>80</v>
      </c>
      <c r="C150" s="16">
        <v>99</v>
      </c>
      <c r="D150" s="11">
        <v>53.38</v>
      </c>
      <c r="E150" s="11">
        <v>52</v>
      </c>
      <c r="F150" s="11">
        <v>75.03</v>
      </c>
      <c r="G150" s="11">
        <v>0</v>
      </c>
      <c r="H150" s="3"/>
      <c r="I150" s="11">
        <v>250</v>
      </c>
      <c r="J150" s="11">
        <v>250</v>
      </c>
      <c r="K150" s="3"/>
      <c r="L150" s="11">
        <v>250</v>
      </c>
      <c r="M150" s="38">
        <f>+L150/J150</f>
        <v>1</v>
      </c>
    </row>
    <row r="151" spans="1:13" ht="15" hidden="1" x14ac:dyDescent="0.2">
      <c r="A151" s="14"/>
      <c r="B151" s="15"/>
      <c r="C151" s="16"/>
      <c r="D151" s="11"/>
      <c r="E151" s="11"/>
      <c r="F151" s="11"/>
      <c r="G151" s="11"/>
      <c r="H151" s="3"/>
      <c r="I151" s="11"/>
      <c r="J151" s="11"/>
      <c r="K151" s="3"/>
      <c r="L151" s="11"/>
    </row>
    <row r="152" spans="1:13" ht="15" hidden="1" x14ac:dyDescent="0.25">
      <c r="A152" s="29"/>
      <c r="B152" s="30" t="s">
        <v>206</v>
      </c>
      <c r="C152" s="16">
        <f>SUM(C138:C150)</f>
        <v>70753</v>
      </c>
      <c r="D152" s="11">
        <f>SUM(D138:D150)</f>
        <v>75846.850000000006</v>
      </c>
      <c r="E152" s="11">
        <f>SUM(E138:E150)</f>
        <v>77715.17</v>
      </c>
      <c r="F152" s="11">
        <f>SUM(F138:F150)</f>
        <v>107102.64999999998</v>
      </c>
      <c r="G152" s="11">
        <f>SUM(G138:G150)</f>
        <v>90565.73</v>
      </c>
      <c r="H152" s="3"/>
      <c r="I152" s="11">
        <f>SUM(I138:I150)</f>
        <v>145714</v>
      </c>
      <c r="J152" s="11">
        <f>SUM(J138:J150)</f>
        <v>145714</v>
      </c>
      <c r="K152" s="3"/>
      <c r="L152" s="11">
        <f>SUM(L138:L150)</f>
        <v>151128.85088000001</v>
      </c>
      <c r="M152" s="38">
        <f>+L152/J152</f>
        <v>1.0371608141976749</v>
      </c>
    </row>
    <row r="153" spans="1:13" ht="15" hidden="1" x14ac:dyDescent="0.25">
      <c r="A153" s="29"/>
      <c r="B153" s="30"/>
      <c r="C153" s="16"/>
      <c r="D153" s="11"/>
      <c r="E153" s="11"/>
      <c r="F153" s="11"/>
      <c r="G153" s="11"/>
      <c r="H153" s="3"/>
      <c r="I153" s="11"/>
      <c r="J153" s="11"/>
      <c r="K153" s="3"/>
      <c r="L153" s="11"/>
    </row>
    <row r="154" spans="1:13" ht="15" hidden="1" x14ac:dyDescent="0.2">
      <c r="A154" s="14" t="s">
        <v>207</v>
      </c>
      <c r="B154" s="15" t="s">
        <v>124</v>
      </c>
      <c r="C154" s="16">
        <v>41240</v>
      </c>
      <c r="D154" s="11">
        <v>60236.07</v>
      </c>
      <c r="E154" s="11">
        <v>33683.4</v>
      </c>
      <c r="F154" s="11">
        <v>39820.85</v>
      </c>
      <c r="G154" s="11">
        <v>25463.07</v>
      </c>
      <c r="H154" s="3"/>
      <c r="I154" s="11">
        <v>62859</v>
      </c>
      <c r="J154" s="11">
        <v>40000</v>
      </c>
      <c r="K154" s="3"/>
      <c r="L154" s="11">
        <f>+'[1]Non-Union - 3.5%'!$I$47</f>
        <v>29062.799999999996</v>
      </c>
      <c r="M154" s="38">
        <f t="shared" ref="M154:M160" si="5">+L154/J154</f>
        <v>0.72656999999999994</v>
      </c>
    </row>
    <row r="155" spans="1:13" ht="15" hidden="1" x14ac:dyDescent="0.2">
      <c r="A155" s="14" t="s">
        <v>208</v>
      </c>
      <c r="B155" s="15" t="s">
        <v>126</v>
      </c>
      <c r="C155" s="16">
        <v>3874</v>
      </c>
      <c r="D155" s="11">
        <v>5318.45</v>
      </c>
      <c r="E155" s="11">
        <v>2923.34</v>
      </c>
      <c r="F155" s="11">
        <v>3373.75</v>
      </c>
      <c r="G155" s="11">
        <v>1995.67</v>
      </c>
      <c r="H155" s="3"/>
      <c r="I155" s="11">
        <v>5029</v>
      </c>
      <c r="J155" s="11">
        <v>3200</v>
      </c>
      <c r="K155" s="3"/>
      <c r="L155" s="11">
        <f>+'[1]Non-Union - 3.5%'!$P$47</f>
        <v>2325.0239999999999</v>
      </c>
      <c r="M155" s="38">
        <f t="shared" si="5"/>
        <v>0.72656999999999994</v>
      </c>
    </row>
    <row r="156" spans="1:13" ht="15" hidden="1" x14ac:dyDescent="0.2">
      <c r="A156" s="14" t="s">
        <v>209</v>
      </c>
      <c r="B156" s="15" t="s">
        <v>171</v>
      </c>
      <c r="C156" s="16">
        <v>18</v>
      </c>
      <c r="D156" s="11">
        <v>11.7</v>
      </c>
      <c r="E156" s="11">
        <v>0</v>
      </c>
      <c r="F156" s="11"/>
      <c r="G156" s="11">
        <v>324.13</v>
      </c>
      <c r="H156" s="3"/>
      <c r="I156" s="11"/>
      <c r="J156" s="11"/>
      <c r="K156" s="3"/>
      <c r="L156" s="11">
        <v>250</v>
      </c>
    </row>
    <row r="157" spans="1:13" ht="15" hidden="1" x14ac:dyDescent="0.2">
      <c r="A157" s="14" t="s">
        <v>210</v>
      </c>
      <c r="B157" s="15" t="s">
        <v>132</v>
      </c>
      <c r="C157" s="16">
        <v>111</v>
      </c>
      <c r="D157" s="11">
        <v>87.01</v>
      </c>
      <c r="E157" s="11">
        <v>647.65</v>
      </c>
      <c r="F157" s="11">
        <v>1301.17</v>
      </c>
      <c r="G157" s="11">
        <v>610.53</v>
      </c>
      <c r="H157" s="3"/>
      <c r="I157" s="11">
        <v>82</v>
      </c>
      <c r="J157" s="11">
        <v>82</v>
      </c>
      <c r="K157" s="3"/>
      <c r="L157" s="11">
        <f>+'[1]Non-Union - 3.5%'!$R$47</f>
        <v>37.781639999999996</v>
      </c>
      <c r="M157" s="38">
        <f t="shared" si="5"/>
        <v>0.4607517073170731</v>
      </c>
    </row>
    <row r="158" spans="1:13" ht="15" hidden="1" x14ac:dyDescent="0.2">
      <c r="A158" s="14">
        <v>6071300</v>
      </c>
      <c r="B158" s="15" t="s">
        <v>211</v>
      </c>
      <c r="C158" s="16">
        <v>0</v>
      </c>
      <c r="D158" s="11">
        <v>421.17</v>
      </c>
      <c r="E158" s="11">
        <v>188.65</v>
      </c>
      <c r="F158" s="11"/>
      <c r="G158" s="11">
        <v>0</v>
      </c>
      <c r="H158" s="3"/>
      <c r="I158" s="11">
        <v>250</v>
      </c>
      <c r="J158" s="11">
        <v>250</v>
      </c>
      <c r="K158" s="3"/>
      <c r="L158" s="11">
        <v>250</v>
      </c>
      <c r="M158" s="38">
        <f t="shared" si="5"/>
        <v>1</v>
      </c>
    </row>
    <row r="159" spans="1:13" ht="15" hidden="1" x14ac:dyDescent="0.2">
      <c r="A159" s="14" t="s">
        <v>212</v>
      </c>
      <c r="B159" s="15" t="s">
        <v>160</v>
      </c>
      <c r="C159" s="16">
        <v>749</v>
      </c>
      <c r="D159" s="11">
        <v>1967.46</v>
      </c>
      <c r="E159" s="11">
        <v>1154.2</v>
      </c>
      <c r="F159" s="11">
        <v>629.27</v>
      </c>
      <c r="G159" s="11">
        <v>907.21</v>
      </c>
      <c r="H159" s="3"/>
      <c r="I159" s="11">
        <v>1200</v>
      </c>
      <c r="J159" s="11">
        <v>1200</v>
      </c>
      <c r="K159" s="3"/>
      <c r="L159" s="11">
        <v>1200</v>
      </c>
      <c r="M159" s="38">
        <f t="shared" si="5"/>
        <v>1</v>
      </c>
    </row>
    <row r="160" spans="1:13" ht="15" hidden="1" x14ac:dyDescent="0.2">
      <c r="A160" s="14" t="s">
        <v>213</v>
      </c>
      <c r="B160" s="15" t="s">
        <v>80</v>
      </c>
      <c r="C160" s="16">
        <v>444</v>
      </c>
      <c r="D160" s="11">
        <v>1106.8800000000001</v>
      </c>
      <c r="E160" s="11">
        <v>0</v>
      </c>
      <c r="F160" s="11"/>
      <c r="G160" s="11">
        <v>0</v>
      </c>
      <c r="H160" s="3"/>
      <c r="I160" s="11">
        <v>500</v>
      </c>
      <c r="J160" s="11">
        <v>500</v>
      </c>
      <c r="K160" s="3"/>
      <c r="L160" s="11">
        <v>250</v>
      </c>
      <c r="M160" s="38">
        <f t="shared" si="5"/>
        <v>0.5</v>
      </c>
    </row>
    <row r="161" spans="1:15" ht="15" hidden="1" x14ac:dyDescent="0.2">
      <c r="A161" s="14"/>
      <c r="B161" s="15"/>
      <c r="C161" s="16"/>
      <c r="D161" s="11"/>
      <c r="E161" s="11"/>
      <c r="F161" s="11"/>
      <c r="G161" s="11"/>
      <c r="H161" s="3"/>
      <c r="I161" s="11"/>
      <c r="J161" s="11"/>
      <c r="K161" s="3"/>
      <c r="L161" s="11"/>
    </row>
    <row r="162" spans="1:15" s="20" customFormat="1" ht="15" hidden="1" x14ac:dyDescent="0.25">
      <c r="A162" s="29"/>
      <c r="B162" s="30" t="s">
        <v>214</v>
      </c>
      <c r="C162" s="16">
        <f>SUM(C154:C160)</f>
        <v>46436</v>
      </c>
      <c r="D162" s="11">
        <f>SUM(D154:D160)</f>
        <v>69148.740000000005</v>
      </c>
      <c r="E162" s="11">
        <f>SUM(E154:E160)</f>
        <v>38597.240000000005</v>
      </c>
      <c r="F162" s="11">
        <f>SUM(F154:F160)</f>
        <v>45125.039999999994</v>
      </c>
      <c r="G162" s="11">
        <f>SUM(G154:G160)</f>
        <v>29300.609999999997</v>
      </c>
      <c r="H162" s="3"/>
      <c r="I162" s="11">
        <f>SUM(I154:I160)</f>
        <v>69920</v>
      </c>
      <c r="J162" s="11">
        <f>SUM(J154:J160)</f>
        <v>45232</v>
      </c>
      <c r="K162" s="3"/>
      <c r="L162" s="11">
        <f>SUM(L154:L160)</f>
        <v>33375.605639999994</v>
      </c>
      <c r="M162" s="38">
        <f>+L162/J162</f>
        <v>0.73787596480367867</v>
      </c>
      <c r="O162" s="44"/>
    </row>
    <row r="163" spans="1:15" s="20" customFormat="1" ht="15" hidden="1" x14ac:dyDescent="0.25">
      <c r="A163" s="29"/>
      <c r="B163" s="30"/>
      <c r="C163" s="16"/>
      <c r="D163" s="11"/>
      <c r="E163" s="11"/>
      <c r="F163" s="11"/>
      <c r="G163" s="11"/>
      <c r="H163" s="3"/>
      <c r="I163" s="11"/>
      <c r="J163" s="11"/>
      <c r="K163" s="3"/>
      <c r="L163" s="11"/>
      <c r="M163" s="38"/>
      <c r="O163" s="44"/>
    </row>
    <row r="164" spans="1:15" ht="15" hidden="1" x14ac:dyDescent="0.25">
      <c r="A164" s="17" t="s">
        <v>21</v>
      </c>
      <c r="B164" s="18" t="s">
        <v>215</v>
      </c>
      <c r="C164" s="11">
        <f>+C162+C152+C136+C111+C86</f>
        <v>1151613</v>
      </c>
      <c r="D164" s="11">
        <f>+D162+D152+D136+D111+D86</f>
        <v>1341454.58</v>
      </c>
      <c r="E164" s="11">
        <f>+E162+E152+E136+E111+E86</f>
        <v>1196697.2400000002</v>
      </c>
      <c r="F164" s="11">
        <f>+F162+F152+F136+F111+F86</f>
        <v>1526616.7560000001</v>
      </c>
      <c r="G164" s="11">
        <f>+G162+G152+G136+G111+G86</f>
        <v>1215212.9099999999</v>
      </c>
      <c r="H164" s="3"/>
      <c r="I164" s="11">
        <f>+I162+I152+I136+I111+I86</f>
        <v>1634098.3</v>
      </c>
      <c r="J164" s="11">
        <f>+J162+J152+J136+J111+J86</f>
        <v>1749010.3</v>
      </c>
      <c r="K164" s="3"/>
      <c r="L164" s="11">
        <f>+L162+L152+L136+L111+L86</f>
        <v>1726859.0770402863</v>
      </c>
      <c r="M164" s="38">
        <f>+L164/J164</f>
        <v>0.98733499570602079</v>
      </c>
    </row>
    <row r="165" spans="1:15" ht="15" hidden="1" x14ac:dyDescent="0.2">
      <c r="D165" s="11"/>
      <c r="E165" s="11"/>
      <c r="F165" s="11"/>
      <c r="G165" s="11"/>
      <c r="H165" s="3"/>
      <c r="I165" s="11"/>
      <c r="J165" s="11"/>
      <c r="K165" s="3"/>
      <c r="L165" s="11"/>
    </row>
    <row r="166" spans="1:15" ht="15" hidden="1" x14ac:dyDescent="0.25">
      <c r="A166" s="9" t="s">
        <v>216</v>
      </c>
      <c r="B166" s="10" t="s">
        <v>217</v>
      </c>
      <c r="D166" s="11"/>
      <c r="E166" s="11"/>
      <c r="F166" s="11"/>
      <c r="G166" s="11"/>
      <c r="H166" s="3"/>
      <c r="I166" s="11"/>
      <c r="J166" s="11"/>
      <c r="K166" s="3"/>
      <c r="L166" s="11"/>
    </row>
    <row r="167" spans="1:15" ht="15" hidden="1" x14ac:dyDescent="0.25">
      <c r="A167" s="12" t="s">
        <v>9</v>
      </c>
      <c r="B167" s="13" t="s">
        <v>10</v>
      </c>
      <c r="D167" s="11"/>
      <c r="E167" s="11"/>
      <c r="F167" s="11"/>
      <c r="G167" s="11"/>
      <c r="H167" s="3"/>
      <c r="I167" s="11"/>
      <c r="J167" s="11"/>
      <c r="K167" s="3"/>
      <c r="L167" s="11"/>
    </row>
    <row r="168" spans="1:15" ht="15" hidden="1" x14ac:dyDescent="0.2">
      <c r="A168" s="14" t="s">
        <v>218</v>
      </c>
      <c r="B168" s="15" t="s">
        <v>219</v>
      </c>
      <c r="C168" s="16">
        <v>676230</v>
      </c>
      <c r="D168" s="11">
        <v>793144.54</v>
      </c>
      <c r="E168" s="11">
        <v>725138.85</v>
      </c>
      <c r="F168" s="11">
        <v>1037671.5</v>
      </c>
      <c r="G168" s="11">
        <v>861248.2</v>
      </c>
      <c r="H168" s="3"/>
      <c r="I168" s="11">
        <v>1150000</v>
      </c>
      <c r="J168" s="11">
        <v>1320000</v>
      </c>
      <c r="K168" s="3"/>
      <c r="L168" s="11">
        <f>+'[1]Non-Union - 3.5%'!$I$17+[1]Union!$H$22+[1]Union!$U$22+[1]Union!$V$22+[1]Union!$W$22</f>
        <v>1347217.3961057691</v>
      </c>
      <c r="M168" s="38">
        <f t="shared" ref="M168:M185" si="6">+L168/J168</f>
        <v>1.0206192394740674</v>
      </c>
    </row>
    <row r="169" spans="1:15" ht="15" hidden="1" x14ac:dyDescent="0.2">
      <c r="A169" s="14" t="s">
        <v>220</v>
      </c>
      <c r="B169" s="15" t="s">
        <v>221</v>
      </c>
      <c r="C169" s="16">
        <v>0</v>
      </c>
      <c r="D169" s="11">
        <v>2250</v>
      </c>
      <c r="E169" s="11">
        <v>9570</v>
      </c>
      <c r="F169" s="11">
        <v>50469.64</v>
      </c>
      <c r="G169" s="11">
        <v>31345</v>
      </c>
      <c r="H169" s="3"/>
      <c r="I169" s="11">
        <v>55120</v>
      </c>
      <c r="J169" s="11">
        <v>55120</v>
      </c>
      <c r="K169" s="3"/>
      <c r="L169" s="11">
        <v>50000</v>
      </c>
      <c r="M169" s="38">
        <f t="shared" si="6"/>
        <v>0.90711175616835993</v>
      </c>
    </row>
    <row r="170" spans="1:15" ht="15" hidden="1" x14ac:dyDescent="0.2">
      <c r="A170" s="14" t="s">
        <v>222</v>
      </c>
      <c r="B170" s="15" t="s">
        <v>223</v>
      </c>
      <c r="C170" s="16">
        <v>55881</v>
      </c>
      <c r="D170" s="11">
        <v>57543.17</v>
      </c>
      <c r="E170" s="11">
        <v>55670.48</v>
      </c>
      <c r="F170" s="11">
        <v>82622.080000000002</v>
      </c>
      <c r="G170" s="11">
        <v>62208.480000000003</v>
      </c>
      <c r="H170" s="3"/>
      <c r="I170" s="11">
        <f>8650+12100+68163</f>
        <v>88913</v>
      </c>
      <c r="J170" s="11">
        <v>110009.60000000001</v>
      </c>
      <c r="K170" s="3"/>
      <c r="L170" s="11">
        <f>9253+[1]Union!$O$22+[1]Union!$Z$22</f>
        <v>107777.22048846152</v>
      </c>
      <c r="M170" s="38">
        <f t="shared" si="6"/>
        <v>0.97970741179371179</v>
      </c>
    </row>
    <row r="171" spans="1:15" ht="15" hidden="1" x14ac:dyDescent="0.2">
      <c r="A171" s="14" t="s">
        <v>224</v>
      </c>
      <c r="B171" s="15" t="s">
        <v>225</v>
      </c>
      <c r="C171" s="16">
        <v>152064</v>
      </c>
      <c r="D171" s="11">
        <v>142017.5</v>
      </c>
      <c r="E171" s="11">
        <v>140830.78</v>
      </c>
      <c r="F171" s="11">
        <v>192240.68</v>
      </c>
      <c r="G171" s="11">
        <v>181109.85</v>
      </c>
      <c r="H171" s="3"/>
      <c r="I171" s="11">
        <f>6469+266647+10641+2672+1879</f>
        <v>288308</v>
      </c>
      <c r="J171" s="11">
        <v>288308</v>
      </c>
      <c r="K171" s="3"/>
      <c r="L171" s="11">
        <f>7200+[1]Union!$J$22+[1]Union!$K$22+[1]Union!$L$22+[1]Union!$M$22</f>
        <v>352847.2680000001</v>
      </c>
      <c r="M171" s="38">
        <f t="shared" si="6"/>
        <v>1.223855279770246</v>
      </c>
    </row>
    <row r="172" spans="1:15" ht="15" hidden="1" x14ac:dyDescent="0.2">
      <c r="A172" s="14" t="s">
        <v>226</v>
      </c>
      <c r="B172" s="15" t="s">
        <v>227</v>
      </c>
      <c r="C172" s="16">
        <v>80802</v>
      </c>
      <c r="D172" s="11">
        <v>98566.28</v>
      </c>
      <c r="E172" s="11">
        <v>68124.479999999996</v>
      </c>
      <c r="F172" s="11">
        <v>90168.43</v>
      </c>
      <c r="G172" s="11">
        <v>85964.77</v>
      </c>
      <c r="H172" s="3"/>
      <c r="I172" s="11">
        <f>144847+18380</f>
        <v>163227</v>
      </c>
      <c r="J172" s="11">
        <v>163227</v>
      </c>
      <c r="K172" s="3"/>
      <c r="L172" s="11">
        <f>464+[1]Union!$N$22</f>
        <v>157782.92819999999</v>
      </c>
      <c r="M172" s="38">
        <f t="shared" si="6"/>
        <v>0.9666472348324725</v>
      </c>
    </row>
    <row r="173" spans="1:15" ht="15" hidden="1" x14ac:dyDescent="0.2">
      <c r="A173" s="14" t="s">
        <v>228</v>
      </c>
      <c r="B173" s="15" t="s">
        <v>229</v>
      </c>
      <c r="C173" s="16">
        <v>10188</v>
      </c>
      <c r="D173" s="11">
        <v>16231.68</v>
      </c>
      <c r="E173" s="11">
        <v>5561.98</v>
      </c>
      <c r="F173" s="11">
        <v>77009.759999999995</v>
      </c>
      <c r="G173" s="11">
        <v>24155.46</v>
      </c>
      <c r="H173" s="3"/>
      <c r="I173" s="11">
        <v>20000</v>
      </c>
      <c r="J173" s="11">
        <v>20000</v>
      </c>
      <c r="K173" s="3"/>
      <c r="L173" s="11">
        <v>20000</v>
      </c>
      <c r="M173" s="38">
        <f t="shared" si="6"/>
        <v>1</v>
      </c>
    </row>
    <row r="174" spans="1:15" ht="15" hidden="1" x14ac:dyDescent="0.2">
      <c r="A174" s="14" t="s">
        <v>230</v>
      </c>
      <c r="B174" s="15" t="s">
        <v>231</v>
      </c>
      <c r="C174" s="16">
        <v>25001</v>
      </c>
      <c r="D174" s="11">
        <v>31230.12</v>
      </c>
      <c r="E174" s="11">
        <v>19763.8</v>
      </c>
      <c r="F174" s="11">
        <v>8095.98</v>
      </c>
      <c r="G174" s="11">
        <v>33114.26</v>
      </c>
      <c r="H174" s="3"/>
      <c r="I174" s="11">
        <f>29055+5158+3687</f>
        <v>37900</v>
      </c>
      <c r="J174" s="11">
        <v>37900</v>
      </c>
      <c r="K174" s="3"/>
      <c r="L174" s="11">
        <f>3944+[1]Union!$Q$22+[1]Union!$Y$22</f>
        <v>45939.948983206727</v>
      </c>
      <c r="M174" s="38">
        <f t="shared" si="6"/>
        <v>1.2121358570766947</v>
      </c>
    </row>
    <row r="175" spans="1:15" ht="15" hidden="1" x14ac:dyDescent="0.2">
      <c r="A175" s="14" t="s">
        <v>232</v>
      </c>
      <c r="B175" s="15" t="s">
        <v>233</v>
      </c>
      <c r="C175" s="16">
        <v>120533</v>
      </c>
      <c r="D175" s="11">
        <v>128146.94</v>
      </c>
      <c r="E175" s="11">
        <v>101451.3</v>
      </c>
      <c r="F175" s="11">
        <v>223940.33</v>
      </c>
      <c r="G175" s="11">
        <v>221517.37</v>
      </c>
      <c r="H175" s="3"/>
      <c r="I175" s="11">
        <f>270263+51628</f>
        <v>321891</v>
      </c>
      <c r="J175" s="11">
        <v>321891</v>
      </c>
      <c r="K175" s="3"/>
      <c r="L175" s="11">
        <f>+'[1]Non-Union - 3.5%'!$I$27+'[1]Non-Union - 3.5%'!$V$27</f>
        <v>353446.86481349997</v>
      </c>
      <c r="M175" s="38">
        <f t="shared" si="6"/>
        <v>1.098032765170508</v>
      </c>
    </row>
    <row r="176" spans="1:15" ht="15" hidden="1" x14ac:dyDescent="0.2">
      <c r="A176" s="14" t="s">
        <v>234</v>
      </c>
      <c r="B176" s="15" t="s">
        <v>235</v>
      </c>
      <c r="C176" s="16">
        <v>10228</v>
      </c>
      <c r="D176" s="11">
        <v>11300.56</v>
      </c>
      <c r="E176" s="11">
        <v>8147.5</v>
      </c>
      <c r="F176" s="11">
        <v>17331.79</v>
      </c>
      <c r="G176" s="11">
        <v>15040.61</v>
      </c>
      <c r="H176" s="3"/>
      <c r="I176" s="11">
        <f>21621+4130</f>
        <v>25751</v>
      </c>
      <c r="J176" s="11">
        <v>25751</v>
      </c>
      <c r="K176" s="3"/>
      <c r="L176" s="11">
        <f>+'[1]Non-Union - 3.5%'!$P$27+'[1]Non-Union - 3.5%'!$Z$27</f>
        <v>28275.74918508</v>
      </c>
      <c r="M176" s="38">
        <f t="shared" si="6"/>
        <v>1.0980447044806028</v>
      </c>
    </row>
    <row r="177" spans="1:13" ht="15" hidden="1" x14ac:dyDescent="0.2">
      <c r="A177" s="14" t="s">
        <v>236</v>
      </c>
      <c r="B177" s="15" t="s">
        <v>237</v>
      </c>
      <c r="C177" s="16">
        <v>41198</v>
      </c>
      <c r="D177" s="11">
        <v>39635.67</v>
      </c>
      <c r="E177" s="11">
        <v>23581.19</v>
      </c>
      <c r="F177" s="11">
        <v>78593.440000000002</v>
      </c>
      <c r="G177" s="11">
        <v>70617.97</v>
      </c>
      <c r="H177" s="3"/>
      <c r="I177" s="11">
        <f>122947+5856+1474</f>
        <v>130277</v>
      </c>
      <c r="J177" s="11">
        <v>130277</v>
      </c>
      <c r="K177" s="3"/>
      <c r="L177" s="11">
        <f>+SUM('[1]Non-Union - 3.5%'!$K$27:$N$27)</f>
        <v>129595.01999999999</v>
      </c>
      <c r="M177" s="38">
        <f t="shared" si="6"/>
        <v>0.99476515424825551</v>
      </c>
    </row>
    <row r="178" spans="1:13" ht="15" hidden="1" x14ac:dyDescent="0.2">
      <c r="A178" s="14" t="s">
        <v>238</v>
      </c>
      <c r="B178" s="15" t="s">
        <v>239</v>
      </c>
      <c r="C178" s="16">
        <v>1799</v>
      </c>
      <c r="D178" s="11">
        <v>2200.7800000000002</v>
      </c>
      <c r="E178" s="11">
        <v>3043.2</v>
      </c>
      <c r="F178" s="11">
        <v>1929.9</v>
      </c>
      <c r="G178" s="11">
        <v>1994.23</v>
      </c>
      <c r="H178" s="3"/>
      <c r="I178" s="11">
        <f>4974+986</f>
        <v>5960</v>
      </c>
      <c r="J178" s="11">
        <v>5960</v>
      </c>
      <c r="K178" s="3"/>
      <c r="L178" s="11">
        <f>+'[1]Non-Union - 3.5%'!$O$27+'[1]Non-Union - 3.5%'!$X$27</f>
        <v>3215.8542699999998</v>
      </c>
      <c r="M178" s="38">
        <f t="shared" si="6"/>
        <v>0.53957286409395966</v>
      </c>
    </row>
    <row r="179" spans="1:13" ht="15" hidden="1" x14ac:dyDescent="0.2">
      <c r="A179" s="14">
        <v>6030250</v>
      </c>
      <c r="B179" s="15" t="s">
        <v>240</v>
      </c>
      <c r="C179" s="16"/>
      <c r="D179" s="11"/>
      <c r="E179" s="11"/>
      <c r="F179" s="11">
        <v>218.25</v>
      </c>
      <c r="G179" s="11">
        <v>2698.36</v>
      </c>
      <c r="H179" s="3"/>
      <c r="I179" s="11"/>
      <c r="J179" s="11">
        <v>2700</v>
      </c>
      <c r="K179" s="3"/>
      <c r="L179" s="11">
        <v>1500</v>
      </c>
      <c r="M179" s="38">
        <f t="shared" si="6"/>
        <v>0.55555555555555558</v>
      </c>
    </row>
    <row r="180" spans="1:13" ht="15" hidden="1" x14ac:dyDescent="0.2">
      <c r="A180" s="14" t="s">
        <v>241</v>
      </c>
      <c r="B180" s="15" t="s">
        <v>242</v>
      </c>
      <c r="C180" s="16">
        <v>226</v>
      </c>
      <c r="D180" s="11">
        <v>161.86000000000001</v>
      </c>
      <c r="E180" s="11">
        <v>1384.45</v>
      </c>
      <c r="F180" s="11">
        <v>2698.66</v>
      </c>
      <c r="G180" s="11">
        <v>5311.77</v>
      </c>
      <c r="H180" s="3"/>
      <c r="I180" s="11">
        <f>351+67</f>
        <v>418</v>
      </c>
      <c r="J180" s="11">
        <v>7500</v>
      </c>
      <c r="K180" s="3"/>
      <c r="L180" s="11">
        <f>+'[1]Non-Union - 3.5%'!$R$27+'[1]Non-Union - 3.5%'!$Y$27</f>
        <v>459.48092425754999</v>
      </c>
      <c r="M180" s="38">
        <f t="shared" si="6"/>
        <v>6.1264123234339996E-2</v>
      </c>
    </row>
    <row r="181" spans="1:13" ht="15" hidden="1" x14ac:dyDescent="0.2">
      <c r="A181" s="14" t="s">
        <v>243</v>
      </c>
      <c r="B181" s="15" t="s">
        <v>134</v>
      </c>
      <c r="C181" s="16">
        <v>157168</v>
      </c>
      <c r="D181" s="11">
        <v>166288.71</v>
      </c>
      <c r="E181" s="11">
        <v>205211.96</v>
      </c>
      <c r="F181" s="11">
        <v>202842.41</v>
      </c>
      <c r="G181" s="11">
        <v>177363.55</v>
      </c>
      <c r="H181" s="3"/>
      <c r="I181" s="11">
        <v>190320</v>
      </c>
      <c r="J181" s="11">
        <v>190320</v>
      </c>
      <c r="K181" s="3"/>
      <c r="L181" s="11">
        <v>196737</v>
      </c>
      <c r="M181" s="38">
        <f t="shared" si="6"/>
        <v>1.0337168978562421</v>
      </c>
    </row>
    <row r="182" spans="1:13" ht="15" hidden="1" x14ac:dyDescent="0.2">
      <c r="A182" s="14" t="s">
        <v>244</v>
      </c>
      <c r="B182" s="15" t="s">
        <v>136</v>
      </c>
      <c r="C182" s="16">
        <v>13223</v>
      </c>
      <c r="D182" s="11">
        <v>20974.02</v>
      </c>
      <c r="E182" s="11">
        <v>19302.919999999998</v>
      </c>
      <c r="F182" s="11">
        <v>17279.099999999999</v>
      </c>
      <c r="G182" s="11">
        <v>14898.52</v>
      </c>
      <c r="H182" s="3"/>
      <c r="I182" s="11">
        <v>16250</v>
      </c>
      <c r="J182" s="11">
        <v>16250</v>
      </c>
      <c r="K182" s="3"/>
      <c r="L182" s="11">
        <v>19673.7</v>
      </c>
      <c r="M182" s="38">
        <f t="shared" si="6"/>
        <v>1.2106892307692307</v>
      </c>
    </row>
    <row r="183" spans="1:13" ht="15" hidden="1" x14ac:dyDescent="0.2">
      <c r="A183" s="14" t="s">
        <v>245</v>
      </c>
      <c r="B183" s="15" t="s">
        <v>176</v>
      </c>
      <c r="C183" s="16">
        <v>3513</v>
      </c>
      <c r="D183" s="11">
        <v>3147.89</v>
      </c>
      <c r="E183" s="11">
        <v>2830.45</v>
      </c>
      <c r="F183" s="11">
        <v>11016.29</v>
      </c>
      <c r="G183" s="11">
        <v>17254.490000000002</v>
      </c>
      <c r="H183" s="3"/>
      <c r="I183" s="11">
        <v>8000</v>
      </c>
      <c r="J183" s="11">
        <v>18000</v>
      </c>
      <c r="K183" s="3"/>
      <c r="L183" s="11">
        <v>12000</v>
      </c>
      <c r="M183" s="38">
        <f t="shared" si="6"/>
        <v>0.66666666666666663</v>
      </c>
    </row>
    <row r="184" spans="1:13" ht="15" hidden="1" x14ac:dyDescent="0.2">
      <c r="A184" s="14" t="s">
        <v>246</v>
      </c>
      <c r="B184" s="15" t="s">
        <v>138</v>
      </c>
      <c r="C184" s="16">
        <v>7876</v>
      </c>
      <c r="D184" s="11">
        <v>8659.57</v>
      </c>
      <c r="E184" s="11">
        <v>4580.3500000000004</v>
      </c>
      <c r="F184" s="11">
        <v>5397.32</v>
      </c>
      <c r="G184" s="11">
        <v>3477.22</v>
      </c>
      <c r="H184" s="3"/>
      <c r="I184" s="11">
        <v>6489.91</v>
      </c>
      <c r="J184" s="11">
        <v>6489.91</v>
      </c>
      <c r="K184" s="3"/>
      <c r="L184" s="11">
        <v>6708.73</v>
      </c>
      <c r="M184" s="38">
        <f t="shared" si="6"/>
        <v>1.0337169544724041</v>
      </c>
    </row>
    <row r="185" spans="1:13" ht="15" hidden="1" x14ac:dyDescent="0.2">
      <c r="A185" s="14" t="s">
        <v>247</v>
      </c>
      <c r="B185" s="15" t="s">
        <v>140</v>
      </c>
      <c r="C185" s="16">
        <v>22435</v>
      </c>
      <c r="D185" s="11">
        <v>18414.25</v>
      </c>
      <c r="E185" s="11">
        <v>15920.44</v>
      </c>
      <c r="F185" s="11">
        <v>26310.71</v>
      </c>
      <c r="G185" s="11">
        <v>13795.04</v>
      </c>
      <c r="H185" s="3"/>
      <c r="I185" s="11">
        <v>15500</v>
      </c>
      <c r="J185" s="11">
        <v>15500</v>
      </c>
      <c r="K185" s="3"/>
      <c r="L185" s="11">
        <v>16500</v>
      </c>
      <c r="M185" s="38">
        <f t="shared" si="6"/>
        <v>1.064516129032258</v>
      </c>
    </row>
    <row r="186" spans="1:13" ht="15" hidden="1" x14ac:dyDescent="0.2">
      <c r="A186" s="14" t="s">
        <v>248</v>
      </c>
      <c r="B186" s="15" t="s">
        <v>142</v>
      </c>
      <c r="C186" s="16">
        <v>2450</v>
      </c>
      <c r="D186" s="11">
        <v>2907.5</v>
      </c>
      <c r="E186" s="11">
        <v>2212.98</v>
      </c>
      <c r="F186" s="11">
        <v>2995</v>
      </c>
      <c r="G186" s="11">
        <v>0</v>
      </c>
      <c r="H186" s="3"/>
      <c r="I186" s="11"/>
      <c r="J186" s="11">
        <v>0</v>
      </c>
      <c r="K186" s="3"/>
      <c r="L186" s="11"/>
    </row>
    <row r="187" spans="1:13" ht="15" hidden="1" x14ac:dyDescent="0.2">
      <c r="A187" s="14" t="s">
        <v>249</v>
      </c>
      <c r="B187" s="15" t="s">
        <v>144</v>
      </c>
      <c r="C187" s="16">
        <v>212</v>
      </c>
      <c r="D187" s="11">
        <v>427.5</v>
      </c>
      <c r="E187" s="11">
        <v>432</v>
      </c>
      <c r="F187" s="11">
        <v>438</v>
      </c>
      <c r="G187" s="11">
        <v>0</v>
      </c>
      <c r="H187" s="3"/>
      <c r="I187" s="11"/>
      <c r="J187" s="11">
        <v>0</v>
      </c>
      <c r="K187" s="3"/>
      <c r="L187" s="11"/>
    </row>
    <row r="188" spans="1:13" ht="15" hidden="1" x14ac:dyDescent="0.2">
      <c r="A188" s="14" t="s">
        <v>250</v>
      </c>
      <c r="B188" s="15" t="s">
        <v>146</v>
      </c>
      <c r="C188" s="16">
        <v>3711</v>
      </c>
      <c r="D188" s="11">
        <v>2791.67</v>
      </c>
      <c r="E188" s="11">
        <v>2687.27</v>
      </c>
      <c r="F188" s="11">
        <v>5448.95</v>
      </c>
      <c r="G188" s="11">
        <v>0</v>
      </c>
      <c r="H188" s="3"/>
      <c r="I188" s="11"/>
      <c r="J188" s="11">
        <v>0</v>
      </c>
      <c r="K188" s="3"/>
      <c r="L188" s="11"/>
    </row>
    <row r="189" spans="1:13" ht="15" hidden="1" x14ac:dyDescent="0.2">
      <c r="A189" s="14" t="s">
        <v>251</v>
      </c>
      <c r="B189" s="15" t="s">
        <v>182</v>
      </c>
      <c r="C189" s="16">
        <v>23160</v>
      </c>
      <c r="D189" s="11">
        <v>40171.89</v>
      </c>
      <c r="E189" s="11">
        <v>39764.980000000003</v>
      </c>
      <c r="F189" s="11">
        <v>47323.88</v>
      </c>
      <c r="G189" s="11">
        <v>39158.04</v>
      </c>
      <c r="H189" s="3"/>
      <c r="I189" s="11">
        <v>55000</v>
      </c>
      <c r="J189" s="11">
        <v>55000</v>
      </c>
      <c r="K189" s="3"/>
      <c r="L189" s="11">
        <v>55000</v>
      </c>
      <c r="M189" s="38">
        <f t="shared" ref="M189:M202" si="7">+L189/J189</f>
        <v>1</v>
      </c>
    </row>
    <row r="190" spans="1:13" ht="15" hidden="1" x14ac:dyDescent="0.2">
      <c r="A190" s="14">
        <v>6030603</v>
      </c>
      <c r="B190" s="15" t="s">
        <v>252</v>
      </c>
      <c r="C190" s="16"/>
      <c r="D190" s="11"/>
      <c r="E190" s="11"/>
      <c r="F190" s="11"/>
      <c r="G190" s="11">
        <v>1053.7</v>
      </c>
      <c r="H190" s="3"/>
      <c r="I190" s="11"/>
      <c r="J190" s="11">
        <v>2500</v>
      </c>
      <c r="K190" s="3"/>
      <c r="L190" s="11">
        <v>5000</v>
      </c>
      <c r="M190" s="38">
        <f t="shared" si="7"/>
        <v>2</v>
      </c>
    </row>
    <row r="191" spans="1:13" ht="15" hidden="1" x14ac:dyDescent="0.2">
      <c r="A191" s="14">
        <v>6030605</v>
      </c>
      <c r="B191" s="15" t="s">
        <v>148</v>
      </c>
      <c r="C191" s="16"/>
      <c r="D191" s="11"/>
      <c r="E191" s="11"/>
      <c r="F191" s="11">
        <v>60.52</v>
      </c>
      <c r="G191" s="11">
        <v>298.3</v>
      </c>
      <c r="H191" s="3"/>
      <c r="I191" s="11"/>
      <c r="J191" s="11">
        <v>500</v>
      </c>
      <c r="K191" s="3"/>
      <c r="L191" s="11">
        <v>500</v>
      </c>
      <c r="M191" s="38">
        <f t="shared" si="7"/>
        <v>1</v>
      </c>
    </row>
    <row r="192" spans="1:13" ht="15" hidden="1" x14ac:dyDescent="0.2">
      <c r="A192" s="14" t="s">
        <v>253</v>
      </c>
      <c r="B192" s="15" t="s">
        <v>254</v>
      </c>
      <c r="C192" s="16">
        <v>34396</v>
      </c>
      <c r="D192" s="11">
        <v>27464.74</v>
      </c>
      <c r="E192" s="11">
        <v>37672.65</v>
      </c>
      <c r="F192" s="11">
        <v>37423.78</v>
      </c>
      <c r="G192" s="11">
        <v>30506.62</v>
      </c>
      <c r="H192" s="3"/>
      <c r="I192" s="11">
        <v>25000</v>
      </c>
      <c r="J192" s="11">
        <v>35000</v>
      </c>
      <c r="K192" s="3"/>
      <c r="L192" s="11">
        <v>30000</v>
      </c>
      <c r="M192" s="38">
        <f t="shared" si="7"/>
        <v>0.8571428571428571</v>
      </c>
    </row>
    <row r="193" spans="1:13" ht="15" hidden="1" x14ac:dyDescent="0.2">
      <c r="A193" s="14" t="s">
        <v>255</v>
      </c>
      <c r="B193" s="15" t="s">
        <v>152</v>
      </c>
      <c r="C193" s="16">
        <v>10778</v>
      </c>
      <c r="D193" s="11">
        <v>10367.9</v>
      </c>
      <c r="E193" s="11">
        <v>12796.5</v>
      </c>
      <c r="F193" s="11">
        <v>5873</v>
      </c>
      <c r="G193" s="11">
        <v>2134</v>
      </c>
      <c r="H193" s="3"/>
      <c r="I193" s="11">
        <v>20000</v>
      </c>
      <c r="J193" s="11">
        <v>5000</v>
      </c>
      <c r="K193" s="3"/>
      <c r="L193" s="11">
        <v>5000</v>
      </c>
      <c r="M193" s="38">
        <f t="shared" si="7"/>
        <v>1</v>
      </c>
    </row>
    <row r="194" spans="1:13" ht="15" hidden="1" x14ac:dyDescent="0.2">
      <c r="A194" s="14">
        <v>6031125</v>
      </c>
      <c r="B194" s="15" t="s">
        <v>256</v>
      </c>
      <c r="C194" s="16"/>
      <c r="D194" s="11"/>
      <c r="E194" s="11"/>
      <c r="F194" s="11"/>
      <c r="G194" s="11"/>
      <c r="H194" s="3"/>
      <c r="I194" s="11"/>
      <c r="J194" s="11"/>
      <c r="K194" s="3"/>
      <c r="L194" s="11">
        <v>5000</v>
      </c>
    </row>
    <row r="195" spans="1:13" ht="15" hidden="1" x14ac:dyDescent="0.2">
      <c r="A195" s="14" t="s">
        <v>257</v>
      </c>
      <c r="B195" s="15" t="s">
        <v>154</v>
      </c>
      <c r="C195" s="16">
        <v>79702</v>
      </c>
      <c r="D195" s="11">
        <v>130573.42</v>
      </c>
      <c r="E195" s="11">
        <v>122123.95</v>
      </c>
      <c r="F195" s="11">
        <v>133717.14000000001</v>
      </c>
      <c r="G195" s="11">
        <v>93612.93</v>
      </c>
      <c r="H195" s="3"/>
      <c r="I195" s="11">
        <v>150000</v>
      </c>
      <c r="J195" s="11">
        <v>150000</v>
      </c>
      <c r="K195" s="3"/>
      <c r="L195" s="11">
        <v>150000</v>
      </c>
      <c r="M195" s="38">
        <f t="shared" si="7"/>
        <v>1</v>
      </c>
    </row>
    <row r="196" spans="1:13" ht="15" hidden="1" x14ac:dyDescent="0.2">
      <c r="A196" s="14" t="s">
        <v>258</v>
      </c>
      <c r="B196" s="15" t="s">
        <v>156</v>
      </c>
      <c r="C196" s="16">
        <v>1251</v>
      </c>
      <c r="D196" s="11">
        <v>1205.47</v>
      </c>
      <c r="E196" s="11">
        <v>676.74</v>
      </c>
      <c r="F196" s="11">
        <v>26669.61</v>
      </c>
      <c r="G196" s="11">
        <v>20247.98</v>
      </c>
      <c r="H196" s="3"/>
      <c r="I196" s="11">
        <v>1000</v>
      </c>
      <c r="J196" s="11">
        <v>25000</v>
      </c>
      <c r="K196" s="3"/>
      <c r="L196" s="11">
        <v>80000</v>
      </c>
      <c r="M196" s="38">
        <f t="shared" si="7"/>
        <v>3.2</v>
      </c>
    </row>
    <row r="197" spans="1:13" ht="15" hidden="1" x14ac:dyDescent="0.2">
      <c r="A197" s="14" t="s">
        <v>259</v>
      </c>
      <c r="B197" s="15" t="s">
        <v>260</v>
      </c>
      <c r="C197" s="16">
        <v>12089</v>
      </c>
      <c r="D197" s="11">
        <v>7365.48</v>
      </c>
      <c r="E197" s="11">
        <v>12852.77</v>
      </c>
      <c r="F197" s="11">
        <v>30031.31</v>
      </c>
      <c r="G197" s="11">
        <v>7534.9</v>
      </c>
      <c r="H197" s="3"/>
      <c r="I197" s="11">
        <v>15000</v>
      </c>
      <c r="J197" s="11">
        <v>13000</v>
      </c>
      <c r="K197" s="3"/>
      <c r="L197" s="11">
        <v>20000</v>
      </c>
      <c r="M197" s="38">
        <f t="shared" si="7"/>
        <v>1.5384615384615385</v>
      </c>
    </row>
    <row r="198" spans="1:13" ht="15" hidden="1" x14ac:dyDescent="0.2">
      <c r="A198" s="14">
        <v>6031425</v>
      </c>
      <c r="B198" s="15" t="s">
        <v>261</v>
      </c>
      <c r="C198" s="16">
        <v>0</v>
      </c>
      <c r="D198" s="11"/>
      <c r="E198" s="11"/>
      <c r="F198" s="11">
        <v>95</v>
      </c>
      <c r="G198" s="11">
        <v>596.29999999999995</v>
      </c>
      <c r="H198" s="3"/>
      <c r="I198" s="11"/>
      <c r="J198" s="11">
        <v>1000</v>
      </c>
      <c r="K198" s="3"/>
      <c r="L198" s="11">
        <v>2500</v>
      </c>
      <c r="M198" s="38">
        <f t="shared" si="7"/>
        <v>2.5</v>
      </c>
    </row>
    <row r="199" spans="1:13" ht="15" hidden="1" x14ac:dyDescent="0.2">
      <c r="A199" s="14">
        <v>6031450</v>
      </c>
      <c r="B199" s="15" t="s">
        <v>262</v>
      </c>
      <c r="C199" s="16">
        <v>0</v>
      </c>
      <c r="D199" s="11"/>
      <c r="E199" s="11"/>
      <c r="F199" s="11">
        <v>3769.13</v>
      </c>
      <c r="G199" s="11">
        <v>950</v>
      </c>
      <c r="H199" s="3"/>
      <c r="I199" s="11"/>
      <c r="J199" s="11">
        <v>1000</v>
      </c>
      <c r="K199" s="3"/>
      <c r="L199" s="11">
        <v>2000</v>
      </c>
      <c r="M199" s="38">
        <f t="shared" si="7"/>
        <v>2</v>
      </c>
    </row>
    <row r="200" spans="1:13" ht="15" hidden="1" x14ac:dyDescent="0.2">
      <c r="A200" s="14">
        <v>6031475</v>
      </c>
      <c r="B200" s="15" t="s">
        <v>263</v>
      </c>
      <c r="C200" s="16">
        <v>0</v>
      </c>
      <c r="D200" s="11"/>
      <c r="E200" s="11"/>
      <c r="F200" s="11">
        <v>24300.38</v>
      </c>
      <c r="G200" s="11">
        <v>22633.52</v>
      </c>
      <c r="H200" s="3"/>
      <c r="I200" s="11">
        <v>14000</v>
      </c>
      <c r="J200" s="11">
        <v>25000</v>
      </c>
      <c r="K200" s="3"/>
      <c r="L200" s="11">
        <v>30000</v>
      </c>
      <c r="M200" s="38">
        <f t="shared" si="7"/>
        <v>1.2</v>
      </c>
    </row>
    <row r="201" spans="1:13" ht="15" hidden="1" x14ac:dyDescent="0.2">
      <c r="A201" s="14" t="s">
        <v>264</v>
      </c>
      <c r="B201" s="15" t="s">
        <v>160</v>
      </c>
      <c r="C201" s="16">
        <v>3315</v>
      </c>
      <c r="D201" s="11">
        <v>12980.28</v>
      </c>
      <c r="E201" s="11">
        <v>9569.81</v>
      </c>
      <c r="F201" s="11">
        <v>30857.39</v>
      </c>
      <c r="G201" s="11">
        <v>13232.95</v>
      </c>
      <c r="H201" s="3"/>
      <c r="I201" s="11">
        <v>12000</v>
      </c>
      <c r="J201" s="11">
        <v>15000</v>
      </c>
      <c r="K201" s="3"/>
      <c r="L201" s="11">
        <v>15000</v>
      </c>
      <c r="M201" s="38">
        <f t="shared" si="7"/>
        <v>1</v>
      </c>
    </row>
    <row r="202" spans="1:13" ht="15" hidden="1" x14ac:dyDescent="0.2">
      <c r="A202" s="14">
        <v>6031550</v>
      </c>
      <c r="B202" s="15" t="s">
        <v>265</v>
      </c>
      <c r="C202" s="16">
        <v>0</v>
      </c>
      <c r="D202" s="11"/>
      <c r="E202" s="11"/>
      <c r="F202" s="11">
        <v>38652.86</v>
      </c>
      <c r="G202" s="11">
        <v>19372.22</v>
      </c>
      <c r="H202" s="3"/>
      <c r="I202" s="11">
        <v>8000</v>
      </c>
      <c r="J202" s="11">
        <v>20000</v>
      </c>
      <c r="K202" s="3"/>
      <c r="L202" s="11">
        <v>12000</v>
      </c>
      <c r="M202" s="38">
        <f t="shared" si="7"/>
        <v>0.6</v>
      </c>
    </row>
    <row r="203" spans="1:13" ht="15" hidden="1" x14ac:dyDescent="0.2">
      <c r="A203" s="14">
        <v>6031600</v>
      </c>
      <c r="B203" s="15" t="s">
        <v>162</v>
      </c>
      <c r="C203" s="16">
        <v>0</v>
      </c>
      <c r="D203" s="11"/>
      <c r="E203" s="11"/>
      <c r="F203" s="11">
        <v>127.5</v>
      </c>
      <c r="G203" s="11">
        <v>0</v>
      </c>
      <c r="H203" s="3"/>
      <c r="I203" s="11"/>
      <c r="J203" s="11">
        <v>0</v>
      </c>
      <c r="K203" s="3"/>
      <c r="L203" s="11"/>
    </row>
    <row r="204" spans="1:13" ht="15" hidden="1" x14ac:dyDescent="0.2">
      <c r="A204" s="14" t="s">
        <v>266</v>
      </c>
      <c r="B204" s="15" t="s">
        <v>80</v>
      </c>
      <c r="C204" s="16">
        <v>7736</v>
      </c>
      <c r="D204" s="11">
        <v>5581.8</v>
      </c>
      <c r="E204" s="11">
        <v>2006.93</v>
      </c>
      <c r="F204" s="11">
        <v>9088.06</v>
      </c>
      <c r="G204" s="11">
        <v>10108.780000000001</v>
      </c>
      <c r="H204" s="3"/>
      <c r="I204" s="11">
        <v>5000</v>
      </c>
      <c r="J204" s="11">
        <v>11000</v>
      </c>
      <c r="K204" s="3"/>
      <c r="L204" s="11">
        <v>15100</v>
      </c>
      <c r="M204" s="38">
        <f>+L204/J204</f>
        <v>1.3727272727272728</v>
      </c>
    </row>
    <row r="205" spans="1:13" ht="15" hidden="1" x14ac:dyDescent="0.2">
      <c r="A205" s="14" t="s">
        <v>267</v>
      </c>
      <c r="B205" s="15" t="s">
        <v>164</v>
      </c>
      <c r="C205" s="16">
        <v>22395</v>
      </c>
      <c r="D205" s="11">
        <v>13233.24</v>
      </c>
      <c r="E205" s="11">
        <v>6173.44</v>
      </c>
      <c r="F205" s="11">
        <v>18739.400000000001</v>
      </c>
      <c r="G205" s="11">
        <v>48228.57</v>
      </c>
      <c r="H205" s="3"/>
      <c r="I205" s="11">
        <v>10000</v>
      </c>
      <c r="J205" s="11">
        <v>50000</v>
      </c>
      <c r="K205" s="3"/>
      <c r="L205" s="11">
        <v>1000</v>
      </c>
      <c r="M205" s="38">
        <f>+L205/J205</f>
        <v>0.02</v>
      </c>
    </row>
    <row r="206" spans="1:13" ht="15" hidden="1" x14ac:dyDescent="0.2">
      <c r="A206" s="14" t="s">
        <v>268</v>
      </c>
      <c r="B206" s="15" t="s">
        <v>269</v>
      </c>
      <c r="C206" s="16">
        <v>0</v>
      </c>
      <c r="D206" s="11">
        <v>1016.49</v>
      </c>
      <c r="E206" s="11">
        <v>746.03</v>
      </c>
      <c r="F206" s="11">
        <v>3306.25</v>
      </c>
      <c r="G206" s="11">
        <v>1580.17</v>
      </c>
      <c r="H206" s="3"/>
      <c r="I206" s="11">
        <v>1000</v>
      </c>
      <c r="J206" s="11">
        <v>1000</v>
      </c>
      <c r="K206" s="3"/>
      <c r="L206" s="11">
        <v>1500</v>
      </c>
      <c r="M206" s="38">
        <f>+L206/J206</f>
        <v>1.5</v>
      </c>
    </row>
    <row r="207" spans="1:13" ht="15" hidden="1" x14ac:dyDescent="0.2">
      <c r="A207" s="14" t="s">
        <v>270</v>
      </c>
      <c r="B207" s="15" t="s">
        <v>191</v>
      </c>
      <c r="C207" s="16">
        <v>69</v>
      </c>
      <c r="D207" s="11">
        <v>141252</v>
      </c>
      <c r="E207" s="11">
        <v>86987.44</v>
      </c>
      <c r="F207" s="11">
        <v>13770.45</v>
      </c>
      <c r="G207" s="11">
        <v>23304.49</v>
      </c>
      <c r="H207" s="3"/>
      <c r="I207" s="11">
        <v>0</v>
      </c>
      <c r="J207" s="11">
        <v>20000</v>
      </c>
      <c r="K207" s="3"/>
      <c r="L207" s="11">
        <v>10000</v>
      </c>
      <c r="M207" s="38">
        <f>+L207/J207</f>
        <v>0.5</v>
      </c>
    </row>
    <row r="208" spans="1:13" ht="15" hidden="1" x14ac:dyDescent="0.2">
      <c r="A208" s="21"/>
      <c r="B208" s="22"/>
      <c r="C208" s="16"/>
      <c r="D208" s="11"/>
      <c r="E208" s="11"/>
      <c r="F208" s="11"/>
      <c r="G208" s="11"/>
      <c r="H208" s="3"/>
      <c r="I208" s="11"/>
      <c r="J208" s="11"/>
      <c r="K208" s="3"/>
      <c r="L208" s="11"/>
    </row>
    <row r="209" spans="1:13" ht="15" hidden="1" x14ac:dyDescent="0.25">
      <c r="A209" s="17" t="s">
        <v>21</v>
      </c>
      <c r="B209" s="18" t="s">
        <v>271</v>
      </c>
      <c r="C209" s="19">
        <f>SUM(C168:C208)</f>
        <v>1579629</v>
      </c>
      <c r="D209" s="11">
        <f>SUM(D168:D208)</f>
        <v>1937252.9199999997</v>
      </c>
      <c r="E209" s="11">
        <f>SUM(E168:E208)</f>
        <v>1746817.6199999994</v>
      </c>
      <c r="F209" s="11">
        <f>SUM(F168:F208)</f>
        <v>2558523.8799999994</v>
      </c>
      <c r="G209" s="11">
        <f>SUM(G168:G208)</f>
        <v>2157668.6200000006</v>
      </c>
      <c r="H209" s="3"/>
      <c r="I209" s="11">
        <f>SUM(I168:I208)</f>
        <v>2840324.91</v>
      </c>
      <c r="J209" s="11">
        <f>SUM(J168:J208)</f>
        <v>3165203.5100000002</v>
      </c>
      <c r="K209" s="3"/>
      <c r="L209" s="11">
        <f>SUM(L168:L208)</f>
        <v>3289277.1609702753</v>
      </c>
      <c r="M209" s="38">
        <f>+L209/J209</f>
        <v>1.0391992649377149</v>
      </c>
    </row>
    <row r="210" spans="1:13" ht="15" hidden="1" x14ac:dyDescent="0.2">
      <c r="D210" s="11"/>
      <c r="E210" s="11"/>
      <c r="F210" s="11"/>
      <c r="G210" s="11"/>
      <c r="H210" s="3"/>
      <c r="I210" s="11"/>
      <c r="J210" s="11"/>
      <c r="K210" s="3"/>
      <c r="L210" s="11"/>
    </row>
    <row r="211" spans="1:13" ht="15" hidden="1" x14ac:dyDescent="0.25">
      <c r="A211" s="9" t="s">
        <v>272</v>
      </c>
      <c r="B211" s="10" t="s">
        <v>273</v>
      </c>
      <c r="D211" s="11"/>
      <c r="E211" s="11"/>
      <c r="F211" s="11"/>
      <c r="G211" s="11"/>
      <c r="H211" s="3"/>
      <c r="I211" s="11"/>
      <c r="J211" s="11"/>
      <c r="K211" s="3"/>
      <c r="L211" s="11"/>
    </row>
    <row r="212" spans="1:13" ht="15" hidden="1" x14ac:dyDescent="0.25">
      <c r="A212" s="12" t="s">
        <v>9</v>
      </c>
      <c r="B212" s="13" t="s">
        <v>10</v>
      </c>
      <c r="D212" s="11"/>
      <c r="E212" s="11"/>
      <c r="F212" s="11"/>
      <c r="G212" s="11"/>
      <c r="H212" s="3"/>
      <c r="I212" s="11"/>
      <c r="J212" s="11"/>
      <c r="K212" s="3"/>
      <c r="L212" s="11"/>
    </row>
    <row r="213" spans="1:13" ht="15" hidden="1" x14ac:dyDescent="0.2">
      <c r="A213" s="14" t="s">
        <v>274</v>
      </c>
      <c r="B213" s="15" t="s">
        <v>275</v>
      </c>
      <c r="C213" s="16">
        <v>9277</v>
      </c>
      <c r="D213" s="11">
        <v>5577.97</v>
      </c>
      <c r="E213" s="11">
        <v>4875.72</v>
      </c>
      <c r="F213" s="11">
        <v>9487.18</v>
      </c>
      <c r="G213" s="11">
        <v>7207</v>
      </c>
      <c r="H213" s="3"/>
      <c r="I213" s="11">
        <v>7500</v>
      </c>
      <c r="J213" s="11">
        <v>7500</v>
      </c>
      <c r="K213" s="3"/>
      <c r="L213" s="11">
        <v>7500</v>
      </c>
      <c r="M213" s="38">
        <f>+L213/J213</f>
        <v>1</v>
      </c>
    </row>
    <row r="214" spans="1:13" ht="15" hidden="1" x14ac:dyDescent="0.2">
      <c r="A214" s="14" t="s">
        <v>276</v>
      </c>
      <c r="B214" s="15" t="s">
        <v>277</v>
      </c>
      <c r="C214" s="16">
        <v>27128</v>
      </c>
      <c r="D214" s="11">
        <v>25347.39</v>
      </c>
      <c r="E214" s="11">
        <v>24004.85</v>
      </c>
      <c r="F214" s="11">
        <v>50514.7</v>
      </c>
      <c r="G214" s="11">
        <v>49979.66</v>
      </c>
      <c r="H214" s="3"/>
      <c r="I214" s="11">
        <v>70000</v>
      </c>
      <c r="J214" s="11">
        <v>70000</v>
      </c>
      <c r="K214" s="3"/>
      <c r="L214" s="11">
        <v>70000</v>
      </c>
      <c r="M214" s="38">
        <f>+L214/J214</f>
        <v>1</v>
      </c>
    </row>
    <row r="215" spans="1:13" ht="15" hidden="1" x14ac:dyDescent="0.2">
      <c r="A215" s="14" t="s">
        <v>278</v>
      </c>
      <c r="B215" s="15" t="s">
        <v>279</v>
      </c>
      <c r="C215" s="16">
        <v>14531</v>
      </c>
      <c r="D215" s="11">
        <v>19867.900000000001</v>
      </c>
      <c r="E215" s="11">
        <v>39492.120000000003</v>
      </c>
      <c r="F215" s="11">
        <v>23190.560000000001</v>
      </c>
      <c r="G215" s="11">
        <v>10967.22</v>
      </c>
      <c r="H215" s="3"/>
      <c r="I215" s="11">
        <v>20000</v>
      </c>
      <c r="J215" s="11">
        <v>20000</v>
      </c>
      <c r="K215" s="3"/>
      <c r="L215" s="11">
        <v>20000</v>
      </c>
      <c r="M215" s="38">
        <f>+L215/J215</f>
        <v>1</v>
      </c>
    </row>
    <row r="216" spans="1:13" ht="15" hidden="1" x14ac:dyDescent="0.2">
      <c r="A216" s="14" t="s">
        <v>280</v>
      </c>
      <c r="B216" s="15" t="s">
        <v>281</v>
      </c>
      <c r="C216" s="16">
        <v>11628</v>
      </c>
      <c r="D216" s="11">
        <v>14296.15</v>
      </c>
      <c r="E216" s="11">
        <v>7727.36</v>
      </c>
      <c r="F216" s="11">
        <v>8328.17</v>
      </c>
      <c r="G216" s="11">
        <v>9746.52</v>
      </c>
      <c r="H216" s="3"/>
      <c r="I216" s="11">
        <v>10000</v>
      </c>
      <c r="J216" s="11">
        <v>10000</v>
      </c>
      <c r="K216" s="3"/>
      <c r="L216" s="11">
        <v>10000</v>
      </c>
      <c r="M216" s="38">
        <f>+L216/J216</f>
        <v>1</v>
      </c>
    </row>
    <row r="217" spans="1:13" ht="15" hidden="1" x14ac:dyDescent="0.2">
      <c r="A217" s="14" t="s">
        <v>282</v>
      </c>
      <c r="B217" s="15" t="s">
        <v>283</v>
      </c>
      <c r="C217" s="16">
        <v>0</v>
      </c>
      <c r="D217" s="11">
        <v>368.57</v>
      </c>
      <c r="E217" s="11">
        <v>0</v>
      </c>
      <c r="F217" s="11">
        <v>32.909999999999997</v>
      </c>
      <c r="G217" s="11">
        <v>0</v>
      </c>
      <c r="H217" s="3"/>
      <c r="I217" s="11"/>
      <c r="J217" s="11">
        <v>0</v>
      </c>
      <c r="K217" s="3"/>
      <c r="L217" s="11"/>
    </row>
    <row r="218" spans="1:13" ht="15" hidden="1" x14ac:dyDescent="0.2">
      <c r="A218" s="14" t="s">
        <v>284</v>
      </c>
      <c r="B218" s="15" t="s">
        <v>285</v>
      </c>
      <c r="C218" s="16">
        <v>758</v>
      </c>
      <c r="D218" s="11">
        <v>1656.96</v>
      </c>
      <c r="E218" s="11">
        <v>-2061</v>
      </c>
      <c r="F218" s="11">
        <v>16859.53</v>
      </c>
      <c r="G218" s="11">
        <v>1583.02</v>
      </c>
      <c r="H218" s="3"/>
      <c r="I218" s="11">
        <v>500</v>
      </c>
      <c r="J218" s="11">
        <v>1500</v>
      </c>
      <c r="K218" s="3"/>
      <c r="L218" s="11">
        <v>500</v>
      </c>
      <c r="M218" s="38">
        <f>+L218/J218</f>
        <v>0.33333333333333331</v>
      </c>
    </row>
    <row r="219" spans="1:13" ht="15" hidden="1" x14ac:dyDescent="0.2">
      <c r="A219" s="14"/>
      <c r="B219" s="15"/>
      <c r="C219" s="16"/>
      <c r="D219" s="11"/>
      <c r="E219" s="11"/>
      <c r="F219" s="11"/>
      <c r="G219" s="11"/>
      <c r="H219" s="3"/>
      <c r="I219" s="11"/>
      <c r="J219" s="11"/>
      <c r="K219" s="3"/>
      <c r="L219" s="11"/>
    </row>
    <row r="220" spans="1:13" ht="15" hidden="1" x14ac:dyDescent="0.25">
      <c r="A220" s="29"/>
      <c r="B220" s="30" t="s">
        <v>286</v>
      </c>
      <c r="C220" s="16">
        <f>SUM(C213:C218)</f>
        <v>63322</v>
      </c>
      <c r="D220" s="11">
        <f>SUM(D213:D218)</f>
        <v>67114.94</v>
      </c>
      <c r="E220" s="11">
        <f>SUM(E213:E218)</f>
        <v>74039.05</v>
      </c>
      <c r="F220" s="11">
        <f>SUM(F213:F218)</f>
        <v>108413.05</v>
      </c>
      <c r="G220" s="11">
        <f>SUM(G213:G218)</f>
        <v>79483.420000000013</v>
      </c>
      <c r="H220" s="3"/>
      <c r="I220" s="11">
        <f>SUM(I213:I218)</f>
        <v>108000</v>
      </c>
      <c r="J220" s="11">
        <f>SUM(J213:J218)</f>
        <v>109000</v>
      </c>
      <c r="K220" s="3"/>
      <c r="L220" s="11">
        <f>SUM(L213:L218)</f>
        <v>108000</v>
      </c>
      <c r="M220" s="38">
        <f>+L220/J220</f>
        <v>0.99082568807339455</v>
      </c>
    </row>
    <row r="221" spans="1:13" ht="15" hidden="1" x14ac:dyDescent="0.25">
      <c r="A221" s="29"/>
      <c r="B221" s="30"/>
      <c r="C221" s="16"/>
      <c r="D221" s="11"/>
      <c r="E221" s="11"/>
      <c r="F221" s="11"/>
      <c r="G221" s="11"/>
      <c r="H221" s="3"/>
      <c r="I221" s="11"/>
      <c r="J221" s="11"/>
      <c r="K221" s="3"/>
      <c r="L221" s="11"/>
    </row>
    <row r="222" spans="1:13" ht="15" hidden="1" x14ac:dyDescent="0.2">
      <c r="A222" s="14" t="s">
        <v>287</v>
      </c>
      <c r="B222" s="15" t="s">
        <v>124</v>
      </c>
      <c r="C222" s="16">
        <v>48451</v>
      </c>
      <c r="D222" s="11">
        <v>88856.51</v>
      </c>
      <c r="E222" s="11">
        <v>74977.039999999994</v>
      </c>
      <c r="F222" s="11">
        <v>104204.26</v>
      </c>
      <c r="G222" s="11">
        <v>66398.89</v>
      </c>
      <c r="H222" s="3"/>
      <c r="I222" s="11">
        <v>103599</v>
      </c>
      <c r="J222" s="11">
        <v>103599</v>
      </c>
      <c r="K222" s="3"/>
      <c r="L222" s="11">
        <f>+'[1]Non-Union - 3.5%'!$I$32+'[1]Non-Union - 3.5%'!$V$32</f>
        <v>108255.20399999998</v>
      </c>
      <c r="M222" s="38">
        <f t="shared" ref="M222:M237" si="8">+L222/J222</f>
        <v>1.0449444878811569</v>
      </c>
    </row>
    <row r="223" spans="1:13" ht="15" hidden="1" x14ac:dyDescent="0.2">
      <c r="A223" s="14" t="s">
        <v>288</v>
      </c>
      <c r="B223" s="15" t="s">
        <v>126</v>
      </c>
      <c r="C223" s="16">
        <v>3883</v>
      </c>
      <c r="D223" s="11">
        <v>7534.55</v>
      </c>
      <c r="E223" s="11">
        <v>6082.32</v>
      </c>
      <c r="F223" s="11">
        <v>9557.49</v>
      </c>
      <c r="G223" s="11">
        <v>5362.49</v>
      </c>
      <c r="H223" s="3"/>
      <c r="I223" s="11">
        <v>8288</v>
      </c>
      <c r="J223" s="11">
        <v>8288</v>
      </c>
      <c r="K223" s="3"/>
      <c r="L223" s="11">
        <f>+'[1]Non-Union - 3.5%'!$P$32+'[1]Non-Union - 3.5%'!$Z$32</f>
        <v>8660.4163200000003</v>
      </c>
      <c r="M223" s="38">
        <f t="shared" si="8"/>
        <v>1.0449344015444015</v>
      </c>
    </row>
    <row r="224" spans="1:13" ht="15" hidden="1" x14ac:dyDescent="0.2">
      <c r="A224" s="14" t="s">
        <v>289</v>
      </c>
      <c r="B224" s="15" t="s">
        <v>128</v>
      </c>
      <c r="C224" s="16">
        <v>11397</v>
      </c>
      <c r="D224" s="11">
        <v>11398.2</v>
      </c>
      <c r="E224" s="11">
        <v>12847.24</v>
      </c>
      <c r="F224" s="11">
        <v>36232.839999999997</v>
      </c>
      <c r="G224" s="11">
        <v>43496.77</v>
      </c>
      <c r="H224" s="3"/>
      <c r="I224" s="11">
        <v>50740</v>
      </c>
      <c r="J224" s="11">
        <v>50740</v>
      </c>
      <c r="K224" s="3"/>
      <c r="L224" s="11">
        <f>+SUM('[1]Non-Union - 3.5%'!$K$32:$N$32)</f>
        <v>81043.34</v>
      </c>
      <c r="M224" s="38">
        <f t="shared" si="8"/>
        <v>1.5972278281434764</v>
      </c>
    </row>
    <row r="225" spans="1:13" ht="15" hidden="1" x14ac:dyDescent="0.2">
      <c r="A225" s="14" t="s">
        <v>290</v>
      </c>
      <c r="B225" s="15" t="s">
        <v>130</v>
      </c>
      <c r="C225" s="16">
        <v>1389</v>
      </c>
      <c r="D225" s="11">
        <v>1644.01</v>
      </c>
      <c r="E225" s="11">
        <v>2017.34</v>
      </c>
      <c r="F225" s="11">
        <v>1439.93</v>
      </c>
      <c r="G225" s="11">
        <v>1134.0999999999999</v>
      </c>
      <c r="H225" s="3"/>
      <c r="I225" s="11">
        <v>3108</v>
      </c>
      <c r="J225" s="11">
        <v>3108</v>
      </c>
      <c r="K225" s="3"/>
      <c r="L225" s="11">
        <f>+'[1]Non-Union - 3.5%'!$O$32+'[1]Non-Union - 3.5%'!$X$32</f>
        <v>1757.7979424999996</v>
      </c>
      <c r="M225" s="38">
        <f t="shared" si="8"/>
        <v>0.56557205357142848</v>
      </c>
    </row>
    <row r="226" spans="1:13" ht="15" hidden="1" x14ac:dyDescent="0.2">
      <c r="A226" s="14" t="s">
        <v>291</v>
      </c>
      <c r="B226" s="15" t="s">
        <v>171</v>
      </c>
      <c r="C226" s="16">
        <v>619</v>
      </c>
      <c r="D226" s="11">
        <v>1144.03</v>
      </c>
      <c r="E226" s="11">
        <v>1059.58</v>
      </c>
      <c r="F226" s="11">
        <v>1475.13</v>
      </c>
      <c r="G226" s="11">
        <v>853.75</v>
      </c>
      <c r="H226" s="3"/>
      <c r="I226" s="11">
        <v>1000</v>
      </c>
      <c r="J226" s="11">
        <v>1000</v>
      </c>
      <c r="K226" s="3"/>
      <c r="L226" s="11">
        <v>1000</v>
      </c>
      <c r="M226" s="38">
        <f t="shared" si="8"/>
        <v>1</v>
      </c>
    </row>
    <row r="227" spans="1:13" ht="15" hidden="1" x14ac:dyDescent="0.2">
      <c r="A227" s="14" t="s">
        <v>292</v>
      </c>
      <c r="B227" s="15" t="s">
        <v>132</v>
      </c>
      <c r="C227" s="16">
        <v>2386</v>
      </c>
      <c r="D227" s="11">
        <v>1856.23</v>
      </c>
      <c r="E227" s="11">
        <v>1566.85</v>
      </c>
      <c r="F227" s="11">
        <v>1388.72</v>
      </c>
      <c r="G227" s="11">
        <v>2564.87</v>
      </c>
      <c r="H227" s="3"/>
      <c r="I227" s="11">
        <v>3191</v>
      </c>
      <c r="J227" s="11">
        <v>3191</v>
      </c>
      <c r="K227" s="3"/>
      <c r="L227" s="11">
        <f>+'[1]Non-Union - 3.5%'!$R$32+'[1]Non-Union - 3.5%'!$Y$32</f>
        <v>3334.2602831999998</v>
      </c>
      <c r="M227" s="38">
        <f t="shared" si="8"/>
        <v>1.0448951059855844</v>
      </c>
    </row>
    <row r="228" spans="1:13" ht="15" hidden="1" x14ac:dyDescent="0.2">
      <c r="A228" s="14">
        <v>6040300</v>
      </c>
      <c r="B228" s="15" t="s">
        <v>134</v>
      </c>
      <c r="C228" s="16">
        <v>0</v>
      </c>
      <c r="D228" s="11">
        <v>0</v>
      </c>
      <c r="E228" s="11">
        <v>8572.33</v>
      </c>
      <c r="F228" s="11">
        <v>8903.25</v>
      </c>
      <c r="G228" s="11">
        <v>11898</v>
      </c>
      <c r="H228" s="3"/>
      <c r="I228" s="11">
        <v>10000</v>
      </c>
      <c r="J228" s="11">
        <v>10000</v>
      </c>
      <c r="K228" s="3"/>
      <c r="L228" s="11">
        <v>10000</v>
      </c>
      <c r="M228" s="38">
        <f t="shared" si="8"/>
        <v>1</v>
      </c>
    </row>
    <row r="229" spans="1:13" ht="15" hidden="1" x14ac:dyDescent="0.2">
      <c r="A229" s="14">
        <v>6040310</v>
      </c>
      <c r="B229" s="15" t="s">
        <v>136</v>
      </c>
      <c r="C229" s="16">
        <v>0</v>
      </c>
      <c r="D229" s="11">
        <v>0</v>
      </c>
      <c r="E229" s="11">
        <v>706.65</v>
      </c>
      <c r="F229" s="11">
        <v>830.74</v>
      </c>
      <c r="G229" s="11">
        <v>1017.92</v>
      </c>
      <c r="H229" s="3"/>
      <c r="I229" s="11">
        <v>900</v>
      </c>
      <c r="J229" s="11">
        <v>900</v>
      </c>
      <c r="K229" s="3"/>
      <c r="L229" s="11">
        <v>1000</v>
      </c>
      <c r="M229" s="38">
        <f t="shared" si="8"/>
        <v>1.1111111111111112</v>
      </c>
    </row>
    <row r="230" spans="1:13" ht="15" hidden="1" x14ac:dyDescent="0.2">
      <c r="A230" s="14">
        <v>6040350</v>
      </c>
      <c r="B230" s="15" t="s">
        <v>138</v>
      </c>
      <c r="C230" s="16"/>
      <c r="D230" s="11"/>
      <c r="E230" s="11"/>
      <c r="F230" s="11">
        <v>563.01</v>
      </c>
      <c r="G230" s="11">
        <v>227.32</v>
      </c>
      <c r="H230" s="3"/>
      <c r="I230" s="11"/>
      <c r="J230" s="11">
        <v>0</v>
      </c>
      <c r="K230" s="3"/>
      <c r="L230" s="11">
        <f>+L228*3.08/100</f>
        <v>308</v>
      </c>
    </row>
    <row r="231" spans="1:13" ht="15" hidden="1" x14ac:dyDescent="0.2">
      <c r="A231" s="14" t="s">
        <v>293</v>
      </c>
      <c r="B231" s="15" t="s">
        <v>140</v>
      </c>
      <c r="C231" s="16">
        <v>4014</v>
      </c>
      <c r="D231" s="11">
        <v>4235.8900000000003</v>
      </c>
      <c r="E231" s="11">
        <v>2757.43</v>
      </c>
      <c r="F231" s="11">
        <v>3496.7</v>
      </c>
      <c r="G231" s="11">
        <v>2711.72</v>
      </c>
      <c r="H231" s="3"/>
      <c r="I231" s="11">
        <v>2500</v>
      </c>
      <c r="J231" s="11">
        <v>2500</v>
      </c>
      <c r="K231" s="3"/>
      <c r="L231" s="11">
        <v>3000</v>
      </c>
      <c r="M231" s="38">
        <f t="shared" si="8"/>
        <v>1.2</v>
      </c>
    </row>
    <row r="232" spans="1:13" ht="15" hidden="1" x14ac:dyDescent="0.2">
      <c r="A232" s="14" t="s">
        <v>294</v>
      </c>
      <c r="B232" s="15" t="s">
        <v>146</v>
      </c>
      <c r="C232" s="16">
        <v>473</v>
      </c>
      <c r="D232" s="11">
        <v>853.69</v>
      </c>
      <c r="E232" s="11">
        <v>16.989999999999998</v>
      </c>
      <c r="F232" s="11">
        <v>1099.22</v>
      </c>
      <c r="G232" s="11">
        <v>3000</v>
      </c>
      <c r="H232" s="3"/>
      <c r="I232" s="11">
        <v>1000</v>
      </c>
      <c r="J232" s="11">
        <v>1000</v>
      </c>
      <c r="K232" s="3"/>
      <c r="L232" s="11">
        <v>1500</v>
      </c>
      <c r="M232" s="38">
        <f t="shared" si="8"/>
        <v>1.5</v>
      </c>
    </row>
    <row r="233" spans="1:13" ht="15" hidden="1" x14ac:dyDescent="0.2">
      <c r="A233" s="14" t="s">
        <v>295</v>
      </c>
      <c r="B233" s="15" t="s">
        <v>182</v>
      </c>
      <c r="C233" s="16">
        <v>2193</v>
      </c>
      <c r="D233" s="11">
        <v>5278.05</v>
      </c>
      <c r="E233" s="11">
        <v>5053.07</v>
      </c>
      <c r="F233" s="11">
        <v>5451.43</v>
      </c>
      <c r="G233" s="11">
        <v>4691.25</v>
      </c>
      <c r="H233" s="3"/>
      <c r="I233" s="11">
        <v>8000</v>
      </c>
      <c r="J233" s="11">
        <v>8000</v>
      </c>
      <c r="K233" s="3"/>
      <c r="L233" s="11">
        <v>8000</v>
      </c>
      <c r="M233" s="38">
        <f t="shared" si="8"/>
        <v>1</v>
      </c>
    </row>
    <row r="234" spans="1:13" ht="15" hidden="1" x14ac:dyDescent="0.2">
      <c r="A234" s="14" t="s">
        <v>296</v>
      </c>
      <c r="B234" s="15" t="s">
        <v>254</v>
      </c>
      <c r="C234" s="16">
        <v>2199</v>
      </c>
      <c r="D234" s="11">
        <v>176.26</v>
      </c>
      <c r="E234" s="11">
        <v>2403.52</v>
      </c>
      <c r="F234" s="11">
        <v>2389.83</v>
      </c>
      <c r="G234" s="11">
        <v>332.52</v>
      </c>
      <c r="H234" s="3"/>
      <c r="I234" s="11">
        <v>2500</v>
      </c>
      <c r="J234" s="11">
        <v>2500</v>
      </c>
      <c r="K234" s="3"/>
      <c r="L234" s="11">
        <v>500</v>
      </c>
      <c r="M234" s="38">
        <f t="shared" si="8"/>
        <v>0.2</v>
      </c>
    </row>
    <row r="235" spans="1:13" ht="15" hidden="1" x14ac:dyDescent="0.2">
      <c r="A235" s="14" t="s">
        <v>297</v>
      </c>
      <c r="B235" s="15" t="s">
        <v>160</v>
      </c>
      <c r="C235" s="16">
        <v>0</v>
      </c>
      <c r="D235" s="11">
        <v>6329.32</v>
      </c>
      <c r="E235" s="11">
        <v>4338.3</v>
      </c>
      <c r="F235" s="11">
        <v>6937.69</v>
      </c>
      <c r="G235" s="11">
        <v>2950.44</v>
      </c>
      <c r="H235" s="3"/>
      <c r="I235" s="11">
        <v>5000</v>
      </c>
      <c r="J235" s="11">
        <v>5000</v>
      </c>
      <c r="K235" s="3"/>
      <c r="L235" s="11">
        <v>5000</v>
      </c>
      <c r="M235" s="38">
        <f t="shared" si="8"/>
        <v>1</v>
      </c>
    </row>
    <row r="236" spans="1:13" ht="15" hidden="1" x14ac:dyDescent="0.2">
      <c r="A236" s="14" t="s">
        <v>298</v>
      </c>
      <c r="B236" s="15" t="s">
        <v>80</v>
      </c>
      <c r="C236" s="16">
        <v>2718</v>
      </c>
      <c r="D236" s="11">
        <v>177.96</v>
      </c>
      <c r="E236" s="11">
        <v>142.22999999999999</v>
      </c>
      <c r="F236" s="11">
        <v>521.03</v>
      </c>
      <c r="G236" s="11">
        <v>36.24</v>
      </c>
      <c r="H236" s="3"/>
      <c r="I236" s="11">
        <v>150</v>
      </c>
      <c r="J236" s="11">
        <v>150</v>
      </c>
      <c r="K236" s="3"/>
      <c r="L236" s="11">
        <v>150</v>
      </c>
      <c r="M236" s="38">
        <f t="shared" si="8"/>
        <v>1</v>
      </c>
    </row>
    <row r="237" spans="1:13" ht="15" hidden="1" x14ac:dyDescent="0.2">
      <c r="A237" s="14" t="s">
        <v>299</v>
      </c>
      <c r="B237" s="15" t="s">
        <v>164</v>
      </c>
      <c r="C237" s="16">
        <v>380</v>
      </c>
      <c r="D237" s="11">
        <v>75.31</v>
      </c>
      <c r="E237" s="11">
        <v>377.06</v>
      </c>
      <c r="F237" s="11">
        <v>117.86</v>
      </c>
      <c r="G237" s="11">
        <v>93.92</v>
      </c>
      <c r="H237" s="3"/>
      <c r="I237" s="11">
        <v>2500</v>
      </c>
      <c r="J237" s="11">
        <v>2500</v>
      </c>
      <c r="K237" s="3"/>
      <c r="L237" s="11">
        <v>2500</v>
      </c>
      <c r="M237" s="38">
        <f t="shared" si="8"/>
        <v>1</v>
      </c>
    </row>
    <row r="238" spans="1:13" ht="15" hidden="1" x14ac:dyDescent="0.2">
      <c r="A238" s="14">
        <v>6042000</v>
      </c>
      <c r="B238" s="15" t="s">
        <v>300</v>
      </c>
      <c r="C238" s="16">
        <v>3327</v>
      </c>
      <c r="D238" s="11">
        <v>9920</v>
      </c>
      <c r="E238" s="11">
        <v>35098.980000000003</v>
      </c>
      <c r="F238" s="11">
        <v>3079.11</v>
      </c>
      <c r="G238" s="11"/>
      <c r="H238" s="3"/>
      <c r="I238" s="11"/>
      <c r="J238" s="11"/>
      <c r="K238" s="3"/>
      <c r="L238" s="11">
        <v>5000</v>
      </c>
    </row>
    <row r="239" spans="1:13" ht="15" hidden="1" x14ac:dyDescent="0.2">
      <c r="A239" s="14"/>
      <c r="B239" s="15"/>
      <c r="C239" s="16"/>
      <c r="D239" s="11"/>
      <c r="E239" s="11"/>
      <c r="F239" s="11"/>
      <c r="G239" s="11"/>
      <c r="H239" s="3"/>
      <c r="I239" s="11"/>
      <c r="J239" s="11"/>
      <c r="K239" s="3"/>
      <c r="L239" s="11"/>
    </row>
    <row r="240" spans="1:13" ht="15" hidden="1" x14ac:dyDescent="0.25">
      <c r="A240" s="29"/>
      <c r="B240" s="30" t="s">
        <v>301</v>
      </c>
      <c r="C240" s="16">
        <f>SUM(C222:C238)</f>
        <v>83429</v>
      </c>
      <c r="D240" s="11">
        <f>SUM(D222:D238)</f>
        <v>139480.01</v>
      </c>
      <c r="E240" s="11">
        <f>SUM(E222:E238)</f>
        <v>158016.93</v>
      </c>
      <c r="F240" s="11">
        <f>SUM(F222:F238)</f>
        <v>187688.23999999996</v>
      </c>
      <c r="G240" s="11">
        <f>SUM(G222:G238)</f>
        <v>146770.20000000001</v>
      </c>
      <c r="H240" s="3"/>
      <c r="I240" s="11">
        <f>SUM(I222:I238)</f>
        <v>202476</v>
      </c>
      <c r="J240" s="11">
        <f>SUM(J222:J238)</f>
        <v>202476</v>
      </c>
      <c r="K240" s="3"/>
      <c r="L240" s="11">
        <f>SUM(L222:L238)</f>
        <v>241009.0185457</v>
      </c>
      <c r="M240" s="38">
        <f>+L240/J240</f>
        <v>1.1903090664854106</v>
      </c>
    </row>
    <row r="241" spans="1:13" ht="15" hidden="1" x14ac:dyDescent="0.25">
      <c r="A241" s="29"/>
      <c r="B241" s="30"/>
      <c r="C241" s="16"/>
      <c r="D241" s="11"/>
      <c r="E241" s="11"/>
      <c r="F241" s="11"/>
      <c r="G241" s="11"/>
      <c r="H241" s="3"/>
      <c r="I241" s="11"/>
      <c r="J241" s="11"/>
      <c r="K241" s="3"/>
      <c r="L241" s="11"/>
    </row>
    <row r="242" spans="1:13" ht="15" hidden="1" x14ac:dyDescent="0.25">
      <c r="A242" s="17" t="s">
        <v>21</v>
      </c>
      <c r="B242" s="18" t="s">
        <v>302</v>
      </c>
      <c r="C242" s="25">
        <f>+C240+C220</f>
        <v>146751</v>
      </c>
      <c r="D242" s="11">
        <f>+D240+D220</f>
        <v>206594.95</v>
      </c>
      <c r="E242" s="11">
        <f t="shared" ref="E242:J242" si="9">+E240+E220</f>
        <v>232055.97999999998</v>
      </c>
      <c r="F242" s="11">
        <f t="shared" si="9"/>
        <v>296101.28999999998</v>
      </c>
      <c r="G242" s="11">
        <f t="shared" si="9"/>
        <v>226253.62000000002</v>
      </c>
      <c r="H242" s="3"/>
      <c r="I242" s="11">
        <f t="shared" si="9"/>
        <v>310476</v>
      </c>
      <c r="J242" s="11">
        <f t="shared" si="9"/>
        <v>311476</v>
      </c>
      <c r="K242" s="3"/>
      <c r="L242" s="11">
        <f>+L240+L220</f>
        <v>349009.0185457</v>
      </c>
      <c r="M242" s="38">
        <f>+L242/J242</f>
        <v>1.1205005154352181</v>
      </c>
    </row>
    <row r="243" spans="1:13" ht="15" hidden="1" x14ac:dyDescent="0.2">
      <c r="D243" s="11"/>
      <c r="E243" s="11"/>
      <c r="F243" s="11"/>
      <c r="G243" s="11"/>
      <c r="H243" s="3"/>
      <c r="I243" s="11"/>
      <c r="J243" s="11"/>
      <c r="K243" s="3"/>
      <c r="L243" s="11"/>
    </row>
    <row r="244" spans="1:13" ht="15" hidden="1" x14ac:dyDescent="0.25">
      <c r="A244" s="9" t="s">
        <v>303</v>
      </c>
      <c r="B244" s="10" t="s">
        <v>304</v>
      </c>
      <c r="D244" s="11"/>
      <c r="E244" s="11"/>
      <c r="F244" s="11"/>
      <c r="G244" s="11"/>
      <c r="H244" s="3"/>
      <c r="I244" s="11"/>
      <c r="J244" s="11"/>
      <c r="K244" s="3"/>
      <c r="L244" s="11"/>
    </row>
    <row r="245" spans="1:13" ht="15" hidden="1" x14ac:dyDescent="0.25">
      <c r="A245" s="12" t="s">
        <v>9</v>
      </c>
      <c r="B245" s="13" t="s">
        <v>10</v>
      </c>
      <c r="D245" s="11"/>
      <c r="E245" s="11"/>
      <c r="F245" s="11"/>
      <c r="G245" s="11"/>
      <c r="H245" s="3"/>
      <c r="I245" s="11"/>
      <c r="J245" s="11"/>
      <c r="K245" s="3"/>
      <c r="L245" s="11"/>
    </row>
    <row r="246" spans="1:13" ht="15" hidden="1" x14ac:dyDescent="0.2">
      <c r="A246" s="14" t="s">
        <v>305</v>
      </c>
      <c r="B246" s="15" t="s">
        <v>124</v>
      </c>
      <c r="C246" s="16">
        <v>342053</v>
      </c>
      <c r="D246" s="11">
        <v>325114.84999999998</v>
      </c>
      <c r="E246" s="11">
        <v>17769.150000000001</v>
      </c>
      <c r="F246" s="11">
        <v>23319.919999999998</v>
      </c>
      <c r="G246" s="11">
        <v>16313.84</v>
      </c>
      <c r="H246" s="3"/>
      <c r="I246" s="11">
        <v>25000</v>
      </c>
      <c r="J246" s="11">
        <v>25000</v>
      </c>
      <c r="K246" s="3"/>
      <c r="L246" s="11">
        <v>25875</v>
      </c>
      <c r="M246" s="38">
        <f t="shared" ref="M246:M251" si="10">+L246/J246</f>
        <v>1.0349999999999999</v>
      </c>
    </row>
    <row r="247" spans="1:13" ht="15" hidden="1" x14ac:dyDescent="0.2">
      <c r="A247" s="14" t="s">
        <v>306</v>
      </c>
      <c r="B247" s="15" t="s">
        <v>126</v>
      </c>
      <c r="C247" s="16">
        <v>32251</v>
      </c>
      <c r="D247" s="11">
        <v>31248.5</v>
      </c>
      <c r="E247" s="11">
        <v>1603.74</v>
      </c>
      <c r="F247" s="11">
        <v>1976.08</v>
      </c>
      <c r="G247" s="11">
        <v>1306.32</v>
      </c>
      <c r="H247" s="3"/>
      <c r="I247" s="11">
        <v>2000</v>
      </c>
      <c r="J247" s="11">
        <v>2000</v>
      </c>
      <c r="K247" s="3"/>
      <c r="L247" s="11">
        <v>2070</v>
      </c>
      <c r="M247" s="38">
        <f t="shared" si="10"/>
        <v>1.0349999999999999</v>
      </c>
    </row>
    <row r="248" spans="1:13" ht="15" hidden="1" x14ac:dyDescent="0.2">
      <c r="A248" s="14" t="s">
        <v>307</v>
      </c>
      <c r="B248" s="15" t="s">
        <v>128</v>
      </c>
      <c r="C248" s="16">
        <v>490</v>
      </c>
      <c r="D248" s="11">
        <v>704.4</v>
      </c>
      <c r="E248" s="11">
        <v>587</v>
      </c>
      <c r="F248" s="11">
        <v>704.4</v>
      </c>
      <c r="G248" s="11">
        <v>469.6</v>
      </c>
      <c r="H248" s="3"/>
      <c r="I248" s="11">
        <v>704</v>
      </c>
      <c r="J248" s="11">
        <v>704</v>
      </c>
      <c r="K248" s="3"/>
      <c r="L248" s="11">
        <v>704</v>
      </c>
      <c r="M248" s="38">
        <f t="shared" si="10"/>
        <v>1</v>
      </c>
    </row>
    <row r="249" spans="1:13" ht="15" hidden="1" x14ac:dyDescent="0.2">
      <c r="A249" s="14" t="s">
        <v>308</v>
      </c>
      <c r="B249" s="15" t="s">
        <v>132</v>
      </c>
      <c r="C249" s="16">
        <v>13150</v>
      </c>
      <c r="D249" s="11">
        <v>11541.18</v>
      </c>
      <c r="E249" s="11">
        <v>782</v>
      </c>
      <c r="F249" s="11">
        <v>1295.52</v>
      </c>
      <c r="G249" s="11">
        <v>444.12</v>
      </c>
      <c r="H249" s="3"/>
      <c r="I249" s="11">
        <v>770</v>
      </c>
      <c r="J249" s="11">
        <v>770</v>
      </c>
      <c r="K249" s="3"/>
      <c r="L249" s="11">
        <v>797</v>
      </c>
      <c r="M249" s="38">
        <f t="shared" si="10"/>
        <v>1.035064935064935</v>
      </c>
    </row>
    <row r="250" spans="1:13" ht="15" hidden="1" x14ac:dyDescent="0.2">
      <c r="A250" s="14">
        <v>6080300</v>
      </c>
      <c r="B250" s="15" t="s">
        <v>134</v>
      </c>
      <c r="C250" s="16">
        <v>0</v>
      </c>
      <c r="D250" s="11">
        <v>0</v>
      </c>
      <c r="E250" s="11">
        <v>356886.9</v>
      </c>
      <c r="F250" s="11">
        <v>364909.6</v>
      </c>
      <c r="G250" s="11">
        <v>402072.36</v>
      </c>
      <c r="H250" s="3"/>
      <c r="I250" s="11">
        <v>401992.5</v>
      </c>
      <c r="J250" s="11">
        <v>401992.5</v>
      </c>
      <c r="K250" s="3"/>
      <c r="L250" s="11">
        <v>445434.38</v>
      </c>
      <c r="M250" s="38">
        <f t="shared" si="10"/>
        <v>1.1080663942735249</v>
      </c>
    </row>
    <row r="251" spans="1:13" ht="15" hidden="1" x14ac:dyDescent="0.2">
      <c r="A251" s="14">
        <v>6080310</v>
      </c>
      <c r="B251" s="15" t="s">
        <v>136</v>
      </c>
      <c r="C251" s="16">
        <v>0</v>
      </c>
      <c r="D251" s="11">
        <v>0</v>
      </c>
      <c r="E251" s="11">
        <f>33729.62+40.32</f>
        <v>33769.94</v>
      </c>
      <c r="F251" s="11">
        <v>32756.37</v>
      </c>
      <c r="G251" s="11">
        <v>36872.15</v>
      </c>
      <c r="H251" s="3"/>
      <c r="I251" s="11">
        <v>40199.25</v>
      </c>
      <c r="J251" s="11">
        <v>40199.25</v>
      </c>
      <c r="K251" s="3"/>
      <c r="L251" s="11">
        <v>40089.089999999997</v>
      </c>
      <c r="M251" s="38">
        <f t="shared" si="10"/>
        <v>0.99725965036661124</v>
      </c>
    </row>
    <row r="252" spans="1:13" ht="15" hidden="1" x14ac:dyDescent="0.2">
      <c r="A252" s="14">
        <v>6080320</v>
      </c>
      <c r="B252" s="15" t="s">
        <v>309</v>
      </c>
      <c r="C252" s="16">
        <v>0</v>
      </c>
      <c r="D252" s="11">
        <v>0</v>
      </c>
      <c r="E252" s="11">
        <v>0</v>
      </c>
      <c r="F252" s="11">
        <v>0</v>
      </c>
      <c r="G252" s="11">
        <v>0</v>
      </c>
      <c r="H252" s="3"/>
      <c r="I252" s="11">
        <v>1000</v>
      </c>
      <c r="J252" s="11">
        <v>1000</v>
      </c>
      <c r="K252" s="3"/>
      <c r="L252" s="11">
        <v>0</v>
      </c>
    </row>
    <row r="253" spans="1:13" ht="15" hidden="1" x14ac:dyDescent="0.2">
      <c r="A253" s="14">
        <v>6080350</v>
      </c>
      <c r="B253" s="15" t="s">
        <v>176</v>
      </c>
      <c r="C253" s="16">
        <v>0</v>
      </c>
      <c r="D253" s="11">
        <v>6569</v>
      </c>
      <c r="E253" s="11">
        <v>4785.88</v>
      </c>
      <c r="F253" s="11">
        <v>12720.3</v>
      </c>
      <c r="G253" s="11">
        <v>5261.6</v>
      </c>
      <c r="H253" s="3"/>
      <c r="I253" s="11">
        <v>10000</v>
      </c>
      <c r="J253" s="11">
        <v>10000</v>
      </c>
      <c r="K253" s="3"/>
      <c r="L253" s="11">
        <v>10000</v>
      </c>
      <c r="M253" s="38">
        <f t="shared" ref="M253:M258" si="11">+L253/J253</f>
        <v>1</v>
      </c>
    </row>
    <row r="254" spans="1:13" ht="15" hidden="1" x14ac:dyDescent="0.2">
      <c r="A254" s="14">
        <v>6080360</v>
      </c>
      <c r="B254" s="15" t="s">
        <v>138</v>
      </c>
      <c r="C254" s="16">
        <v>0</v>
      </c>
      <c r="D254" s="11">
        <v>0</v>
      </c>
      <c r="E254" s="11">
        <v>7996.8</v>
      </c>
      <c r="F254" s="11">
        <v>31738.97</v>
      </c>
      <c r="G254" s="11">
        <v>-4259.54</v>
      </c>
      <c r="H254" s="3"/>
      <c r="I254" s="11">
        <v>12381.37</v>
      </c>
      <c r="J254" s="11">
        <v>12381.37</v>
      </c>
      <c r="K254" s="3"/>
      <c r="L254" s="11">
        <v>13719.368</v>
      </c>
      <c r="M254" s="38">
        <f t="shared" si="11"/>
        <v>1.1080654241008869</v>
      </c>
    </row>
    <row r="255" spans="1:13" ht="15" hidden="1" x14ac:dyDescent="0.2">
      <c r="A255" s="14" t="s">
        <v>310</v>
      </c>
      <c r="B255" s="15" t="s">
        <v>140</v>
      </c>
      <c r="C255" s="16">
        <v>7273</v>
      </c>
      <c r="D255" s="11">
        <v>6086.12</v>
      </c>
      <c r="E255" s="11">
        <v>5902.42</v>
      </c>
      <c r="F255" s="11">
        <v>7997.13</v>
      </c>
      <c r="G255" s="11">
        <v>5212.95</v>
      </c>
      <c r="H255" s="3"/>
      <c r="I255" s="11">
        <v>8000</v>
      </c>
      <c r="J255" s="11">
        <v>8000</v>
      </c>
      <c r="K255" s="3"/>
      <c r="L255" s="11">
        <v>8000</v>
      </c>
      <c r="M255" s="38">
        <f t="shared" si="11"/>
        <v>1</v>
      </c>
    </row>
    <row r="256" spans="1:13" ht="15" hidden="1" x14ac:dyDescent="0.2">
      <c r="A256" s="14" t="s">
        <v>311</v>
      </c>
      <c r="B256" s="15" t="s">
        <v>142</v>
      </c>
      <c r="C256" s="16">
        <v>1200</v>
      </c>
      <c r="D256" s="11">
        <v>1710</v>
      </c>
      <c r="E256" s="11">
        <v>1800</v>
      </c>
      <c r="F256" s="11">
        <v>3000</v>
      </c>
      <c r="G256" s="11">
        <v>1808</v>
      </c>
      <c r="H256" s="3"/>
      <c r="I256" s="11">
        <v>2340</v>
      </c>
      <c r="J256" s="11">
        <v>2340</v>
      </c>
      <c r="K256" s="3"/>
      <c r="L256" s="11">
        <v>3800</v>
      </c>
      <c r="M256" s="38">
        <f t="shared" si="11"/>
        <v>1.6239316239316239</v>
      </c>
    </row>
    <row r="257" spans="1:13" ht="15" hidden="1" x14ac:dyDescent="0.2">
      <c r="A257" s="14">
        <v>6080520</v>
      </c>
      <c r="B257" s="15" t="s">
        <v>144</v>
      </c>
      <c r="C257" s="16"/>
      <c r="D257" s="11"/>
      <c r="E257" s="11"/>
      <c r="F257" s="11">
        <v>0</v>
      </c>
      <c r="G257" s="11">
        <v>444</v>
      </c>
      <c r="H257" s="3"/>
      <c r="I257" s="11"/>
      <c r="J257" s="11"/>
      <c r="K257" s="3"/>
      <c r="L257" s="11">
        <v>500</v>
      </c>
    </row>
    <row r="258" spans="1:13" ht="15" hidden="1" x14ac:dyDescent="0.2">
      <c r="A258" s="14" t="s">
        <v>312</v>
      </c>
      <c r="B258" s="15" t="s">
        <v>146</v>
      </c>
      <c r="C258" s="16">
        <v>4475</v>
      </c>
      <c r="D258" s="11">
        <v>4265.8500000000004</v>
      </c>
      <c r="E258" s="11">
        <v>754.95</v>
      </c>
      <c r="F258" s="11">
        <v>12486.38</v>
      </c>
      <c r="G258" s="11">
        <v>1051.9100000000001</v>
      </c>
      <c r="H258" s="3"/>
      <c r="I258" s="11">
        <v>1500</v>
      </c>
      <c r="J258" s="11">
        <v>1500</v>
      </c>
      <c r="K258" s="3"/>
      <c r="L258" s="11">
        <v>1500</v>
      </c>
      <c r="M258" s="38">
        <f t="shared" si="11"/>
        <v>1</v>
      </c>
    </row>
    <row r="259" spans="1:13" ht="15" hidden="1" x14ac:dyDescent="0.2">
      <c r="A259" s="14" t="s">
        <v>313</v>
      </c>
      <c r="B259" s="15" t="s">
        <v>314</v>
      </c>
      <c r="C259" s="16">
        <v>0</v>
      </c>
      <c r="D259" s="11">
        <v>5</v>
      </c>
      <c r="E259" s="11">
        <v>0</v>
      </c>
      <c r="F259" s="11">
        <v>0</v>
      </c>
      <c r="G259" s="11">
        <v>0</v>
      </c>
      <c r="H259" s="3"/>
      <c r="I259" s="11"/>
      <c r="J259" s="11"/>
      <c r="K259" s="3"/>
      <c r="L259" s="11"/>
    </row>
    <row r="260" spans="1:13" ht="15" hidden="1" x14ac:dyDescent="0.2">
      <c r="A260" s="14" t="s">
        <v>315</v>
      </c>
      <c r="B260" s="15" t="s">
        <v>182</v>
      </c>
      <c r="C260" s="16">
        <v>386</v>
      </c>
      <c r="D260" s="11">
        <v>926.91</v>
      </c>
      <c r="E260" s="11">
        <v>988.02</v>
      </c>
      <c r="F260" s="11">
        <v>780.24</v>
      </c>
      <c r="G260" s="11">
        <v>782.45</v>
      </c>
      <c r="H260" s="3"/>
      <c r="I260" s="11">
        <v>1000</v>
      </c>
      <c r="J260" s="11">
        <v>1000</v>
      </c>
      <c r="K260" s="3"/>
      <c r="L260" s="11">
        <v>1000</v>
      </c>
      <c r="M260" s="38">
        <f t="shared" ref="M260:M268" si="12">+L260/J260</f>
        <v>1</v>
      </c>
    </row>
    <row r="261" spans="1:13" ht="15" hidden="1" x14ac:dyDescent="0.2">
      <c r="A261" s="14" t="s">
        <v>316</v>
      </c>
      <c r="B261" s="15" t="s">
        <v>184</v>
      </c>
      <c r="C261" s="16">
        <v>1368</v>
      </c>
      <c r="D261" s="11">
        <v>1940.01</v>
      </c>
      <c r="E261" s="11">
        <v>2239.4</v>
      </c>
      <c r="F261" s="11">
        <v>2928.07</v>
      </c>
      <c r="G261" s="11">
        <v>666.59</v>
      </c>
      <c r="H261" s="3"/>
      <c r="I261" s="11">
        <v>1500</v>
      </c>
      <c r="J261" s="11">
        <v>1500</v>
      </c>
      <c r="K261" s="3"/>
      <c r="L261" s="11">
        <v>1000</v>
      </c>
      <c r="M261" s="38">
        <f t="shared" si="12"/>
        <v>0.66666666666666663</v>
      </c>
    </row>
    <row r="262" spans="1:13" ht="15" hidden="1" x14ac:dyDescent="0.2">
      <c r="A262" s="14" t="s">
        <v>317</v>
      </c>
      <c r="B262" s="15" t="s">
        <v>154</v>
      </c>
      <c r="C262" s="16">
        <v>995</v>
      </c>
      <c r="D262" s="11">
        <v>1017.96</v>
      </c>
      <c r="E262" s="11">
        <v>843.3</v>
      </c>
      <c r="F262" s="11">
        <v>1314.66</v>
      </c>
      <c r="G262" s="11">
        <v>975.36</v>
      </c>
      <c r="H262" s="3"/>
      <c r="I262" s="11">
        <v>750</v>
      </c>
      <c r="J262" s="11">
        <v>750</v>
      </c>
      <c r="K262" s="3"/>
      <c r="L262" s="11">
        <v>1000</v>
      </c>
      <c r="M262" s="38">
        <f t="shared" si="12"/>
        <v>1.3333333333333333</v>
      </c>
    </row>
    <row r="263" spans="1:13" ht="15" hidden="1" x14ac:dyDescent="0.2">
      <c r="A263" s="14" t="s">
        <v>318</v>
      </c>
      <c r="B263" s="15" t="s">
        <v>156</v>
      </c>
      <c r="C263" s="16">
        <v>500</v>
      </c>
      <c r="D263" s="11">
        <v>0</v>
      </c>
      <c r="E263" s="11">
        <v>0</v>
      </c>
      <c r="F263" s="11">
        <v>500</v>
      </c>
      <c r="G263" s="11">
        <v>0</v>
      </c>
      <c r="H263" s="3"/>
      <c r="I263" s="11">
        <v>500</v>
      </c>
      <c r="J263" s="11">
        <v>500</v>
      </c>
      <c r="K263" s="3"/>
      <c r="L263" s="11">
        <v>500</v>
      </c>
      <c r="M263" s="38">
        <f t="shared" si="12"/>
        <v>1</v>
      </c>
    </row>
    <row r="264" spans="1:13" ht="15" hidden="1" x14ac:dyDescent="0.2">
      <c r="A264" s="14" t="s">
        <v>319</v>
      </c>
      <c r="B264" s="15" t="s">
        <v>158</v>
      </c>
      <c r="C264" s="16">
        <v>10420</v>
      </c>
      <c r="D264" s="11">
        <v>9835.7000000000007</v>
      </c>
      <c r="E264" s="11">
        <v>7220</v>
      </c>
      <c r="F264" s="11">
        <v>5075</v>
      </c>
      <c r="G264" s="11">
        <v>9020</v>
      </c>
      <c r="H264" s="3"/>
      <c r="I264" s="11">
        <v>10000</v>
      </c>
      <c r="J264" s="11">
        <v>10000</v>
      </c>
      <c r="K264" s="3"/>
      <c r="L264" s="11">
        <v>10000</v>
      </c>
      <c r="M264" s="38">
        <f t="shared" si="12"/>
        <v>1</v>
      </c>
    </row>
    <row r="265" spans="1:13" ht="15" hidden="1" x14ac:dyDescent="0.2">
      <c r="A265" s="14" t="s">
        <v>320</v>
      </c>
      <c r="B265" s="15" t="s">
        <v>160</v>
      </c>
      <c r="C265" s="16">
        <v>1896</v>
      </c>
      <c r="D265" s="11">
        <v>6397.81</v>
      </c>
      <c r="E265" s="11">
        <v>4957.8999999999996</v>
      </c>
      <c r="F265" s="11">
        <v>4915.72</v>
      </c>
      <c r="G265" s="11">
        <v>2333.67</v>
      </c>
      <c r="H265" s="3"/>
      <c r="I265" s="11">
        <v>6000</v>
      </c>
      <c r="J265" s="11">
        <v>6000</v>
      </c>
      <c r="K265" s="3"/>
      <c r="L265" s="11">
        <v>5000</v>
      </c>
      <c r="M265" s="38">
        <f t="shared" si="12"/>
        <v>0.83333333333333337</v>
      </c>
    </row>
    <row r="266" spans="1:13" ht="15" hidden="1" x14ac:dyDescent="0.2">
      <c r="A266" s="14" t="s">
        <v>321</v>
      </c>
      <c r="B266" s="15" t="s">
        <v>162</v>
      </c>
      <c r="C266" s="16">
        <v>811</v>
      </c>
      <c r="D266" s="11">
        <v>705.48</v>
      </c>
      <c r="E266" s="11">
        <v>1026.3399999999999</v>
      </c>
      <c r="F266" s="11">
        <v>0</v>
      </c>
      <c r="G266" s="11">
        <v>1248.79</v>
      </c>
      <c r="H266" s="3"/>
      <c r="I266" s="11"/>
      <c r="J266" s="11"/>
      <c r="K266" s="3"/>
      <c r="L266" s="11">
        <v>1500</v>
      </c>
    </row>
    <row r="267" spans="1:13" ht="15" hidden="1" x14ac:dyDescent="0.2">
      <c r="A267" s="14" t="s">
        <v>322</v>
      </c>
      <c r="B267" s="15" t="s">
        <v>80</v>
      </c>
      <c r="C267" s="16">
        <v>388</v>
      </c>
      <c r="D267" s="11">
        <v>703.29</v>
      </c>
      <c r="E267" s="11">
        <v>568.28</v>
      </c>
      <c r="F267" s="11">
        <v>779.64</v>
      </c>
      <c r="G267" s="11">
        <v>483.23</v>
      </c>
      <c r="H267" s="3"/>
      <c r="I267" s="11"/>
      <c r="J267" s="11"/>
      <c r="K267" s="3"/>
      <c r="L267" s="11">
        <v>500</v>
      </c>
    </row>
    <row r="268" spans="1:13" ht="15" hidden="1" x14ac:dyDescent="0.2">
      <c r="A268" s="14" t="s">
        <v>323</v>
      </c>
      <c r="B268" s="15" t="s">
        <v>164</v>
      </c>
      <c r="C268" s="16">
        <v>7135</v>
      </c>
      <c r="D268" s="11">
        <v>5008.47</v>
      </c>
      <c r="E268" s="11">
        <v>1193.99</v>
      </c>
      <c r="F268" s="11">
        <v>3410.95</v>
      </c>
      <c r="G268" s="11">
        <v>1638.72</v>
      </c>
      <c r="H268" s="3"/>
      <c r="I268" s="11">
        <v>2500</v>
      </c>
      <c r="J268" s="11">
        <v>2500</v>
      </c>
      <c r="K268" s="3"/>
      <c r="L268" s="11">
        <v>2500</v>
      </c>
      <c r="M268" s="38">
        <f t="shared" si="12"/>
        <v>1</v>
      </c>
    </row>
    <row r="269" spans="1:13" ht="15" hidden="1" x14ac:dyDescent="0.2">
      <c r="A269" s="14">
        <v>6082000</v>
      </c>
      <c r="B269" s="15" t="s">
        <v>191</v>
      </c>
      <c r="C269" s="16">
        <v>7039</v>
      </c>
      <c r="D269" s="11">
        <v>7670</v>
      </c>
      <c r="E269" s="11">
        <v>4505</v>
      </c>
      <c r="F269" s="11">
        <v>3557</v>
      </c>
      <c r="G269" s="11">
        <v>0</v>
      </c>
      <c r="H269" s="3"/>
      <c r="I269" s="11"/>
      <c r="J269" s="11"/>
      <c r="K269" s="3"/>
      <c r="L269" s="11"/>
    </row>
    <row r="270" spans="1:13" ht="15" hidden="1" x14ac:dyDescent="0.2">
      <c r="A270" s="21"/>
      <c r="B270" s="22"/>
      <c r="C270" s="16"/>
      <c r="D270" s="11"/>
      <c r="E270" s="11"/>
      <c r="F270" s="11"/>
      <c r="G270" s="11"/>
      <c r="H270" s="3"/>
      <c r="I270" s="11"/>
      <c r="J270" s="11"/>
      <c r="K270" s="3"/>
      <c r="L270" s="11"/>
    </row>
    <row r="271" spans="1:13" ht="15" hidden="1" x14ac:dyDescent="0.25">
      <c r="A271" s="17" t="s">
        <v>21</v>
      </c>
      <c r="B271" s="18" t="s">
        <v>324</v>
      </c>
      <c r="C271" s="19">
        <f>SUM(C246:C270)</f>
        <v>431830</v>
      </c>
      <c r="D271" s="11">
        <f>SUM(D246:D270)</f>
        <v>421450.52999999991</v>
      </c>
      <c r="E271" s="11">
        <f>SUM(E246:E270)</f>
        <v>456181.01000000013</v>
      </c>
      <c r="F271" s="11">
        <f>SUM(F246:F270)</f>
        <v>516165.9499999999</v>
      </c>
      <c r="G271" s="11">
        <f>SUM(G246:G270)</f>
        <v>484146.11999999994</v>
      </c>
      <c r="H271" s="3"/>
      <c r="I271" s="11">
        <f>SUM(I246:I270)</f>
        <v>528137.12</v>
      </c>
      <c r="J271" s="11">
        <f>SUM(J246:J270)</f>
        <v>528137.12</v>
      </c>
      <c r="K271" s="3"/>
      <c r="L271" s="11">
        <f>SUM(L246:L270)</f>
        <v>575488.83799999999</v>
      </c>
      <c r="M271" s="38">
        <f>+L271/J271</f>
        <v>1.0896580001799532</v>
      </c>
    </row>
    <row r="272" spans="1:13" ht="15" x14ac:dyDescent="0.2">
      <c r="D272" s="11"/>
      <c r="E272" s="11"/>
      <c r="F272" s="11"/>
      <c r="G272" s="11"/>
      <c r="H272" s="3"/>
      <c r="I272" s="11"/>
      <c r="J272" s="11"/>
      <c r="K272" s="3"/>
      <c r="L272" s="11"/>
    </row>
    <row r="273" spans="1:16" ht="15" x14ac:dyDescent="0.25">
      <c r="A273" s="23" t="s">
        <v>86</v>
      </c>
      <c r="B273" s="24" t="s">
        <v>325</v>
      </c>
      <c r="C273" s="11">
        <f>+C271+C242+C209+C164</f>
        <v>3309823</v>
      </c>
      <c r="D273" s="11">
        <f>+D271+D242+D209+D164</f>
        <v>3906752.9799999995</v>
      </c>
      <c r="E273" s="11">
        <f>+E271+E242+E209+E164</f>
        <v>3631751.8499999996</v>
      </c>
      <c r="F273" s="11">
        <f>+F271+F242+F209+F164</f>
        <v>4897407.8759999992</v>
      </c>
      <c r="G273" s="11">
        <f>+G271+G242+G209+G164</f>
        <v>4083281.2700000005</v>
      </c>
      <c r="H273" s="3"/>
      <c r="I273" s="11">
        <f>+I271+I242+I209+I164</f>
        <v>5313036.33</v>
      </c>
      <c r="J273" s="11">
        <f>+J271+J242+J209+J164</f>
        <v>5753826.9300000006</v>
      </c>
      <c r="K273" s="3"/>
      <c r="L273" s="11">
        <f>+L271+L242+L209+L164</f>
        <v>5940634.0945562609</v>
      </c>
      <c r="M273" s="38">
        <f>+L273/J273</f>
        <v>1.0324665942908819</v>
      </c>
      <c r="P273" s="11">
        <f>+(L250+L251+L228+L229+L181+L182+L119+L120+L93+L94)/L273</f>
        <v>0.13847619747424408</v>
      </c>
    </row>
    <row r="274" spans="1:16" ht="15" x14ac:dyDescent="0.2">
      <c r="D274" s="11"/>
      <c r="E274" s="11"/>
      <c r="F274" s="11"/>
      <c r="G274" s="11"/>
      <c r="H274" s="3"/>
      <c r="I274" s="11"/>
      <c r="J274" s="11"/>
      <c r="K274" s="3"/>
      <c r="L274" s="11"/>
    </row>
    <row r="275" spans="1:16" ht="15" x14ac:dyDescent="0.2">
      <c r="D275" s="11"/>
      <c r="E275" s="11"/>
      <c r="F275" s="11"/>
      <c r="G275" s="11"/>
      <c r="H275" s="3"/>
      <c r="I275" s="11"/>
      <c r="J275" s="11"/>
      <c r="K275" s="3"/>
      <c r="L275" s="11"/>
    </row>
    <row r="276" spans="1:16" ht="15" x14ac:dyDescent="0.25">
      <c r="A276" s="31"/>
      <c r="B276" s="32" t="s">
        <v>326</v>
      </c>
      <c r="C276" s="11">
        <f>+C63-C273</f>
        <v>933839</v>
      </c>
      <c r="D276" s="11">
        <f>+D63-D273</f>
        <v>2023199.9200000009</v>
      </c>
      <c r="E276" s="11">
        <f>+E63-E273</f>
        <v>1136378.6200000001</v>
      </c>
      <c r="F276" s="11">
        <f>+F63-F273</f>
        <v>874954.35400000121</v>
      </c>
      <c r="G276" s="11">
        <f>+G63-G273</f>
        <v>1688182.71</v>
      </c>
      <c r="H276" s="3"/>
      <c r="I276" s="11">
        <f>+I63-I273</f>
        <v>500968.66999999993</v>
      </c>
      <c r="J276" s="11">
        <f>+J63-J273</f>
        <v>503173.06999999937</v>
      </c>
      <c r="K276" s="3"/>
      <c r="L276" s="11">
        <f>+L63-L273</f>
        <v>-145634.09455626085</v>
      </c>
      <c r="M276" s="38">
        <f>+L276/J276</f>
        <v>-0.28943141682097778</v>
      </c>
    </row>
    <row r="277" spans="1:16" ht="15.75" customHeight="1" x14ac:dyDescent="0.2">
      <c r="D277" s="11"/>
      <c r="E277" s="11"/>
      <c r="F277" s="11"/>
      <c r="G277" s="11"/>
      <c r="H277" s="11"/>
      <c r="I277" s="11"/>
      <c r="J277" s="11"/>
      <c r="K277" s="11"/>
      <c r="L277" s="11"/>
    </row>
    <row r="278" spans="1:16" ht="15.75" customHeight="1" x14ac:dyDescent="0.2">
      <c r="A278" s="33"/>
      <c r="B278" s="33"/>
      <c r="C278" s="33"/>
      <c r="D278" s="11"/>
      <c r="E278" s="11"/>
      <c r="F278" s="11"/>
      <c r="G278" s="11"/>
      <c r="H278" s="11"/>
      <c r="I278" s="11"/>
      <c r="J278" s="11"/>
      <c r="K278" s="11"/>
      <c r="L278" s="11"/>
    </row>
    <row r="279" spans="1:16" ht="15" customHeight="1" x14ac:dyDescent="0.2">
      <c r="A279" s="33"/>
      <c r="B279" s="33"/>
      <c r="C279" s="34"/>
      <c r="D279" s="11"/>
      <c r="E279" s="11"/>
      <c r="F279" s="11"/>
      <c r="G279" s="11" t="s">
        <v>343</v>
      </c>
      <c r="H279" s="11"/>
      <c r="I279" s="11">
        <v>-478871.1</v>
      </c>
      <c r="J279" s="11">
        <v>-455400</v>
      </c>
      <c r="K279" s="11"/>
      <c r="L279" s="11">
        <f>-SUM(O6:O23)</f>
        <v>-434750</v>
      </c>
    </row>
    <row r="280" spans="1:16" x14ac:dyDescent="0.2">
      <c r="A280" s="33"/>
      <c r="B280" s="33"/>
      <c r="C280" s="33"/>
      <c r="D280" s="35"/>
      <c r="E280" s="35"/>
      <c r="F280" s="35"/>
      <c r="G280" s="35"/>
      <c r="H280" s="11"/>
      <c r="I280" s="36"/>
      <c r="J280" s="36"/>
      <c r="K280" s="11"/>
      <c r="L280" s="36"/>
    </row>
    <row r="281" spans="1:16" x14ac:dyDescent="0.2">
      <c r="A281" s="33"/>
      <c r="B281" s="33"/>
      <c r="C281" s="33"/>
      <c r="D281" s="35"/>
      <c r="E281" s="35"/>
      <c r="F281" s="35"/>
      <c r="G281" s="35"/>
      <c r="H281" s="11"/>
      <c r="I281" s="35">
        <f>SUM(I276:I280)</f>
        <v>22097.569999999949</v>
      </c>
      <c r="J281" s="35">
        <f>SUM(J276:J280)</f>
        <v>47773.069999999367</v>
      </c>
      <c r="K281" s="11"/>
      <c r="L281" s="35">
        <f>SUM(L276:L280)</f>
        <v>-580384.09455626085</v>
      </c>
    </row>
    <row r="282" spans="1:16" x14ac:dyDescent="0.2">
      <c r="A282" s="33"/>
      <c r="B282" s="33"/>
      <c r="C282" s="33"/>
      <c r="D282" s="35"/>
      <c r="E282" s="35"/>
      <c r="F282" s="35"/>
      <c r="G282" s="35"/>
      <c r="H282" s="11"/>
      <c r="I282" s="35"/>
      <c r="J282" s="35"/>
      <c r="K282" s="11"/>
      <c r="L282" s="35"/>
    </row>
    <row r="283" spans="1:16" x14ac:dyDescent="0.2">
      <c r="A283" s="33"/>
      <c r="B283" s="33"/>
      <c r="C283" s="33"/>
      <c r="D283" s="35"/>
      <c r="E283" s="35"/>
      <c r="F283" s="35"/>
      <c r="G283" s="35"/>
      <c r="H283" s="11"/>
      <c r="I283" s="35"/>
      <c r="J283" s="35"/>
      <c r="K283" s="11"/>
      <c r="L283" s="35"/>
    </row>
    <row r="284" spans="1:16" x14ac:dyDescent="0.2">
      <c r="A284" s="33"/>
      <c r="B284" s="33"/>
      <c r="C284" s="33"/>
      <c r="D284" s="35"/>
      <c r="E284" s="35"/>
      <c r="F284" s="35"/>
      <c r="G284" s="35"/>
      <c r="H284" s="11"/>
      <c r="I284" s="35"/>
      <c r="J284" s="35"/>
      <c r="K284" s="11"/>
      <c r="L284" s="35"/>
    </row>
    <row r="285" spans="1:16" x14ac:dyDescent="0.2">
      <c r="A285" s="33"/>
      <c r="B285" s="33"/>
      <c r="C285" s="33"/>
      <c r="D285" s="35"/>
      <c r="E285" s="35"/>
      <c r="F285" s="35"/>
      <c r="G285" s="35"/>
      <c r="H285" s="11"/>
      <c r="I285" s="35"/>
      <c r="J285" s="35"/>
      <c r="K285" s="11"/>
      <c r="L285" s="35"/>
    </row>
    <row r="286" spans="1:16" x14ac:dyDescent="0.2">
      <c r="A286" s="33"/>
      <c r="B286" s="33"/>
      <c r="C286" s="33"/>
      <c r="D286" s="35"/>
      <c r="E286" s="35"/>
      <c r="F286" s="35"/>
      <c r="G286" s="35"/>
      <c r="H286" s="11"/>
      <c r="I286" s="35"/>
      <c r="J286" s="35"/>
      <c r="K286" s="11"/>
      <c r="L286" s="35"/>
    </row>
    <row r="287" spans="1:16" x14ac:dyDescent="0.2">
      <c r="A287" s="33"/>
      <c r="B287" s="33"/>
      <c r="C287" s="33"/>
      <c r="D287" s="35"/>
      <c r="E287" s="35"/>
      <c r="F287" s="35"/>
      <c r="G287" s="35"/>
      <c r="H287" s="11"/>
      <c r="I287" s="35"/>
      <c r="J287" s="35"/>
      <c r="K287" s="11"/>
      <c r="L287" s="35"/>
    </row>
    <row r="288" spans="1:16" x14ac:dyDescent="0.2">
      <c r="A288" s="33"/>
      <c r="B288" s="33"/>
      <c r="C288" s="33"/>
      <c r="D288" s="35"/>
      <c r="E288" s="35"/>
      <c r="F288" s="35"/>
      <c r="G288" s="35"/>
      <c r="H288" s="11"/>
      <c r="I288" s="35"/>
      <c r="J288" s="35"/>
      <c r="K288" s="11"/>
      <c r="L288" s="35"/>
    </row>
    <row r="289" spans="1:12" x14ac:dyDescent="0.2">
      <c r="A289" s="33"/>
      <c r="B289" s="33"/>
      <c r="C289" s="33"/>
      <c r="D289" s="35"/>
      <c r="E289" s="35"/>
      <c r="F289" s="35"/>
      <c r="G289" s="35"/>
      <c r="H289" s="11"/>
      <c r="I289" s="35"/>
      <c r="J289" s="35"/>
      <c r="K289" s="11"/>
      <c r="L289" s="35"/>
    </row>
    <row r="290" spans="1:12" x14ac:dyDescent="0.2">
      <c r="A290" s="33"/>
      <c r="B290" s="33"/>
      <c r="C290" s="33"/>
      <c r="D290" s="35"/>
      <c r="E290" s="35"/>
      <c r="F290" s="35"/>
      <c r="G290" s="35"/>
      <c r="H290" s="11"/>
      <c r="I290" s="35"/>
      <c r="J290" s="35"/>
      <c r="K290" s="11"/>
      <c r="L290" s="35"/>
    </row>
    <row r="291" spans="1:12" x14ac:dyDescent="0.2">
      <c r="A291" s="33"/>
      <c r="B291" s="33"/>
      <c r="C291" s="33"/>
      <c r="D291" s="35"/>
      <c r="E291" s="35"/>
      <c r="F291" s="35"/>
      <c r="G291" s="35"/>
      <c r="H291" s="11"/>
      <c r="I291" s="35"/>
      <c r="J291" s="35"/>
      <c r="K291" s="11"/>
      <c r="L291" s="35"/>
    </row>
    <row r="292" spans="1:12" x14ac:dyDescent="0.2">
      <c r="A292" s="33"/>
      <c r="B292" s="33"/>
      <c r="C292" s="33"/>
      <c r="D292" s="35"/>
      <c r="E292" s="35"/>
      <c r="F292" s="35"/>
      <c r="G292" s="35"/>
      <c r="H292" s="11"/>
      <c r="I292" s="35"/>
      <c r="J292" s="35"/>
      <c r="K292" s="11"/>
      <c r="L292" s="35"/>
    </row>
    <row r="293" spans="1:12" x14ac:dyDescent="0.2">
      <c r="A293" s="33"/>
      <c r="B293" s="33"/>
      <c r="C293" s="33"/>
      <c r="D293" s="35"/>
      <c r="E293" s="35"/>
      <c r="F293" s="35"/>
      <c r="G293" s="35"/>
      <c r="H293" s="11"/>
      <c r="I293" s="35"/>
      <c r="J293" s="35"/>
      <c r="K293" s="11"/>
      <c r="L293" s="35"/>
    </row>
    <row r="294" spans="1:12" x14ac:dyDescent="0.2">
      <c r="A294" s="33"/>
      <c r="B294" s="33"/>
      <c r="C294" s="33"/>
      <c r="D294" s="35"/>
      <c r="E294" s="35"/>
      <c r="F294" s="35"/>
      <c r="G294" s="35"/>
      <c r="H294" s="11"/>
      <c r="I294" s="35"/>
      <c r="J294" s="35"/>
      <c r="K294" s="11"/>
      <c r="L294" s="35"/>
    </row>
    <row r="295" spans="1:12" x14ac:dyDescent="0.2">
      <c r="A295" s="33"/>
      <c r="B295" s="33"/>
      <c r="C295" s="33"/>
      <c r="D295" s="35"/>
      <c r="E295" s="35"/>
      <c r="F295" s="35"/>
      <c r="G295" s="35"/>
      <c r="H295" s="11"/>
      <c r="I295" s="35"/>
      <c r="J295" s="35"/>
      <c r="K295" s="11"/>
      <c r="L295" s="35"/>
    </row>
    <row r="296" spans="1:12" x14ac:dyDescent="0.2">
      <c r="A296" s="33"/>
      <c r="B296" s="33"/>
      <c r="C296" s="33"/>
      <c r="D296" s="35"/>
      <c r="E296" s="35"/>
      <c r="F296" s="35"/>
      <c r="G296" s="35"/>
      <c r="H296" s="11"/>
      <c r="I296" s="35"/>
      <c r="J296" s="35"/>
      <c r="K296" s="11"/>
      <c r="L296" s="35"/>
    </row>
    <row r="297" spans="1:12" x14ac:dyDescent="0.2">
      <c r="A297" s="33"/>
      <c r="B297" s="33"/>
      <c r="C297" s="33"/>
      <c r="D297" s="35"/>
      <c r="E297" s="35"/>
      <c r="F297" s="35"/>
      <c r="G297" s="35"/>
      <c r="H297" s="11"/>
      <c r="I297" s="35"/>
      <c r="J297" s="35"/>
      <c r="K297" s="11"/>
      <c r="L297" s="35"/>
    </row>
    <row r="298" spans="1:12" x14ac:dyDescent="0.2">
      <c r="A298" s="33"/>
      <c r="B298" s="33"/>
      <c r="C298" s="33"/>
      <c r="D298" s="35"/>
      <c r="E298" s="35"/>
      <c r="F298" s="35"/>
      <c r="G298" s="35"/>
      <c r="H298" s="11"/>
      <c r="I298" s="35"/>
      <c r="J298" s="35"/>
      <c r="K298" s="11"/>
      <c r="L298" s="35"/>
    </row>
    <row r="299" spans="1:12" x14ac:dyDescent="0.2">
      <c r="A299" s="33"/>
      <c r="B299" s="33"/>
      <c r="C299" s="33"/>
      <c r="D299" s="35"/>
      <c r="E299" s="35"/>
      <c r="F299" s="35"/>
      <c r="G299" s="35"/>
      <c r="H299" s="11"/>
      <c r="I299" s="35"/>
      <c r="J299" s="35"/>
      <c r="K299" s="11"/>
      <c r="L299" s="35"/>
    </row>
    <row r="300" spans="1:12" x14ac:dyDescent="0.2">
      <c r="A300" s="33"/>
      <c r="B300" s="33"/>
      <c r="C300" s="33"/>
      <c r="D300" s="35"/>
      <c r="E300" s="35"/>
      <c r="F300" s="35"/>
      <c r="G300" s="35"/>
      <c r="H300" s="11"/>
      <c r="I300" s="35"/>
      <c r="J300" s="35"/>
      <c r="K300" s="11"/>
      <c r="L300" s="35"/>
    </row>
    <row r="301" spans="1:12" x14ac:dyDescent="0.2">
      <c r="A301" s="33"/>
      <c r="B301" s="33"/>
      <c r="C301" s="33"/>
      <c r="D301" s="35"/>
      <c r="E301" s="35"/>
      <c r="F301" s="35"/>
      <c r="G301" s="35"/>
      <c r="H301" s="11"/>
      <c r="I301" s="35"/>
      <c r="J301" s="35"/>
      <c r="K301" s="11"/>
      <c r="L301" s="35"/>
    </row>
    <row r="302" spans="1:12" x14ac:dyDescent="0.2">
      <c r="A302" s="33"/>
      <c r="B302" s="33"/>
      <c r="C302" s="33"/>
      <c r="D302" s="35"/>
      <c r="E302" s="35"/>
      <c r="F302" s="35"/>
      <c r="G302" s="35"/>
      <c r="H302" s="11"/>
      <c r="I302" s="35"/>
      <c r="J302" s="35"/>
      <c r="K302" s="11"/>
      <c r="L302" s="35"/>
    </row>
    <row r="303" spans="1:12" x14ac:dyDescent="0.2">
      <c r="A303" s="33"/>
      <c r="B303" s="33"/>
      <c r="C303" s="33"/>
      <c r="D303" s="35"/>
      <c r="E303" s="35"/>
      <c r="F303" s="35"/>
      <c r="G303" s="35"/>
      <c r="H303" s="11"/>
      <c r="I303" s="35"/>
      <c r="J303" s="35"/>
      <c r="K303" s="11"/>
      <c r="L303" s="35"/>
    </row>
    <row r="304" spans="1:12" x14ac:dyDescent="0.2">
      <c r="A304" s="33"/>
      <c r="B304" s="33"/>
      <c r="C304" s="33"/>
      <c r="D304" s="35"/>
      <c r="E304" s="35"/>
      <c r="F304" s="35"/>
      <c r="G304" s="35"/>
      <c r="H304" s="11"/>
      <c r="I304" s="35"/>
      <c r="J304" s="35"/>
      <c r="K304" s="11"/>
      <c r="L304" s="35"/>
    </row>
    <row r="305" spans="1:12" x14ac:dyDescent="0.2">
      <c r="A305" s="33"/>
      <c r="B305" s="33"/>
      <c r="C305" s="33"/>
      <c r="D305" s="35"/>
      <c r="E305" s="35"/>
      <c r="F305" s="35"/>
      <c r="G305" s="35"/>
      <c r="H305" s="11"/>
      <c r="I305" s="35"/>
      <c r="J305" s="35"/>
      <c r="K305" s="11"/>
      <c r="L305" s="35"/>
    </row>
    <row r="306" spans="1:12" x14ac:dyDescent="0.2">
      <c r="A306" s="33"/>
      <c r="B306" s="33"/>
      <c r="C306" s="33"/>
      <c r="D306" s="35"/>
      <c r="E306" s="35"/>
      <c r="F306" s="35"/>
      <c r="G306" s="35"/>
      <c r="H306" s="11"/>
      <c r="I306" s="35"/>
      <c r="J306" s="35"/>
      <c r="K306" s="11"/>
      <c r="L306" s="35"/>
    </row>
    <row r="307" spans="1:12" x14ac:dyDescent="0.2">
      <c r="A307" s="33"/>
      <c r="B307" s="33"/>
      <c r="C307" s="33"/>
      <c r="D307" s="35"/>
      <c r="E307" s="35"/>
      <c r="F307" s="35"/>
      <c r="G307" s="35"/>
      <c r="H307" s="11"/>
      <c r="I307" s="35"/>
      <c r="J307" s="35"/>
      <c r="K307" s="11"/>
      <c r="L307" s="35"/>
    </row>
    <row r="308" spans="1:12" x14ac:dyDescent="0.2">
      <c r="A308" s="33"/>
      <c r="B308" s="33"/>
      <c r="C308" s="33"/>
      <c r="D308" s="35"/>
      <c r="E308" s="35"/>
      <c r="F308" s="35"/>
      <c r="G308" s="35"/>
      <c r="H308" s="11"/>
      <c r="I308" s="35"/>
      <c r="J308" s="35"/>
      <c r="K308" s="11"/>
      <c r="L308" s="35"/>
    </row>
    <row r="309" spans="1:12" x14ac:dyDescent="0.2">
      <c r="A309" s="33"/>
      <c r="B309" s="33"/>
      <c r="C309" s="33"/>
      <c r="D309" s="35"/>
      <c r="E309" s="35"/>
      <c r="F309" s="35"/>
      <c r="G309" s="35"/>
      <c r="H309" s="11"/>
      <c r="I309" s="35"/>
      <c r="J309" s="35"/>
      <c r="K309" s="11"/>
      <c r="L309" s="35"/>
    </row>
    <row r="310" spans="1:12" x14ac:dyDescent="0.2">
      <c r="A310" s="33"/>
      <c r="B310" s="33"/>
      <c r="C310" s="33"/>
      <c r="D310" s="35"/>
      <c r="E310" s="35"/>
      <c r="F310" s="35"/>
      <c r="G310" s="35"/>
      <c r="H310" s="11"/>
      <c r="I310" s="35"/>
      <c r="J310" s="35"/>
      <c r="K310" s="11"/>
      <c r="L310" s="35"/>
    </row>
    <row r="311" spans="1:12" x14ac:dyDescent="0.2">
      <c r="A311" s="33"/>
      <c r="B311" s="33"/>
      <c r="C311" s="33"/>
      <c r="D311" s="35"/>
      <c r="E311" s="35"/>
      <c r="F311" s="35"/>
      <c r="G311" s="35"/>
      <c r="H311" s="11"/>
      <c r="I311" s="35"/>
      <c r="J311" s="35"/>
      <c r="K311" s="11"/>
      <c r="L311" s="35"/>
    </row>
    <row r="312" spans="1:12" x14ac:dyDescent="0.2">
      <c r="A312" s="33"/>
      <c r="B312" s="33"/>
      <c r="C312" s="33"/>
      <c r="D312" s="35"/>
      <c r="E312" s="35"/>
      <c r="F312" s="35"/>
      <c r="G312" s="35"/>
      <c r="H312" s="11"/>
      <c r="I312" s="35"/>
      <c r="J312" s="35"/>
      <c r="K312" s="11"/>
      <c r="L312" s="35"/>
    </row>
    <row r="313" spans="1:12" x14ac:dyDescent="0.2">
      <c r="A313" s="33"/>
      <c r="B313" s="33"/>
      <c r="C313" s="33"/>
      <c r="D313" s="35"/>
      <c r="E313" s="35"/>
      <c r="F313" s="35"/>
      <c r="G313" s="35"/>
      <c r="H313" s="11"/>
      <c r="I313" s="35"/>
      <c r="J313" s="35"/>
      <c r="K313" s="11"/>
      <c r="L313" s="35"/>
    </row>
    <row r="314" spans="1:12" x14ac:dyDescent="0.2">
      <c r="A314" s="33"/>
      <c r="B314" s="33"/>
      <c r="C314" s="33"/>
      <c r="D314" s="35"/>
      <c r="E314" s="35"/>
      <c r="F314" s="35"/>
      <c r="G314" s="35"/>
      <c r="H314" s="11"/>
      <c r="I314" s="35"/>
      <c r="J314" s="35"/>
      <c r="K314" s="11"/>
      <c r="L314" s="35"/>
    </row>
    <row r="315" spans="1:12" x14ac:dyDescent="0.2">
      <c r="A315" s="33"/>
      <c r="B315" s="33"/>
      <c r="C315" s="33"/>
      <c r="D315" s="35"/>
      <c r="E315" s="35"/>
      <c r="F315" s="35"/>
      <c r="G315" s="35"/>
      <c r="H315" s="11"/>
      <c r="I315" s="35"/>
      <c r="J315" s="35"/>
      <c r="K315" s="11"/>
      <c r="L315" s="35"/>
    </row>
    <row r="316" spans="1:12" x14ac:dyDescent="0.2">
      <c r="A316" s="33"/>
      <c r="B316" s="33"/>
      <c r="C316" s="33"/>
      <c r="D316" s="35"/>
      <c r="E316" s="35"/>
      <c r="F316" s="35"/>
      <c r="G316" s="35"/>
      <c r="H316" s="11"/>
      <c r="I316" s="35"/>
      <c r="J316" s="35"/>
      <c r="K316" s="11"/>
      <c r="L316" s="35"/>
    </row>
    <row r="317" spans="1:12" x14ac:dyDescent="0.2">
      <c r="A317" s="33"/>
      <c r="B317" s="33"/>
      <c r="C317" s="33"/>
      <c r="D317" s="35"/>
      <c r="E317" s="35"/>
      <c r="F317" s="35"/>
      <c r="G317" s="35"/>
      <c r="H317" s="11"/>
      <c r="I317" s="35"/>
      <c r="J317" s="35"/>
      <c r="K317" s="11"/>
      <c r="L317" s="35"/>
    </row>
    <row r="318" spans="1:12" x14ac:dyDescent="0.2">
      <c r="A318" s="33"/>
      <c r="B318" s="33"/>
      <c r="C318" s="33"/>
      <c r="D318" s="35"/>
      <c r="E318" s="35"/>
      <c r="F318" s="35"/>
      <c r="G318" s="35"/>
      <c r="H318" s="11"/>
      <c r="I318" s="35"/>
      <c r="J318" s="35"/>
      <c r="K318" s="11"/>
      <c r="L318" s="35"/>
    </row>
    <row r="319" spans="1:12" x14ac:dyDescent="0.2">
      <c r="A319" s="33"/>
      <c r="B319" s="33"/>
      <c r="C319" s="33"/>
      <c r="D319" s="35"/>
      <c r="E319" s="35"/>
      <c r="F319" s="35"/>
      <c r="G319" s="35"/>
      <c r="H319" s="11"/>
      <c r="I319" s="35"/>
      <c r="J319" s="35"/>
      <c r="K319" s="11"/>
      <c r="L319" s="35"/>
    </row>
    <row r="320" spans="1:12" x14ac:dyDescent="0.2">
      <c r="A320" s="33"/>
      <c r="B320" s="33"/>
      <c r="C320" s="33"/>
      <c r="D320" s="35"/>
      <c r="E320" s="35"/>
      <c r="F320" s="35"/>
      <c r="G320" s="35"/>
      <c r="H320" s="11"/>
      <c r="I320" s="35"/>
      <c r="J320" s="35"/>
      <c r="K320" s="11"/>
      <c r="L320" s="35"/>
    </row>
    <row r="321" spans="1:12" x14ac:dyDescent="0.2">
      <c r="A321" s="33"/>
      <c r="B321" s="33"/>
      <c r="C321" s="33"/>
      <c r="D321" s="35"/>
      <c r="E321" s="35"/>
      <c r="F321" s="35"/>
      <c r="G321" s="35"/>
      <c r="H321" s="11"/>
      <c r="I321" s="35"/>
      <c r="J321" s="35"/>
      <c r="K321" s="11"/>
      <c r="L321" s="35"/>
    </row>
    <row r="322" spans="1:12" x14ac:dyDescent="0.2">
      <c r="A322" s="33"/>
      <c r="B322" s="33"/>
      <c r="C322" s="33"/>
      <c r="D322" s="35"/>
      <c r="E322" s="35"/>
      <c r="F322" s="35"/>
      <c r="G322" s="35"/>
      <c r="H322" s="11"/>
      <c r="I322" s="35"/>
      <c r="J322" s="35"/>
      <c r="K322" s="11"/>
      <c r="L322" s="35"/>
    </row>
    <row r="323" spans="1:12" x14ac:dyDescent="0.2">
      <c r="A323" s="33"/>
      <c r="B323" s="33"/>
      <c r="C323" s="33"/>
      <c r="D323" s="35"/>
      <c r="E323" s="35"/>
      <c r="F323" s="35"/>
      <c r="G323" s="35"/>
      <c r="H323" s="11"/>
      <c r="I323" s="35"/>
      <c r="J323" s="35"/>
      <c r="K323" s="11"/>
      <c r="L323" s="35"/>
    </row>
    <row r="324" spans="1:12" x14ac:dyDescent="0.2">
      <c r="A324" s="33"/>
      <c r="B324" s="33"/>
      <c r="C324" s="33"/>
      <c r="D324" s="35"/>
      <c r="E324" s="35"/>
      <c r="F324" s="35"/>
      <c r="G324" s="35"/>
      <c r="H324" s="11"/>
      <c r="I324" s="35"/>
      <c r="J324" s="35"/>
      <c r="K324" s="11"/>
      <c r="L324" s="35"/>
    </row>
    <row r="325" spans="1:12" x14ac:dyDescent="0.2">
      <c r="A325" s="33"/>
      <c r="B325" s="33"/>
      <c r="C325" s="33"/>
      <c r="D325" s="35"/>
      <c r="E325" s="35"/>
      <c r="F325" s="35"/>
      <c r="G325" s="35"/>
      <c r="H325" s="11"/>
      <c r="I325" s="35"/>
      <c r="J325" s="35"/>
      <c r="K325" s="11"/>
      <c r="L325" s="35"/>
    </row>
    <row r="326" spans="1:12" x14ac:dyDescent="0.2">
      <c r="A326" s="33"/>
      <c r="B326" s="33"/>
      <c r="C326" s="33"/>
      <c r="D326" s="35"/>
      <c r="E326" s="35"/>
      <c r="F326" s="35"/>
      <c r="G326" s="35"/>
      <c r="H326" s="11"/>
      <c r="I326" s="35"/>
      <c r="J326" s="35"/>
      <c r="K326" s="11"/>
      <c r="L326" s="35"/>
    </row>
    <row r="327" spans="1:12" x14ac:dyDescent="0.2">
      <c r="A327" s="33"/>
      <c r="B327" s="33"/>
      <c r="C327" s="33"/>
      <c r="D327" s="35"/>
      <c r="E327" s="35"/>
      <c r="F327" s="35"/>
      <c r="G327" s="35"/>
      <c r="H327" s="11"/>
      <c r="I327" s="35"/>
      <c r="J327" s="35"/>
      <c r="K327" s="11"/>
      <c r="L327" s="35"/>
    </row>
    <row r="328" spans="1:12" x14ac:dyDescent="0.2">
      <c r="A328" s="33"/>
      <c r="B328" s="33"/>
      <c r="C328" s="33"/>
      <c r="D328" s="35"/>
      <c r="E328" s="35"/>
      <c r="F328" s="35"/>
      <c r="G328" s="35"/>
      <c r="H328" s="11"/>
      <c r="I328" s="35"/>
      <c r="J328" s="35"/>
      <c r="K328" s="11"/>
      <c r="L328" s="35"/>
    </row>
    <row r="329" spans="1:12" x14ac:dyDescent="0.2">
      <c r="A329" s="33"/>
      <c r="B329" s="33"/>
      <c r="C329" s="33"/>
      <c r="D329" s="35"/>
      <c r="E329" s="35"/>
      <c r="F329" s="35"/>
      <c r="G329" s="35"/>
      <c r="H329" s="11"/>
      <c r="I329" s="35"/>
      <c r="J329" s="35"/>
      <c r="K329" s="11"/>
      <c r="L329" s="35"/>
    </row>
    <row r="330" spans="1:12" x14ac:dyDescent="0.2">
      <c r="A330" s="33"/>
      <c r="B330" s="33"/>
      <c r="C330" s="33"/>
      <c r="D330" s="35"/>
      <c r="E330" s="35"/>
      <c r="F330" s="35"/>
      <c r="G330" s="35"/>
      <c r="H330" s="11"/>
      <c r="I330" s="35"/>
      <c r="J330" s="35"/>
      <c r="K330" s="11"/>
      <c r="L330" s="35"/>
    </row>
    <row r="331" spans="1:12" x14ac:dyDescent="0.2">
      <c r="A331" s="33"/>
      <c r="B331" s="33"/>
      <c r="C331" s="33"/>
      <c r="D331" s="35"/>
      <c r="E331" s="35"/>
      <c r="F331" s="35"/>
      <c r="G331" s="35"/>
      <c r="H331" s="11"/>
      <c r="I331" s="35"/>
      <c r="J331" s="35"/>
      <c r="K331" s="11"/>
      <c r="L331" s="35"/>
    </row>
    <row r="332" spans="1:12" x14ac:dyDescent="0.2">
      <c r="A332" s="33"/>
      <c r="B332" s="33"/>
      <c r="C332" s="33"/>
      <c r="D332" s="35"/>
      <c r="E332" s="35"/>
      <c r="F332" s="35"/>
      <c r="G332" s="35"/>
      <c r="H332" s="11"/>
      <c r="I332" s="35"/>
      <c r="J332" s="35"/>
      <c r="K332" s="11"/>
      <c r="L332" s="35"/>
    </row>
    <row r="333" spans="1:12" x14ac:dyDescent="0.2">
      <c r="A333" s="33"/>
      <c r="B333" s="33"/>
      <c r="C333" s="33"/>
      <c r="D333" s="35"/>
      <c r="E333" s="35"/>
      <c r="F333" s="35"/>
      <c r="G333" s="35"/>
      <c r="H333" s="11"/>
      <c r="I333" s="35"/>
      <c r="J333" s="35"/>
      <c r="K333" s="11"/>
      <c r="L333" s="35"/>
    </row>
    <row r="334" spans="1:12" x14ac:dyDescent="0.2">
      <c r="A334" s="33"/>
      <c r="B334" s="33"/>
      <c r="C334" s="33"/>
      <c r="D334" s="35"/>
      <c r="E334" s="35"/>
      <c r="F334" s="35"/>
      <c r="G334" s="35"/>
      <c r="H334" s="11"/>
      <c r="I334" s="35"/>
      <c r="J334" s="35"/>
      <c r="K334" s="11"/>
      <c r="L334" s="35"/>
    </row>
    <row r="335" spans="1:12" x14ac:dyDescent="0.2">
      <c r="A335" s="33"/>
      <c r="B335" s="33"/>
      <c r="C335" s="33"/>
      <c r="D335" s="35"/>
      <c r="E335" s="35"/>
      <c r="F335" s="35"/>
      <c r="G335" s="35"/>
      <c r="H335" s="11"/>
      <c r="I335" s="35"/>
      <c r="J335" s="35"/>
      <c r="K335" s="11"/>
      <c r="L335" s="35"/>
    </row>
    <row r="336" spans="1:12" x14ac:dyDescent="0.2">
      <c r="A336" s="33"/>
      <c r="B336" s="33"/>
      <c r="C336" s="33"/>
      <c r="D336" s="35"/>
      <c r="E336" s="35"/>
      <c r="F336" s="35"/>
      <c r="G336" s="35"/>
      <c r="H336" s="11"/>
      <c r="I336" s="35"/>
      <c r="J336" s="35"/>
      <c r="K336" s="11"/>
      <c r="L336" s="35"/>
    </row>
    <row r="337" spans="1:12" x14ac:dyDescent="0.2">
      <c r="A337" s="33"/>
      <c r="B337" s="33"/>
      <c r="C337" s="33"/>
      <c r="D337" s="35"/>
      <c r="E337" s="35"/>
      <c r="F337" s="35"/>
      <c r="G337" s="35"/>
      <c r="H337" s="11"/>
      <c r="I337" s="35"/>
      <c r="J337" s="35"/>
      <c r="K337" s="11"/>
      <c r="L337" s="35"/>
    </row>
    <row r="338" spans="1:12" x14ac:dyDescent="0.2">
      <c r="A338" s="33"/>
      <c r="B338" s="33"/>
      <c r="C338" s="33"/>
      <c r="D338" s="35"/>
      <c r="E338" s="35"/>
      <c r="F338" s="35"/>
      <c r="G338" s="35"/>
      <c r="H338" s="11"/>
      <c r="I338" s="35"/>
      <c r="J338" s="35"/>
      <c r="K338" s="11"/>
      <c r="L338" s="35"/>
    </row>
    <row r="339" spans="1:12" x14ac:dyDescent="0.2">
      <c r="A339" s="33"/>
      <c r="B339" s="33"/>
      <c r="C339" s="33"/>
      <c r="D339" s="35"/>
      <c r="E339" s="35"/>
      <c r="F339" s="35"/>
      <c r="G339" s="35"/>
      <c r="H339" s="11"/>
      <c r="I339" s="35"/>
      <c r="J339" s="35"/>
      <c r="K339" s="11"/>
      <c r="L339" s="35"/>
    </row>
    <row r="340" spans="1:12" x14ac:dyDescent="0.2">
      <c r="A340" s="33"/>
      <c r="B340" s="33"/>
      <c r="C340" s="33"/>
      <c r="D340" s="35"/>
      <c r="E340" s="35"/>
      <c r="F340" s="35"/>
      <c r="G340" s="35"/>
      <c r="H340" s="11"/>
      <c r="I340" s="35"/>
      <c r="J340" s="35"/>
      <c r="K340" s="11"/>
      <c r="L340" s="35"/>
    </row>
    <row r="341" spans="1:12" x14ac:dyDescent="0.2">
      <c r="A341" s="33"/>
      <c r="B341" s="33"/>
      <c r="C341" s="33"/>
      <c r="D341" s="35"/>
      <c r="E341" s="35"/>
      <c r="F341" s="35"/>
      <c r="G341" s="35"/>
      <c r="H341" s="11"/>
      <c r="I341" s="35"/>
      <c r="J341" s="35"/>
      <c r="K341" s="11"/>
      <c r="L341" s="35"/>
    </row>
    <row r="342" spans="1:12" x14ac:dyDescent="0.2">
      <c r="A342" s="33"/>
      <c r="B342" s="33"/>
      <c r="C342" s="33"/>
      <c r="D342" s="35"/>
      <c r="E342" s="35"/>
      <c r="F342" s="35"/>
      <c r="G342" s="35"/>
      <c r="H342" s="11"/>
      <c r="I342" s="35"/>
      <c r="J342" s="35"/>
      <c r="K342" s="11"/>
      <c r="L342" s="35"/>
    </row>
    <row r="343" spans="1:12" x14ac:dyDescent="0.2">
      <c r="A343" s="33"/>
      <c r="B343" s="33"/>
      <c r="C343" s="33"/>
      <c r="D343" s="35"/>
      <c r="E343" s="35"/>
      <c r="F343" s="35"/>
      <c r="G343" s="35"/>
      <c r="H343" s="11"/>
      <c r="I343" s="35"/>
      <c r="J343" s="35"/>
      <c r="K343" s="11"/>
      <c r="L343" s="35"/>
    </row>
    <row r="344" spans="1:12" x14ac:dyDescent="0.2">
      <c r="A344" s="33"/>
      <c r="B344" s="33"/>
      <c r="C344" s="33"/>
      <c r="D344" s="35"/>
      <c r="E344" s="35"/>
      <c r="F344" s="35"/>
      <c r="G344" s="35"/>
      <c r="H344" s="11"/>
      <c r="I344" s="35"/>
      <c r="J344" s="35"/>
      <c r="K344" s="11"/>
      <c r="L344" s="35"/>
    </row>
    <row r="345" spans="1:12" x14ac:dyDescent="0.2">
      <c r="A345" s="33"/>
      <c r="B345" s="33"/>
      <c r="C345" s="33"/>
      <c r="D345" s="35"/>
      <c r="E345" s="35"/>
      <c r="F345" s="35"/>
      <c r="G345" s="35"/>
      <c r="H345" s="11"/>
      <c r="I345" s="35"/>
      <c r="J345" s="35"/>
      <c r="K345" s="11"/>
      <c r="L345" s="35"/>
    </row>
    <row r="346" spans="1:12" x14ac:dyDescent="0.2">
      <c r="A346" s="33"/>
      <c r="B346" s="33"/>
      <c r="C346" s="33"/>
      <c r="D346" s="35"/>
      <c r="E346" s="35"/>
      <c r="F346" s="35"/>
      <c r="G346" s="35"/>
      <c r="H346" s="11"/>
      <c r="I346" s="35"/>
      <c r="J346" s="35"/>
      <c r="K346" s="11"/>
      <c r="L346" s="35"/>
    </row>
    <row r="347" spans="1:12" x14ac:dyDescent="0.2">
      <c r="A347" s="33"/>
      <c r="B347" s="33"/>
      <c r="C347" s="33"/>
      <c r="D347" s="35"/>
      <c r="E347" s="35"/>
      <c r="F347" s="35"/>
      <c r="G347" s="35"/>
      <c r="H347" s="11"/>
      <c r="I347" s="35"/>
      <c r="J347" s="35"/>
      <c r="K347" s="11"/>
      <c r="L347" s="35"/>
    </row>
    <row r="348" spans="1:12" x14ac:dyDescent="0.2">
      <c r="A348" s="33"/>
      <c r="B348" s="33"/>
      <c r="C348" s="33"/>
      <c r="D348" s="35"/>
      <c r="E348" s="35"/>
      <c r="F348" s="35"/>
      <c r="G348" s="35"/>
      <c r="H348" s="11"/>
      <c r="I348" s="35"/>
      <c r="J348" s="35"/>
      <c r="K348" s="11"/>
      <c r="L348" s="35"/>
    </row>
    <row r="349" spans="1:12" x14ac:dyDescent="0.2">
      <c r="A349" s="33"/>
      <c r="B349" s="33"/>
      <c r="C349" s="33"/>
      <c r="D349" s="35"/>
      <c r="E349" s="35"/>
      <c r="F349" s="35"/>
      <c r="G349" s="35"/>
      <c r="H349" s="11"/>
      <c r="I349" s="35"/>
      <c r="J349" s="35"/>
      <c r="K349" s="11"/>
      <c r="L349" s="35"/>
    </row>
    <row r="350" spans="1:12" x14ac:dyDescent="0.2">
      <c r="A350" s="33"/>
      <c r="B350" s="33"/>
      <c r="C350" s="33"/>
      <c r="D350" s="35"/>
      <c r="E350" s="35"/>
      <c r="F350" s="35"/>
      <c r="G350" s="35"/>
      <c r="H350" s="11"/>
      <c r="I350" s="35"/>
      <c r="J350" s="35"/>
      <c r="K350" s="11"/>
      <c r="L350" s="35"/>
    </row>
    <row r="351" spans="1:12" x14ac:dyDescent="0.2">
      <c r="A351" s="33"/>
      <c r="B351" s="33"/>
      <c r="C351" s="33"/>
      <c r="D351" s="35"/>
      <c r="E351" s="35"/>
      <c r="F351" s="35"/>
      <c r="G351" s="35"/>
      <c r="H351" s="11"/>
      <c r="I351" s="35"/>
      <c r="J351" s="35"/>
      <c r="K351" s="11"/>
      <c r="L351" s="35"/>
    </row>
    <row r="352" spans="1:12" x14ac:dyDescent="0.2">
      <c r="A352" s="33"/>
      <c r="B352" s="33"/>
      <c r="C352" s="33"/>
      <c r="D352" s="35"/>
      <c r="E352" s="35"/>
      <c r="F352" s="35"/>
      <c r="G352" s="35"/>
      <c r="H352" s="11"/>
      <c r="I352" s="35"/>
      <c r="J352" s="35"/>
      <c r="K352" s="11"/>
      <c r="L352" s="35"/>
    </row>
    <row r="353" spans="1:12" x14ac:dyDescent="0.2">
      <c r="A353" s="33"/>
      <c r="B353" s="33"/>
      <c r="C353" s="33"/>
      <c r="D353" s="35"/>
      <c r="E353" s="35"/>
      <c r="F353" s="35"/>
      <c r="G353" s="35"/>
      <c r="H353" s="11"/>
      <c r="I353" s="35"/>
      <c r="J353" s="35"/>
      <c r="K353" s="11"/>
      <c r="L353" s="35"/>
    </row>
    <row r="354" spans="1:12" x14ac:dyDescent="0.2">
      <c r="A354" s="33"/>
      <c r="B354" s="33"/>
      <c r="C354" s="33"/>
      <c r="D354" s="35"/>
      <c r="E354" s="35"/>
      <c r="F354" s="35"/>
      <c r="G354" s="35"/>
      <c r="H354" s="11"/>
      <c r="I354" s="35"/>
      <c r="J354" s="35"/>
      <c r="K354" s="11"/>
      <c r="L354" s="35"/>
    </row>
    <row r="355" spans="1:12" x14ac:dyDescent="0.2">
      <c r="A355" s="33"/>
      <c r="B355" s="33"/>
      <c r="C355" s="33"/>
      <c r="D355" s="35"/>
      <c r="E355" s="35"/>
      <c r="F355" s="35"/>
      <c r="G355" s="35"/>
      <c r="H355" s="11"/>
      <c r="I355" s="35"/>
      <c r="J355" s="35"/>
      <c r="K355" s="11"/>
      <c r="L355" s="35"/>
    </row>
    <row r="356" spans="1:12" x14ac:dyDescent="0.2">
      <c r="A356" s="33"/>
      <c r="B356" s="33"/>
      <c r="C356" s="33"/>
      <c r="D356" s="35"/>
      <c r="E356" s="35"/>
      <c r="F356" s="35"/>
      <c r="G356" s="35"/>
      <c r="H356" s="11"/>
      <c r="I356" s="35"/>
      <c r="J356" s="35"/>
      <c r="K356" s="11"/>
      <c r="L356" s="35"/>
    </row>
    <row r="357" spans="1:12" x14ac:dyDescent="0.2">
      <c r="A357" s="33"/>
      <c r="B357" s="33"/>
      <c r="C357" s="33"/>
      <c r="D357" s="35"/>
      <c r="E357" s="35"/>
      <c r="F357" s="35"/>
      <c r="G357" s="35"/>
      <c r="H357" s="11"/>
      <c r="I357" s="35"/>
      <c r="J357" s="35"/>
      <c r="K357" s="11"/>
      <c r="L357" s="35"/>
    </row>
    <row r="358" spans="1:12" x14ac:dyDescent="0.2">
      <c r="D358" s="11"/>
      <c r="E358" s="11"/>
      <c r="F358" s="11"/>
      <c r="G358" s="11"/>
      <c r="H358" s="11"/>
      <c r="I358" s="11"/>
      <c r="J358" s="11"/>
      <c r="K358" s="11"/>
      <c r="L358" s="11"/>
    </row>
    <row r="359" spans="1:12" x14ac:dyDescent="0.2">
      <c r="D359" s="11"/>
      <c r="E359" s="11"/>
      <c r="F359" s="11"/>
      <c r="G359" s="11"/>
      <c r="H359" s="11"/>
      <c r="I359" s="11"/>
      <c r="J359" s="11"/>
      <c r="K359" s="11"/>
      <c r="L359" s="11"/>
    </row>
    <row r="360" spans="1:12" x14ac:dyDescent="0.2">
      <c r="D360" s="11"/>
      <c r="E360" s="11"/>
      <c r="F360" s="11"/>
      <c r="G360" s="11"/>
      <c r="H360" s="11"/>
      <c r="I360" s="11"/>
      <c r="J360" s="11"/>
      <c r="K360" s="11"/>
      <c r="L360" s="11"/>
    </row>
    <row r="361" spans="1:12" x14ac:dyDescent="0.2">
      <c r="D361" s="11"/>
      <c r="E361" s="11"/>
      <c r="F361" s="11"/>
      <c r="G361" s="11"/>
      <c r="H361" s="11"/>
      <c r="I361" s="11"/>
      <c r="J361" s="11"/>
      <c r="K361" s="11"/>
      <c r="L361" s="11"/>
    </row>
    <row r="362" spans="1:12" x14ac:dyDescent="0.2">
      <c r="D362" s="11"/>
      <c r="E362" s="11"/>
      <c r="F362" s="11"/>
      <c r="G362" s="11"/>
      <c r="H362" s="11"/>
      <c r="I362" s="11"/>
      <c r="J362" s="11"/>
      <c r="K362" s="11"/>
      <c r="L362" s="11"/>
    </row>
    <row r="363" spans="1:12" x14ac:dyDescent="0.2">
      <c r="D363" s="11"/>
      <c r="E363" s="11"/>
      <c r="F363" s="11"/>
      <c r="G363" s="11"/>
      <c r="H363" s="11"/>
      <c r="I363" s="11"/>
      <c r="J363" s="11"/>
      <c r="K363" s="11"/>
      <c r="L363" s="11"/>
    </row>
    <row r="364" spans="1:12" x14ac:dyDescent="0.2">
      <c r="D364" s="11"/>
      <c r="E364" s="11"/>
      <c r="F364" s="11"/>
      <c r="G364" s="11"/>
      <c r="H364" s="11"/>
      <c r="I364" s="11"/>
      <c r="J364" s="11"/>
      <c r="K364" s="11"/>
      <c r="L364" s="11"/>
    </row>
    <row r="365" spans="1:12" x14ac:dyDescent="0.2">
      <c r="D365" s="11"/>
      <c r="E365" s="11"/>
      <c r="F365" s="11"/>
      <c r="G365" s="11"/>
      <c r="H365" s="11"/>
      <c r="I365" s="11"/>
      <c r="J365" s="11"/>
      <c r="K365" s="11"/>
      <c r="L365" s="11"/>
    </row>
    <row r="366" spans="1:12" x14ac:dyDescent="0.2">
      <c r="D366" s="11"/>
      <c r="E366" s="11"/>
      <c r="F366" s="11"/>
      <c r="G366" s="11"/>
      <c r="H366" s="11"/>
      <c r="I366" s="11"/>
      <c r="J366" s="11"/>
      <c r="K366" s="11"/>
      <c r="L366" s="11"/>
    </row>
    <row r="367" spans="1:12" x14ac:dyDescent="0.2">
      <c r="D367" s="11"/>
      <c r="E367" s="11"/>
      <c r="F367" s="11"/>
      <c r="G367" s="11"/>
      <c r="H367" s="11"/>
      <c r="I367" s="11"/>
      <c r="J367" s="11"/>
      <c r="K367" s="11"/>
      <c r="L367" s="11"/>
    </row>
    <row r="368" spans="1:12" x14ac:dyDescent="0.2">
      <c r="D368" s="11"/>
      <c r="E368" s="11"/>
      <c r="F368" s="11"/>
      <c r="G368" s="11"/>
      <c r="H368" s="11"/>
      <c r="I368" s="11"/>
      <c r="J368" s="11"/>
      <c r="K368" s="11"/>
      <c r="L368" s="11"/>
    </row>
    <row r="369" spans="4:12" x14ac:dyDescent="0.2">
      <c r="D369" s="11"/>
      <c r="E369" s="11"/>
      <c r="F369" s="11"/>
      <c r="G369" s="11"/>
      <c r="H369" s="11"/>
      <c r="I369" s="11"/>
      <c r="J369" s="11"/>
      <c r="K369" s="11"/>
      <c r="L369" s="11"/>
    </row>
    <row r="370" spans="4:12" x14ac:dyDescent="0.2">
      <c r="D370" s="11"/>
      <c r="E370" s="11"/>
      <c r="F370" s="11"/>
      <c r="G370" s="11"/>
      <c r="H370" s="11"/>
      <c r="I370" s="11"/>
      <c r="J370" s="11"/>
      <c r="K370" s="11"/>
      <c r="L370" s="11"/>
    </row>
    <row r="371" spans="4:12" x14ac:dyDescent="0.2">
      <c r="D371" s="11"/>
      <c r="E371" s="11"/>
      <c r="F371" s="11"/>
      <c r="G371" s="11"/>
      <c r="H371" s="11"/>
      <c r="I371" s="11"/>
      <c r="J371" s="11"/>
      <c r="K371" s="11"/>
      <c r="L371" s="11"/>
    </row>
    <row r="372" spans="4:12" x14ac:dyDescent="0.2">
      <c r="D372" s="11"/>
      <c r="E372" s="11"/>
      <c r="F372" s="11"/>
      <c r="G372" s="11"/>
      <c r="H372" s="11"/>
      <c r="I372" s="11"/>
      <c r="J372" s="11"/>
      <c r="K372" s="11"/>
      <c r="L372" s="11"/>
    </row>
    <row r="373" spans="4:12" x14ac:dyDescent="0.2">
      <c r="D373" s="11"/>
      <c r="E373" s="11"/>
      <c r="F373" s="11"/>
      <c r="G373" s="11"/>
      <c r="H373" s="11"/>
      <c r="I373" s="11"/>
      <c r="J373" s="11"/>
      <c r="K373" s="11"/>
      <c r="L373" s="11"/>
    </row>
    <row r="374" spans="4:12" x14ac:dyDescent="0.2">
      <c r="D374" s="11"/>
      <c r="E374" s="11"/>
      <c r="F374" s="11"/>
      <c r="G374" s="11"/>
      <c r="H374" s="11"/>
      <c r="I374" s="11"/>
      <c r="J374" s="11"/>
      <c r="K374" s="11"/>
      <c r="L374" s="11"/>
    </row>
    <row r="375" spans="4:12" x14ac:dyDescent="0.2">
      <c r="D375" s="11"/>
      <c r="E375" s="11"/>
      <c r="F375" s="11"/>
      <c r="G375" s="11"/>
      <c r="H375" s="11"/>
      <c r="I375" s="11"/>
      <c r="J375" s="11"/>
      <c r="K375" s="11"/>
      <c r="L375" s="11"/>
    </row>
    <row r="376" spans="4:12" x14ac:dyDescent="0.2">
      <c r="D376" s="11"/>
      <c r="E376" s="11"/>
      <c r="F376" s="11"/>
      <c r="G376" s="11"/>
      <c r="H376" s="11"/>
      <c r="I376" s="11"/>
      <c r="J376" s="11"/>
      <c r="K376" s="11"/>
      <c r="L376" s="11"/>
    </row>
    <row r="377" spans="4:12" x14ac:dyDescent="0.2">
      <c r="D377" s="11"/>
      <c r="E377" s="11"/>
      <c r="F377" s="11"/>
      <c r="G377" s="11"/>
      <c r="H377" s="11"/>
      <c r="I377" s="11"/>
      <c r="J377" s="11"/>
      <c r="K377" s="11"/>
      <c r="L377" s="11"/>
    </row>
    <row r="378" spans="4:12" x14ac:dyDescent="0.2">
      <c r="D378" s="11"/>
      <c r="E378" s="11"/>
      <c r="F378" s="11"/>
      <c r="G378" s="11"/>
      <c r="H378" s="11"/>
      <c r="I378" s="11"/>
      <c r="J378" s="11"/>
      <c r="K378" s="11"/>
      <c r="L378" s="11"/>
    </row>
    <row r="379" spans="4:12" x14ac:dyDescent="0.2">
      <c r="D379" s="11"/>
      <c r="E379" s="11"/>
      <c r="F379" s="11"/>
      <c r="G379" s="11"/>
      <c r="H379" s="11"/>
      <c r="I379" s="11"/>
      <c r="J379" s="11"/>
      <c r="K379" s="11"/>
      <c r="L379" s="11"/>
    </row>
    <row r="380" spans="4:12" x14ac:dyDescent="0.2">
      <c r="D380" s="11"/>
      <c r="E380" s="11"/>
      <c r="F380" s="11"/>
      <c r="G380" s="11"/>
      <c r="H380" s="11"/>
      <c r="I380" s="11"/>
      <c r="J380" s="11"/>
      <c r="K380" s="11"/>
      <c r="L380" s="11"/>
    </row>
    <row r="381" spans="4:12" x14ac:dyDescent="0.2">
      <c r="D381" s="11"/>
      <c r="E381" s="11"/>
      <c r="F381" s="11"/>
      <c r="G381" s="11"/>
      <c r="H381" s="11"/>
      <c r="I381" s="11"/>
      <c r="J381" s="11"/>
      <c r="K381" s="11"/>
      <c r="L381" s="11"/>
    </row>
    <row r="382" spans="4:12" x14ac:dyDescent="0.2">
      <c r="D382" s="11"/>
      <c r="E382" s="11"/>
      <c r="F382" s="11"/>
      <c r="G382" s="11"/>
      <c r="H382" s="11"/>
      <c r="I382" s="11"/>
      <c r="J382" s="11"/>
      <c r="K382" s="11"/>
      <c r="L382" s="11"/>
    </row>
    <row r="383" spans="4:12" x14ac:dyDescent="0.2">
      <c r="D383" s="11"/>
      <c r="E383" s="11"/>
      <c r="F383" s="11"/>
      <c r="G383" s="11"/>
      <c r="H383" s="11"/>
      <c r="I383" s="11"/>
      <c r="J383" s="11"/>
      <c r="K383" s="11"/>
      <c r="L383" s="11"/>
    </row>
    <row r="384" spans="4:12" x14ac:dyDescent="0.2">
      <c r="D384" s="11"/>
      <c r="E384" s="11"/>
      <c r="F384" s="11"/>
      <c r="G384" s="11"/>
      <c r="H384" s="11"/>
      <c r="I384" s="11"/>
      <c r="J384" s="11"/>
      <c r="K384" s="11"/>
      <c r="L384" s="11"/>
    </row>
    <row r="385" spans="4:12" x14ac:dyDescent="0.2">
      <c r="D385" s="11"/>
      <c r="E385" s="11"/>
      <c r="F385" s="11"/>
      <c r="G385" s="11"/>
      <c r="H385" s="11"/>
      <c r="I385" s="11"/>
      <c r="J385" s="11"/>
      <c r="K385" s="11"/>
      <c r="L385" s="11"/>
    </row>
    <row r="386" spans="4:12" x14ac:dyDescent="0.2">
      <c r="D386" s="11"/>
      <c r="E386" s="11"/>
      <c r="F386" s="11"/>
      <c r="G386" s="11"/>
      <c r="H386" s="11"/>
      <c r="I386" s="11"/>
      <c r="J386" s="11"/>
      <c r="K386" s="11"/>
      <c r="L386" s="11"/>
    </row>
    <row r="387" spans="4:12" x14ac:dyDescent="0.2">
      <c r="D387" s="11"/>
      <c r="E387" s="11"/>
      <c r="F387" s="11"/>
      <c r="G387" s="11"/>
      <c r="H387" s="11"/>
      <c r="I387" s="11"/>
      <c r="J387" s="11"/>
      <c r="K387" s="11"/>
      <c r="L387" s="11"/>
    </row>
    <row r="388" spans="4:12" x14ac:dyDescent="0.2">
      <c r="D388" s="11"/>
      <c r="E388" s="11"/>
      <c r="F388" s="11"/>
      <c r="G388" s="11"/>
      <c r="H388" s="11"/>
      <c r="I388" s="11"/>
      <c r="J388" s="11"/>
      <c r="K388" s="11"/>
      <c r="L388" s="11"/>
    </row>
    <row r="389" spans="4:12" x14ac:dyDescent="0.2">
      <c r="D389" s="11"/>
      <c r="E389" s="11"/>
      <c r="F389" s="11"/>
      <c r="G389" s="11"/>
      <c r="H389" s="11"/>
      <c r="I389" s="11"/>
      <c r="J389" s="11"/>
      <c r="K389" s="11"/>
      <c r="L389" s="11"/>
    </row>
    <row r="390" spans="4:12" x14ac:dyDescent="0.2">
      <c r="D390" s="11"/>
      <c r="E390" s="11"/>
      <c r="F390" s="11"/>
      <c r="G390" s="11"/>
      <c r="H390" s="11"/>
      <c r="I390" s="11"/>
      <c r="J390" s="11"/>
      <c r="K390" s="11"/>
      <c r="L390" s="11"/>
    </row>
    <row r="391" spans="4:12" x14ac:dyDescent="0.2">
      <c r="D391" s="11"/>
      <c r="E391" s="11"/>
      <c r="F391" s="11"/>
      <c r="G391" s="11"/>
      <c r="H391" s="11"/>
      <c r="I391" s="11"/>
      <c r="J391" s="11"/>
      <c r="K391" s="11"/>
      <c r="L391" s="11"/>
    </row>
    <row r="392" spans="4:12" x14ac:dyDescent="0.2">
      <c r="D392" s="11"/>
      <c r="E392" s="11"/>
      <c r="F392" s="11"/>
      <c r="G392" s="11"/>
      <c r="H392" s="11"/>
      <c r="I392" s="11"/>
      <c r="J392" s="11"/>
      <c r="K392" s="11"/>
      <c r="L392" s="11"/>
    </row>
    <row r="393" spans="4:12" x14ac:dyDescent="0.2">
      <c r="D393" s="11"/>
      <c r="E393" s="11"/>
      <c r="F393" s="11"/>
      <c r="G393" s="11"/>
      <c r="H393" s="11"/>
      <c r="I393" s="11"/>
      <c r="J393" s="11"/>
      <c r="K393" s="11"/>
      <c r="L393" s="11"/>
    </row>
    <row r="394" spans="4:12" x14ac:dyDescent="0.2">
      <c r="D394" s="11"/>
      <c r="E394" s="11"/>
      <c r="F394" s="11"/>
      <c r="G394" s="11"/>
      <c r="H394" s="11"/>
      <c r="I394" s="11"/>
      <c r="J394" s="11"/>
      <c r="K394" s="11"/>
      <c r="L394" s="11"/>
    </row>
    <row r="395" spans="4:12" x14ac:dyDescent="0.2">
      <c r="D395" s="11"/>
      <c r="E395" s="11"/>
      <c r="F395" s="11"/>
      <c r="G395" s="11"/>
      <c r="H395" s="11"/>
      <c r="I395" s="11"/>
      <c r="J395" s="11"/>
      <c r="K395" s="11"/>
      <c r="L395" s="11"/>
    </row>
    <row r="396" spans="4:12" x14ac:dyDescent="0.2">
      <c r="D396" s="11"/>
      <c r="E396" s="11"/>
      <c r="F396" s="11"/>
      <c r="G396" s="11"/>
      <c r="H396" s="11"/>
      <c r="I396" s="11"/>
      <c r="J396" s="11"/>
      <c r="K396" s="11"/>
      <c r="L396" s="11"/>
    </row>
    <row r="397" spans="4:12" x14ac:dyDescent="0.2">
      <c r="D397" s="11"/>
      <c r="E397" s="11"/>
      <c r="F397" s="11"/>
      <c r="G397" s="11"/>
      <c r="H397" s="11"/>
      <c r="I397" s="11"/>
      <c r="J397" s="11"/>
      <c r="K397" s="11"/>
      <c r="L397" s="11"/>
    </row>
    <row r="398" spans="4:12" x14ac:dyDescent="0.2">
      <c r="D398" s="11"/>
      <c r="E398" s="11"/>
      <c r="F398" s="11"/>
      <c r="G398" s="11"/>
      <c r="H398" s="11"/>
      <c r="I398" s="11"/>
      <c r="J398" s="11"/>
      <c r="K398" s="11"/>
      <c r="L398" s="11"/>
    </row>
    <row r="399" spans="4:12" x14ac:dyDescent="0.2">
      <c r="D399" s="11"/>
      <c r="E399" s="11"/>
      <c r="F399" s="11"/>
      <c r="G399" s="11"/>
      <c r="H399" s="11"/>
      <c r="I399" s="11"/>
      <c r="J399" s="11"/>
      <c r="K399" s="11"/>
      <c r="L399" s="11"/>
    </row>
    <row r="400" spans="4:12" x14ac:dyDescent="0.2">
      <c r="D400" s="11"/>
      <c r="E400" s="11"/>
      <c r="F400" s="11"/>
      <c r="G400" s="11"/>
      <c r="H400" s="11"/>
      <c r="I400" s="11"/>
      <c r="J400" s="11"/>
      <c r="K400" s="11"/>
      <c r="L400" s="11"/>
    </row>
    <row r="401" spans="4:12" x14ac:dyDescent="0.2">
      <c r="D401" s="11"/>
      <c r="E401" s="11"/>
      <c r="F401" s="11"/>
      <c r="G401" s="11"/>
      <c r="H401" s="11"/>
      <c r="I401" s="11"/>
      <c r="J401" s="11"/>
      <c r="K401" s="11"/>
      <c r="L401" s="11"/>
    </row>
    <row r="402" spans="4:12" x14ac:dyDescent="0.2">
      <c r="D402" s="11"/>
      <c r="E402" s="11"/>
      <c r="F402" s="11"/>
      <c r="G402" s="11"/>
      <c r="H402" s="11"/>
      <c r="I402" s="11"/>
      <c r="J402" s="11"/>
      <c r="K402" s="11"/>
      <c r="L402" s="11"/>
    </row>
    <row r="403" spans="4:12" x14ac:dyDescent="0.2">
      <c r="D403" s="11"/>
      <c r="E403" s="11"/>
      <c r="F403" s="11"/>
      <c r="G403" s="11"/>
      <c r="H403" s="11"/>
      <c r="I403" s="11"/>
      <c r="J403" s="11"/>
      <c r="K403" s="11"/>
      <c r="L403" s="11"/>
    </row>
    <row r="404" spans="4:12" x14ac:dyDescent="0.2">
      <c r="D404" s="11"/>
      <c r="E404" s="11"/>
      <c r="F404" s="11"/>
      <c r="G404" s="11"/>
      <c r="H404" s="11"/>
      <c r="I404" s="11"/>
      <c r="J404" s="11"/>
      <c r="K404" s="11"/>
      <c r="L404" s="11"/>
    </row>
    <row r="405" spans="4:12" x14ac:dyDescent="0.2">
      <c r="D405" s="11"/>
      <c r="E405" s="11"/>
      <c r="F405" s="11"/>
      <c r="G405" s="11"/>
      <c r="H405" s="11"/>
      <c r="I405" s="11"/>
      <c r="J405" s="11"/>
      <c r="K405" s="11"/>
      <c r="L405" s="11"/>
    </row>
    <row r="406" spans="4:12" x14ac:dyDescent="0.2">
      <c r="D406" s="11"/>
      <c r="E406" s="11"/>
      <c r="F406" s="11"/>
      <c r="G406" s="11"/>
      <c r="H406" s="11"/>
      <c r="I406" s="11"/>
      <c r="J406" s="11"/>
      <c r="K406" s="11"/>
      <c r="L406" s="11"/>
    </row>
    <row r="407" spans="4:12" x14ac:dyDescent="0.2">
      <c r="D407" s="11"/>
      <c r="E407" s="11"/>
      <c r="F407" s="11"/>
      <c r="G407" s="11"/>
      <c r="H407" s="11"/>
      <c r="I407" s="11"/>
      <c r="J407" s="11"/>
      <c r="K407" s="11"/>
      <c r="L407" s="11"/>
    </row>
    <row r="408" spans="4:12" x14ac:dyDescent="0.2">
      <c r="D408" s="11"/>
      <c r="E408" s="11"/>
      <c r="F408" s="11"/>
      <c r="G408" s="11"/>
      <c r="H408" s="11"/>
      <c r="I408" s="11"/>
      <c r="J408" s="11"/>
      <c r="K408" s="11"/>
      <c r="L408" s="11"/>
    </row>
    <row r="409" spans="4:12" x14ac:dyDescent="0.2">
      <c r="D409" s="11"/>
      <c r="E409" s="11"/>
      <c r="F409" s="11"/>
      <c r="G409" s="11"/>
      <c r="H409" s="11"/>
      <c r="I409" s="11"/>
      <c r="J409" s="11"/>
      <c r="K409" s="11"/>
      <c r="L409" s="11"/>
    </row>
    <row r="410" spans="4:12" x14ac:dyDescent="0.2">
      <c r="D410" s="11"/>
      <c r="E410" s="11"/>
      <c r="F410" s="11"/>
      <c r="G410" s="11"/>
      <c r="H410" s="11"/>
      <c r="I410" s="11"/>
      <c r="J410" s="11"/>
      <c r="K410" s="11"/>
      <c r="L410" s="11"/>
    </row>
    <row r="411" spans="4:12" x14ac:dyDescent="0.2">
      <c r="D411" s="11"/>
      <c r="E411" s="11"/>
      <c r="F411" s="11"/>
      <c r="G411" s="11"/>
      <c r="H411" s="11"/>
      <c r="I411" s="11"/>
      <c r="J411" s="11"/>
      <c r="K411" s="11"/>
      <c r="L411" s="11"/>
    </row>
    <row r="412" spans="4:12" x14ac:dyDescent="0.2">
      <c r="D412" s="11"/>
      <c r="E412" s="11"/>
      <c r="F412" s="11"/>
      <c r="G412" s="11"/>
      <c r="H412" s="11"/>
      <c r="I412" s="11"/>
      <c r="J412" s="11"/>
      <c r="K412" s="11"/>
      <c r="L412" s="11"/>
    </row>
    <row r="413" spans="4:12" x14ac:dyDescent="0.2">
      <c r="D413" s="11"/>
      <c r="E413" s="11"/>
      <c r="F413" s="11"/>
      <c r="G413" s="11"/>
      <c r="H413" s="11"/>
      <c r="I413" s="11"/>
      <c r="J413" s="11"/>
      <c r="K413" s="11"/>
      <c r="L413" s="11"/>
    </row>
    <row r="414" spans="4:12" x14ac:dyDescent="0.2">
      <c r="D414" s="11"/>
      <c r="E414" s="11"/>
      <c r="F414" s="11"/>
      <c r="G414" s="11"/>
      <c r="H414" s="11"/>
      <c r="I414" s="11"/>
      <c r="J414" s="11"/>
      <c r="K414" s="11"/>
      <c r="L414" s="11"/>
    </row>
    <row r="415" spans="4:12" x14ac:dyDescent="0.2">
      <c r="D415" s="11"/>
      <c r="E415" s="11"/>
      <c r="F415" s="11"/>
      <c r="G415" s="11"/>
      <c r="H415" s="11"/>
      <c r="I415" s="11"/>
      <c r="J415" s="11"/>
      <c r="K415" s="11"/>
      <c r="L415" s="11"/>
    </row>
    <row r="416" spans="4:12" x14ac:dyDescent="0.2">
      <c r="D416" s="11"/>
      <c r="E416" s="11"/>
      <c r="F416" s="11"/>
      <c r="G416" s="11"/>
      <c r="H416" s="11"/>
      <c r="I416" s="11"/>
      <c r="J416" s="11"/>
      <c r="K416" s="11"/>
      <c r="L416" s="11"/>
    </row>
    <row r="417" spans="4:12" x14ac:dyDescent="0.2">
      <c r="D417" s="11"/>
      <c r="E417" s="11"/>
      <c r="F417" s="11"/>
      <c r="G417" s="11"/>
      <c r="H417" s="11"/>
      <c r="I417" s="11"/>
      <c r="J417" s="11"/>
      <c r="K417" s="11"/>
      <c r="L417" s="11"/>
    </row>
    <row r="418" spans="4:12" x14ac:dyDescent="0.2">
      <c r="D418" s="11"/>
      <c r="E418" s="11"/>
      <c r="F418" s="11"/>
      <c r="G418" s="11"/>
      <c r="H418" s="11"/>
      <c r="I418" s="11"/>
      <c r="J418" s="11"/>
      <c r="K418" s="11"/>
      <c r="L418" s="11"/>
    </row>
    <row r="419" spans="4:12" x14ac:dyDescent="0.2">
      <c r="D419" s="11"/>
      <c r="E419" s="11"/>
      <c r="F419" s="11"/>
      <c r="G419" s="11"/>
      <c r="H419" s="11"/>
      <c r="I419" s="11"/>
      <c r="J419" s="11"/>
      <c r="K419" s="11"/>
      <c r="L419" s="11"/>
    </row>
    <row r="420" spans="4:12" x14ac:dyDescent="0.2">
      <c r="D420" s="11"/>
      <c r="E420" s="11"/>
      <c r="F420" s="11"/>
      <c r="G420" s="11"/>
      <c r="H420" s="11"/>
      <c r="I420" s="11"/>
      <c r="J420" s="11"/>
      <c r="K420" s="11"/>
      <c r="L420" s="11"/>
    </row>
    <row r="421" spans="4:12" x14ac:dyDescent="0.2">
      <c r="D421" s="11"/>
      <c r="E421" s="11"/>
      <c r="F421" s="11"/>
      <c r="G421" s="11"/>
      <c r="H421" s="11"/>
      <c r="I421" s="11"/>
      <c r="J421" s="11"/>
      <c r="K421" s="11"/>
      <c r="L421" s="11"/>
    </row>
    <row r="422" spans="4:12" x14ac:dyDescent="0.2">
      <c r="D422" s="11"/>
      <c r="E422" s="11"/>
      <c r="F422" s="11"/>
      <c r="G422" s="11"/>
      <c r="H422" s="11"/>
      <c r="I422" s="11"/>
      <c r="J422" s="11"/>
      <c r="K422" s="11"/>
      <c r="L422" s="11"/>
    </row>
    <row r="423" spans="4:12" x14ac:dyDescent="0.2">
      <c r="D423" s="11"/>
      <c r="E423" s="11"/>
      <c r="F423" s="11"/>
      <c r="G423" s="11"/>
      <c r="H423" s="11"/>
      <c r="I423" s="11"/>
      <c r="J423" s="11"/>
      <c r="K423" s="11"/>
      <c r="L423" s="11"/>
    </row>
    <row r="424" spans="4:12" x14ac:dyDescent="0.2">
      <c r="D424" s="11"/>
      <c r="E424" s="11"/>
      <c r="F424" s="11"/>
      <c r="G424" s="11"/>
      <c r="H424" s="11"/>
      <c r="I424" s="11"/>
      <c r="J424" s="11"/>
      <c r="K424" s="11"/>
      <c r="L424" s="11"/>
    </row>
    <row r="425" spans="4:12" x14ac:dyDescent="0.2">
      <c r="D425" s="11"/>
      <c r="E425" s="11"/>
      <c r="F425" s="11"/>
      <c r="G425" s="11"/>
      <c r="H425" s="11"/>
      <c r="I425" s="11"/>
      <c r="J425" s="11"/>
      <c r="K425" s="11"/>
      <c r="L425" s="11"/>
    </row>
    <row r="426" spans="4:12" x14ac:dyDescent="0.2">
      <c r="D426" s="11"/>
      <c r="E426" s="11"/>
      <c r="F426" s="11"/>
      <c r="G426" s="11"/>
      <c r="H426" s="11"/>
      <c r="I426" s="11"/>
      <c r="J426" s="11"/>
      <c r="K426" s="11"/>
      <c r="L426" s="11"/>
    </row>
    <row r="427" spans="4:12" x14ac:dyDescent="0.2">
      <c r="D427" s="11"/>
      <c r="E427" s="11"/>
      <c r="F427" s="11"/>
      <c r="G427" s="11"/>
      <c r="H427" s="11"/>
      <c r="I427" s="11"/>
      <c r="J427" s="11"/>
      <c r="K427" s="11"/>
      <c r="L427" s="11"/>
    </row>
    <row r="428" spans="4:12" x14ac:dyDescent="0.2">
      <c r="D428" s="11"/>
      <c r="E428" s="11"/>
      <c r="F428" s="11"/>
      <c r="G428" s="11"/>
      <c r="H428" s="11"/>
      <c r="I428" s="11"/>
      <c r="J428" s="11"/>
      <c r="K428" s="11"/>
      <c r="L428" s="11"/>
    </row>
    <row r="429" spans="4:12" x14ac:dyDescent="0.2">
      <c r="D429" s="11"/>
      <c r="E429" s="11"/>
      <c r="F429" s="11"/>
      <c r="G429" s="11"/>
      <c r="H429" s="11"/>
      <c r="I429" s="11"/>
      <c r="J429" s="11"/>
      <c r="K429" s="11"/>
      <c r="L429" s="11"/>
    </row>
    <row r="430" spans="4:12" x14ac:dyDescent="0.2">
      <c r="D430" s="11"/>
      <c r="E430" s="11"/>
      <c r="F430" s="11"/>
      <c r="G430" s="11"/>
      <c r="H430" s="11"/>
      <c r="I430" s="11"/>
      <c r="J430" s="11"/>
      <c r="K430" s="11"/>
      <c r="L430" s="11"/>
    </row>
    <row r="431" spans="4:12" x14ac:dyDescent="0.2">
      <c r="D431" s="11"/>
      <c r="E431" s="11"/>
      <c r="F431" s="11"/>
      <c r="G431" s="11"/>
      <c r="H431" s="11"/>
      <c r="I431" s="11"/>
      <c r="J431" s="11"/>
      <c r="K431" s="11"/>
      <c r="L431" s="11"/>
    </row>
    <row r="432" spans="4:12" x14ac:dyDescent="0.2">
      <c r="D432" s="11"/>
      <c r="E432" s="11"/>
      <c r="F432" s="11"/>
      <c r="G432" s="11"/>
      <c r="H432" s="11"/>
      <c r="I432" s="11"/>
      <c r="J432" s="11"/>
      <c r="K432" s="11"/>
      <c r="L432" s="11"/>
    </row>
    <row r="433" spans="4:12" x14ac:dyDescent="0.2">
      <c r="D433" s="11"/>
      <c r="E433" s="11"/>
      <c r="F433" s="11"/>
      <c r="G433" s="11"/>
      <c r="H433" s="11"/>
      <c r="I433" s="11"/>
      <c r="J433" s="11"/>
      <c r="K433" s="11"/>
      <c r="L433" s="11"/>
    </row>
    <row r="434" spans="4:12" x14ac:dyDescent="0.2">
      <c r="D434" s="11"/>
      <c r="E434" s="11"/>
      <c r="F434" s="11"/>
      <c r="G434" s="11"/>
      <c r="H434" s="11"/>
      <c r="I434" s="11"/>
      <c r="J434" s="11"/>
      <c r="K434" s="11"/>
      <c r="L434" s="11"/>
    </row>
    <row r="435" spans="4:12" x14ac:dyDescent="0.2">
      <c r="D435" s="11"/>
      <c r="E435" s="11"/>
      <c r="F435" s="11"/>
      <c r="G435" s="11"/>
      <c r="H435" s="11"/>
      <c r="I435" s="11"/>
      <c r="J435" s="11"/>
      <c r="K435" s="11"/>
      <c r="L435" s="11"/>
    </row>
    <row r="436" spans="4:12" x14ac:dyDescent="0.2">
      <c r="D436" s="11"/>
      <c r="E436" s="11"/>
      <c r="F436" s="11"/>
      <c r="G436" s="11"/>
      <c r="H436" s="11"/>
      <c r="I436" s="11"/>
      <c r="J436" s="11"/>
      <c r="K436" s="11"/>
      <c r="L436" s="11"/>
    </row>
    <row r="437" spans="4:12" x14ac:dyDescent="0.2">
      <c r="D437" s="11"/>
      <c r="E437" s="11"/>
      <c r="F437" s="11"/>
      <c r="G437" s="11"/>
      <c r="H437" s="11"/>
      <c r="I437" s="11"/>
      <c r="J437" s="11"/>
      <c r="K437" s="11"/>
      <c r="L437" s="11"/>
    </row>
    <row r="438" spans="4:12" x14ac:dyDescent="0.2">
      <c r="D438" s="11"/>
      <c r="E438" s="11"/>
      <c r="F438" s="11"/>
      <c r="G438" s="11"/>
      <c r="H438" s="11"/>
      <c r="I438" s="11"/>
      <c r="J438" s="11"/>
      <c r="K438" s="11"/>
      <c r="L438" s="11"/>
    </row>
    <row r="439" spans="4:12" x14ac:dyDescent="0.2">
      <c r="D439" s="11"/>
      <c r="E439" s="11"/>
      <c r="F439" s="11"/>
      <c r="G439" s="11"/>
      <c r="H439" s="11"/>
      <c r="I439" s="11"/>
      <c r="J439" s="11"/>
      <c r="K439" s="11"/>
      <c r="L439" s="11"/>
    </row>
    <row r="440" spans="4:12" x14ac:dyDescent="0.2">
      <c r="D440" s="11"/>
      <c r="E440" s="11"/>
      <c r="F440" s="11"/>
      <c r="G440" s="11"/>
      <c r="H440" s="11"/>
      <c r="I440" s="11"/>
      <c r="J440" s="11"/>
      <c r="K440" s="11"/>
      <c r="L440" s="11"/>
    </row>
    <row r="441" spans="4:12" x14ac:dyDescent="0.2">
      <c r="D441" s="11"/>
      <c r="E441" s="11"/>
      <c r="F441" s="11"/>
      <c r="G441" s="11"/>
      <c r="H441" s="11"/>
      <c r="I441" s="11"/>
      <c r="J441" s="11"/>
      <c r="K441" s="11"/>
      <c r="L441" s="11"/>
    </row>
    <row r="442" spans="4:12" x14ac:dyDescent="0.2">
      <c r="D442" s="11"/>
      <c r="E442" s="11"/>
      <c r="F442" s="11"/>
      <c r="G442" s="11"/>
      <c r="H442" s="11"/>
      <c r="I442" s="11"/>
      <c r="J442" s="11"/>
      <c r="K442" s="11"/>
      <c r="L442" s="11"/>
    </row>
    <row r="443" spans="4:12" x14ac:dyDescent="0.2">
      <c r="D443" s="11"/>
      <c r="E443" s="11"/>
      <c r="F443" s="11"/>
      <c r="G443" s="11"/>
      <c r="H443" s="11"/>
      <c r="I443" s="11"/>
      <c r="J443" s="11"/>
      <c r="K443" s="11"/>
      <c r="L443" s="11"/>
    </row>
    <row r="444" spans="4:12" x14ac:dyDescent="0.2">
      <c r="D444" s="11"/>
      <c r="E444" s="11"/>
      <c r="F444" s="11"/>
      <c r="G444" s="11"/>
      <c r="H444" s="11"/>
      <c r="I444" s="11"/>
      <c r="J444" s="11"/>
      <c r="K444" s="11"/>
      <c r="L444" s="11"/>
    </row>
    <row r="445" spans="4:12" x14ac:dyDescent="0.2">
      <c r="D445" s="11"/>
      <c r="E445" s="11"/>
      <c r="F445" s="11"/>
      <c r="G445" s="11"/>
      <c r="H445" s="11"/>
      <c r="I445" s="11"/>
      <c r="J445" s="11"/>
      <c r="K445" s="11"/>
      <c r="L445" s="11"/>
    </row>
    <row r="446" spans="4:12" x14ac:dyDescent="0.2">
      <c r="D446" s="11"/>
      <c r="E446" s="11"/>
      <c r="F446" s="11"/>
      <c r="G446" s="11"/>
      <c r="H446" s="11"/>
      <c r="I446" s="11"/>
      <c r="J446" s="11"/>
      <c r="K446" s="11"/>
      <c r="L446" s="11"/>
    </row>
    <row r="447" spans="4:12" x14ac:dyDescent="0.2">
      <c r="D447" s="11"/>
      <c r="E447" s="11"/>
      <c r="F447" s="11"/>
      <c r="G447" s="11"/>
      <c r="H447" s="11"/>
      <c r="I447" s="11"/>
      <c r="J447" s="11"/>
      <c r="K447" s="11"/>
      <c r="L447" s="11"/>
    </row>
    <row r="448" spans="4:12" x14ac:dyDescent="0.2">
      <c r="D448" s="11"/>
      <c r="E448" s="11"/>
      <c r="F448" s="11"/>
      <c r="G448" s="11"/>
      <c r="H448" s="11"/>
      <c r="I448" s="11"/>
      <c r="J448" s="11"/>
      <c r="K448" s="11"/>
      <c r="L448" s="11"/>
    </row>
    <row r="449" spans="4:12" x14ac:dyDescent="0.2">
      <c r="D449" s="11"/>
      <c r="E449" s="11"/>
      <c r="F449" s="11"/>
      <c r="G449" s="11"/>
      <c r="H449" s="11"/>
      <c r="I449" s="11"/>
      <c r="J449" s="11"/>
      <c r="K449" s="11"/>
      <c r="L449" s="11"/>
    </row>
    <row r="450" spans="4:12" x14ac:dyDescent="0.2">
      <c r="D450" s="11"/>
      <c r="E450" s="11"/>
      <c r="F450" s="11"/>
      <c r="G450" s="11"/>
      <c r="H450" s="11"/>
      <c r="I450" s="11"/>
      <c r="J450" s="11"/>
      <c r="K450" s="11"/>
      <c r="L450" s="11"/>
    </row>
    <row r="451" spans="4:12" x14ac:dyDescent="0.2">
      <c r="D451" s="11"/>
      <c r="E451" s="11"/>
      <c r="F451" s="11"/>
      <c r="G451" s="11"/>
      <c r="H451" s="11"/>
      <c r="I451" s="11"/>
      <c r="J451" s="11"/>
      <c r="K451" s="11"/>
      <c r="L451" s="11"/>
    </row>
    <row r="452" spans="4:12" x14ac:dyDescent="0.2">
      <c r="D452" s="11"/>
      <c r="E452" s="11"/>
      <c r="F452" s="11"/>
      <c r="G452" s="11"/>
      <c r="H452" s="11"/>
      <c r="I452" s="11"/>
      <c r="J452" s="11"/>
      <c r="K452" s="11"/>
      <c r="L452" s="11"/>
    </row>
    <row r="453" spans="4:12" x14ac:dyDescent="0.2">
      <c r="D453" s="11"/>
      <c r="E453" s="11"/>
      <c r="F453" s="11"/>
      <c r="G453" s="11"/>
      <c r="H453" s="11"/>
      <c r="I453" s="11"/>
      <c r="J453" s="11"/>
      <c r="K453" s="11"/>
      <c r="L453" s="11"/>
    </row>
    <row r="454" spans="4:12" x14ac:dyDescent="0.2">
      <c r="D454" s="11"/>
      <c r="E454" s="11"/>
      <c r="F454" s="11"/>
      <c r="G454" s="11"/>
      <c r="H454" s="11"/>
      <c r="I454" s="11"/>
      <c r="J454" s="11"/>
      <c r="K454" s="11"/>
      <c r="L454" s="11"/>
    </row>
    <row r="455" spans="4:12" x14ac:dyDescent="0.2">
      <c r="D455" s="11"/>
      <c r="E455" s="11"/>
      <c r="F455" s="11"/>
      <c r="G455" s="11"/>
      <c r="H455" s="11"/>
      <c r="I455" s="11"/>
      <c r="J455" s="11"/>
      <c r="K455" s="11"/>
      <c r="L455" s="11"/>
    </row>
    <row r="456" spans="4:12" x14ac:dyDescent="0.2">
      <c r="D456" s="11"/>
      <c r="E456" s="11"/>
      <c r="F456" s="11"/>
      <c r="G456" s="11"/>
      <c r="H456" s="11"/>
      <c r="I456" s="11"/>
      <c r="J456" s="11"/>
      <c r="K456" s="11"/>
      <c r="L456" s="11"/>
    </row>
    <row r="457" spans="4:12" x14ac:dyDescent="0.2">
      <c r="D457" s="11"/>
      <c r="E457" s="11"/>
      <c r="F457" s="11"/>
      <c r="G457" s="11"/>
      <c r="H457" s="11"/>
      <c r="I457" s="11"/>
      <c r="J457" s="11"/>
      <c r="K457" s="11"/>
      <c r="L457" s="11"/>
    </row>
    <row r="458" spans="4:12" x14ac:dyDescent="0.2">
      <c r="D458" s="11"/>
      <c r="E458" s="11"/>
      <c r="F458" s="11"/>
      <c r="G458" s="11"/>
      <c r="H458" s="11"/>
      <c r="I458" s="11"/>
      <c r="J458" s="11"/>
      <c r="K458" s="11"/>
      <c r="L458" s="11"/>
    </row>
    <row r="459" spans="4:12" x14ac:dyDescent="0.2">
      <c r="D459" s="11"/>
      <c r="E459" s="11"/>
      <c r="F459" s="11"/>
      <c r="G459" s="11"/>
      <c r="H459" s="11"/>
      <c r="I459" s="11"/>
      <c r="J459" s="11"/>
      <c r="K459" s="11"/>
      <c r="L459" s="11"/>
    </row>
    <row r="460" spans="4:12" x14ac:dyDescent="0.2">
      <c r="D460" s="11"/>
      <c r="E460" s="11"/>
      <c r="F460" s="11"/>
      <c r="G460" s="11"/>
      <c r="H460" s="11"/>
      <c r="I460" s="11"/>
      <c r="J460" s="11"/>
      <c r="K460" s="11"/>
      <c r="L460" s="11"/>
    </row>
    <row r="461" spans="4:12" x14ac:dyDescent="0.2">
      <c r="D461" s="11"/>
      <c r="E461" s="11"/>
      <c r="F461" s="11"/>
      <c r="G461" s="11"/>
      <c r="H461" s="11"/>
      <c r="I461" s="11"/>
      <c r="J461" s="11"/>
      <c r="K461" s="11"/>
      <c r="L461" s="11"/>
    </row>
    <row r="462" spans="4:12" x14ac:dyDescent="0.2">
      <c r="D462" s="11"/>
      <c r="E462" s="11"/>
      <c r="F462" s="11"/>
      <c r="G462" s="11"/>
      <c r="H462" s="11"/>
      <c r="I462" s="11"/>
      <c r="J462" s="11"/>
      <c r="K462" s="11"/>
      <c r="L462" s="11"/>
    </row>
    <row r="463" spans="4:12" x14ac:dyDescent="0.2">
      <c r="D463" s="11"/>
      <c r="E463" s="11"/>
      <c r="F463" s="11"/>
      <c r="G463" s="11"/>
      <c r="H463" s="11"/>
      <c r="I463" s="11"/>
      <c r="J463" s="11"/>
      <c r="K463" s="11"/>
      <c r="L463" s="11"/>
    </row>
    <row r="464" spans="4:12" x14ac:dyDescent="0.2">
      <c r="D464" s="11"/>
      <c r="E464" s="11"/>
      <c r="F464" s="11"/>
      <c r="G464" s="11"/>
      <c r="H464" s="11"/>
      <c r="I464" s="11"/>
      <c r="J464" s="11"/>
      <c r="K464" s="11"/>
      <c r="L464" s="11"/>
    </row>
    <row r="465" spans="4:12" x14ac:dyDescent="0.2">
      <c r="D465" s="11"/>
      <c r="E465" s="11"/>
      <c r="F465" s="11"/>
      <c r="G465" s="11"/>
      <c r="H465" s="11"/>
      <c r="I465" s="11"/>
      <c r="J465" s="11"/>
      <c r="K465" s="11"/>
      <c r="L465" s="11"/>
    </row>
    <row r="466" spans="4:12" x14ac:dyDescent="0.2">
      <c r="D466" s="11"/>
      <c r="E466" s="11"/>
      <c r="F466" s="11"/>
      <c r="G466" s="11"/>
      <c r="H466" s="11"/>
      <c r="I466" s="11"/>
      <c r="J466" s="11"/>
      <c r="K466" s="11"/>
      <c r="L466" s="11"/>
    </row>
    <row r="467" spans="4:12" x14ac:dyDescent="0.2">
      <c r="D467" s="11"/>
      <c r="E467" s="11"/>
      <c r="F467" s="11"/>
      <c r="G467" s="11"/>
      <c r="H467" s="11"/>
      <c r="I467" s="11"/>
      <c r="J467" s="11"/>
      <c r="K467" s="11"/>
      <c r="L467" s="11"/>
    </row>
    <row r="468" spans="4:12" x14ac:dyDescent="0.2">
      <c r="D468" s="11"/>
      <c r="E468" s="11"/>
      <c r="F468" s="11"/>
      <c r="G468" s="11"/>
      <c r="H468" s="11"/>
      <c r="I468" s="11"/>
      <c r="J468" s="11"/>
      <c r="K468" s="11"/>
      <c r="L468" s="11"/>
    </row>
    <row r="469" spans="4:12" x14ac:dyDescent="0.2">
      <c r="D469" s="11"/>
      <c r="E469" s="11"/>
      <c r="F469" s="11"/>
      <c r="G469" s="11"/>
      <c r="H469" s="11"/>
      <c r="I469" s="11"/>
      <c r="J469" s="11"/>
      <c r="K469" s="11"/>
      <c r="L469" s="11"/>
    </row>
    <row r="470" spans="4:12" x14ac:dyDescent="0.2">
      <c r="D470" s="11"/>
      <c r="E470" s="11"/>
      <c r="F470" s="11"/>
      <c r="G470" s="11"/>
      <c r="H470" s="11"/>
      <c r="I470" s="11"/>
      <c r="J470" s="11"/>
      <c r="K470" s="11"/>
      <c r="L470" s="11"/>
    </row>
    <row r="471" spans="4:12" x14ac:dyDescent="0.2">
      <c r="D471" s="11"/>
      <c r="E471" s="11"/>
      <c r="F471" s="11"/>
      <c r="G471" s="11"/>
      <c r="H471" s="11"/>
      <c r="I471" s="11"/>
      <c r="J471" s="11"/>
      <c r="K471" s="11"/>
      <c r="L471" s="11"/>
    </row>
    <row r="472" spans="4:12" x14ac:dyDescent="0.2">
      <c r="D472" s="11"/>
      <c r="E472" s="11"/>
      <c r="F472" s="11"/>
      <c r="G472" s="11"/>
      <c r="H472" s="11"/>
      <c r="I472" s="11"/>
      <c r="J472" s="11"/>
      <c r="K472" s="11"/>
      <c r="L472" s="11"/>
    </row>
    <row r="473" spans="4:12" x14ac:dyDescent="0.2">
      <c r="D473" s="11"/>
      <c r="E473" s="11"/>
      <c r="F473" s="11"/>
      <c r="G473" s="11"/>
      <c r="H473" s="11"/>
      <c r="I473" s="11"/>
      <c r="J473" s="11"/>
      <c r="K473" s="11"/>
      <c r="L473" s="11"/>
    </row>
    <row r="474" spans="4:12" x14ac:dyDescent="0.2">
      <c r="D474" s="11"/>
      <c r="E474" s="11"/>
      <c r="F474" s="11"/>
      <c r="G474" s="11"/>
      <c r="H474" s="11"/>
      <c r="I474" s="11"/>
      <c r="J474" s="11"/>
      <c r="K474" s="11"/>
      <c r="L474" s="11"/>
    </row>
    <row r="475" spans="4:12" x14ac:dyDescent="0.2">
      <c r="D475" s="11"/>
      <c r="E475" s="11"/>
      <c r="F475" s="11"/>
      <c r="G475" s="11"/>
      <c r="H475" s="11"/>
      <c r="I475" s="11"/>
      <c r="J475" s="11"/>
      <c r="K475" s="11"/>
      <c r="L475" s="11"/>
    </row>
    <row r="476" spans="4:12" x14ac:dyDescent="0.2">
      <c r="D476" s="11"/>
      <c r="E476" s="11"/>
      <c r="F476" s="11"/>
      <c r="G476" s="11"/>
      <c r="H476" s="11"/>
      <c r="I476" s="11"/>
      <c r="J476" s="11"/>
      <c r="K476" s="11"/>
      <c r="L476" s="11"/>
    </row>
    <row r="477" spans="4:12" x14ac:dyDescent="0.2">
      <c r="D477" s="11"/>
      <c r="E477" s="11"/>
      <c r="F477" s="11"/>
      <c r="G477" s="11"/>
      <c r="H477" s="11"/>
      <c r="I477" s="11"/>
      <c r="J477" s="11"/>
      <c r="K477" s="11"/>
      <c r="L477" s="11"/>
    </row>
    <row r="478" spans="4:12" x14ac:dyDescent="0.2">
      <c r="D478" s="11"/>
      <c r="E478" s="11"/>
      <c r="F478" s="11"/>
      <c r="G478" s="11"/>
      <c r="H478" s="11"/>
      <c r="I478" s="11"/>
      <c r="J478" s="11"/>
      <c r="K478" s="11"/>
      <c r="L478" s="11"/>
    </row>
    <row r="479" spans="4:12" x14ac:dyDescent="0.2">
      <c r="D479" s="11"/>
      <c r="E479" s="11"/>
      <c r="F479" s="11"/>
      <c r="G479" s="11"/>
      <c r="H479" s="11"/>
      <c r="I479" s="11"/>
      <c r="J479" s="11"/>
      <c r="K479" s="11"/>
      <c r="L479" s="11"/>
    </row>
    <row r="480" spans="4:12" x14ac:dyDescent="0.2">
      <c r="D480" s="11"/>
      <c r="E480" s="11"/>
      <c r="F480" s="11"/>
      <c r="G480" s="11"/>
      <c r="H480" s="11"/>
      <c r="I480" s="11"/>
      <c r="J480" s="11"/>
      <c r="K480" s="11"/>
      <c r="L480" s="11"/>
    </row>
    <row r="481" spans="4:12" x14ac:dyDescent="0.2">
      <c r="D481" s="11"/>
      <c r="E481" s="11"/>
      <c r="F481" s="11"/>
      <c r="G481" s="11"/>
      <c r="H481" s="11"/>
      <c r="I481" s="11"/>
      <c r="J481" s="11"/>
      <c r="K481" s="11"/>
      <c r="L481" s="11"/>
    </row>
    <row r="482" spans="4:12" x14ac:dyDescent="0.2">
      <c r="D482" s="11"/>
      <c r="E482" s="11"/>
      <c r="F482" s="11"/>
      <c r="G482" s="11"/>
      <c r="H482" s="11"/>
      <c r="I482" s="11"/>
      <c r="J482" s="11"/>
      <c r="K482" s="11"/>
      <c r="L482" s="11"/>
    </row>
    <row r="483" spans="4:12" x14ac:dyDescent="0.2">
      <c r="D483" s="11"/>
      <c r="E483" s="11"/>
      <c r="F483" s="11"/>
      <c r="G483" s="11"/>
      <c r="H483" s="11"/>
      <c r="I483" s="11"/>
      <c r="J483" s="11"/>
      <c r="K483" s="11"/>
      <c r="L483" s="11"/>
    </row>
    <row r="484" spans="4:12" x14ac:dyDescent="0.2">
      <c r="D484" s="11"/>
      <c r="E484" s="11"/>
      <c r="F484" s="11"/>
      <c r="G484" s="11"/>
      <c r="H484" s="11"/>
      <c r="I484" s="11"/>
      <c r="J484" s="11"/>
      <c r="K484" s="11"/>
      <c r="L484" s="11"/>
    </row>
    <row r="485" spans="4:12" x14ac:dyDescent="0.2">
      <c r="D485" s="11"/>
      <c r="E485" s="11"/>
      <c r="F485" s="11"/>
      <c r="G485" s="11"/>
      <c r="H485" s="11"/>
      <c r="I485" s="11"/>
      <c r="J485" s="11"/>
      <c r="K485" s="11"/>
      <c r="L485" s="11"/>
    </row>
    <row r="486" spans="4:12" x14ac:dyDescent="0.2">
      <c r="D486" s="11"/>
      <c r="E486" s="11"/>
      <c r="F486" s="11"/>
      <c r="G486" s="11"/>
      <c r="H486" s="11"/>
      <c r="I486" s="11"/>
      <c r="J486" s="11"/>
      <c r="K486" s="11"/>
      <c r="L486" s="11"/>
    </row>
    <row r="487" spans="4:12" x14ac:dyDescent="0.2">
      <c r="D487" s="11"/>
      <c r="E487" s="11"/>
      <c r="F487" s="11"/>
      <c r="G487" s="11"/>
      <c r="H487" s="11"/>
      <c r="I487" s="11"/>
      <c r="J487" s="11"/>
      <c r="K487" s="11"/>
      <c r="L487" s="11"/>
    </row>
    <row r="488" spans="4:12" x14ac:dyDescent="0.2">
      <c r="D488" s="11"/>
      <c r="E488" s="11"/>
      <c r="F488" s="11"/>
      <c r="G488" s="11"/>
      <c r="H488" s="11"/>
      <c r="I488" s="11"/>
      <c r="J488" s="11"/>
      <c r="K488" s="11"/>
      <c r="L488" s="11"/>
    </row>
    <row r="489" spans="4:12" x14ac:dyDescent="0.2">
      <c r="D489" s="11"/>
      <c r="E489" s="11"/>
      <c r="F489" s="11"/>
      <c r="G489" s="11"/>
      <c r="H489" s="11"/>
      <c r="I489" s="11"/>
      <c r="J489" s="11"/>
      <c r="K489" s="11"/>
      <c r="L489" s="11"/>
    </row>
    <row r="490" spans="4:12" x14ac:dyDescent="0.2">
      <c r="D490" s="11"/>
      <c r="E490" s="11"/>
      <c r="F490" s="11"/>
      <c r="G490" s="11"/>
      <c r="H490" s="11"/>
      <c r="I490" s="11"/>
      <c r="J490" s="11"/>
      <c r="K490" s="11"/>
      <c r="L490" s="11"/>
    </row>
    <row r="491" spans="4:12" x14ac:dyDescent="0.2">
      <c r="D491" s="11"/>
      <c r="E491" s="11"/>
      <c r="F491" s="11"/>
      <c r="G491" s="11"/>
      <c r="H491" s="11"/>
      <c r="I491" s="11"/>
      <c r="J491" s="11"/>
      <c r="K491" s="11"/>
      <c r="L491" s="11"/>
    </row>
    <row r="492" spans="4:12" x14ac:dyDescent="0.2">
      <c r="D492" s="11"/>
      <c r="E492" s="11"/>
      <c r="F492" s="11"/>
      <c r="G492" s="11"/>
      <c r="H492" s="11"/>
      <c r="I492" s="11"/>
      <c r="J492" s="11"/>
      <c r="K492" s="11"/>
      <c r="L492" s="11"/>
    </row>
    <row r="493" spans="4:12" x14ac:dyDescent="0.2">
      <c r="D493" s="11"/>
      <c r="E493" s="11"/>
      <c r="F493" s="11"/>
      <c r="G493" s="11"/>
      <c r="H493" s="11"/>
      <c r="I493" s="11"/>
      <c r="J493" s="11"/>
      <c r="K493" s="11"/>
      <c r="L493" s="11"/>
    </row>
    <row r="494" spans="4:12" x14ac:dyDescent="0.2">
      <c r="D494" s="11"/>
      <c r="E494" s="11"/>
      <c r="F494" s="11"/>
      <c r="G494" s="11"/>
      <c r="H494" s="11"/>
      <c r="I494" s="11"/>
      <c r="J494" s="11"/>
      <c r="K494" s="11"/>
      <c r="L494" s="11"/>
    </row>
    <row r="495" spans="4:12" x14ac:dyDescent="0.2">
      <c r="D495" s="11"/>
      <c r="E495" s="11"/>
      <c r="F495" s="11"/>
      <c r="G495" s="11"/>
      <c r="H495" s="11"/>
      <c r="I495" s="11"/>
      <c r="J495" s="11"/>
      <c r="K495" s="11"/>
      <c r="L495" s="11"/>
    </row>
    <row r="496" spans="4:12" x14ac:dyDescent="0.2">
      <c r="D496" s="11"/>
      <c r="E496" s="11"/>
      <c r="F496" s="11"/>
      <c r="G496" s="11"/>
      <c r="H496" s="11"/>
      <c r="I496" s="11"/>
      <c r="J496" s="11"/>
      <c r="K496" s="11"/>
      <c r="L496" s="11"/>
    </row>
    <row r="497" spans="4:12" x14ac:dyDescent="0.2">
      <c r="D497" s="11"/>
      <c r="E497" s="11"/>
      <c r="F497" s="11"/>
      <c r="G497" s="11"/>
      <c r="H497" s="11"/>
      <c r="I497" s="11"/>
      <c r="J497" s="11"/>
      <c r="K497" s="11"/>
      <c r="L497" s="11"/>
    </row>
    <row r="498" spans="4:12" x14ac:dyDescent="0.2">
      <c r="D498" s="11"/>
      <c r="E498" s="11"/>
      <c r="F498" s="11"/>
      <c r="G498" s="11"/>
      <c r="H498" s="11"/>
      <c r="I498" s="11"/>
      <c r="J498" s="11"/>
      <c r="K498" s="11"/>
      <c r="L498" s="11"/>
    </row>
    <row r="499" spans="4:12" x14ac:dyDescent="0.2">
      <c r="D499" s="11"/>
      <c r="E499" s="11"/>
      <c r="F499" s="11"/>
      <c r="G499" s="11"/>
      <c r="H499" s="11"/>
      <c r="I499" s="11"/>
      <c r="J499" s="11"/>
      <c r="K499" s="11"/>
      <c r="L499" s="11"/>
    </row>
    <row r="500" spans="4:12" x14ac:dyDescent="0.2">
      <c r="D500" s="11"/>
      <c r="E500" s="11"/>
      <c r="F500" s="11"/>
      <c r="G500" s="11"/>
      <c r="H500" s="11"/>
      <c r="I500" s="11"/>
      <c r="J500" s="11"/>
      <c r="K500" s="11"/>
      <c r="L500" s="11"/>
    </row>
    <row r="501" spans="4:12" x14ac:dyDescent="0.2">
      <c r="D501" s="11"/>
      <c r="E501" s="11"/>
      <c r="F501" s="11"/>
      <c r="G501" s="11"/>
      <c r="H501" s="11"/>
      <c r="I501" s="11"/>
      <c r="J501" s="11"/>
      <c r="K501" s="11"/>
      <c r="L501" s="11"/>
    </row>
    <row r="502" spans="4:12" x14ac:dyDescent="0.2">
      <c r="D502" s="11"/>
      <c r="E502" s="11"/>
      <c r="F502" s="11"/>
      <c r="G502" s="11"/>
      <c r="H502" s="11"/>
      <c r="I502" s="11"/>
      <c r="J502" s="11"/>
      <c r="K502" s="11"/>
      <c r="L502" s="11"/>
    </row>
    <row r="503" spans="4:12" x14ac:dyDescent="0.2">
      <c r="D503" s="11"/>
      <c r="E503" s="11"/>
      <c r="F503" s="11"/>
      <c r="G503" s="11"/>
      <c r="H503" s="11"/>
      <c r="I503" s="11"/>
      <c r="J503" s="11"/>
      <c r="K503" s="11"/>
      <c r="L503" s="11"/>
    </row>
    <row r="504" spans="4:12" x14ac:dyDescent="0.2">
      <c r="D504" s="11"/>
      <c r="E504" s="11"/>
      <c r="F504" s="11"/>
      <c r="G504" s="11"/>
      <c r="H504" s="11"/>
      <c r="I504" s="11"/>
      <c r="J504" s="11"/>
      <c r="K504" s="11"/>
      <c r="L504" s="11"/>
    </row>
    <row r="505" spans="4:12" x14ac:dyDescent="0.2">
      <c r="D505" s="11"/>
      <c r="E505" s="11"/>
      <c r="F505" s="11"/>
      <c r="G505" s="11"/>
      <c r="H505" s="11"/>
      <c r="I505" s="11"/>
      <c r="J505" s="11"/>
      <c r="K505" s="11"/>
      <c r="L505" s="11"/>
    </row>
    <row r="506" spans="4:12" x14ac:dyDescent="0.2">
      <c r="D506" s="11"/>
      <c r="E506" s="11"/>
      <c r="F506" s="11"/>
      <c r="G506" s="11"/>
      <c r="H506" s="11"/>
      <c r="I506" s="11"/>
      <c r="J506" s="11"/>
      <c r="K506" s="11"/>
      <c r="L506" s="11"/>
    </row>
    <row r="507" spans="4:12" x14ac:dyDescent="0.2">
      <c r="D507" s="11"/>
      <c r="E507" s="11"/>
      <c r="F507" s="11"/>
      <c r="G507" s="11"/>
      <c r="H507" s="11"/>
      <c r="I507" s="11"/>
      <c r="J507" s="11"/>
      <c r="K507" s="11"/>
      <c r="L507" s="11"/>
    </row>
    <row r="508" spans="4:12" x14ac:dyDescent="0.2">
      <c r="D508" s="11"/>
      <c r="E508" s="11"/>
      <c r="F508" s="11"/>
      <c r="G508" s="11"/>
      <c r="H508" s="11"/>
      <c r="I508" s="11"/>
      <c r="J508" s="11"/>
      <c r="K508" s="11"/>
      <c r="L508" s="11"/>
    </row>
    <row r="509" spans="4:12" x14ac:dyDescent="0.2">
      <c r="D509" s="11"/>
      <c r="E509" s="11"/>
      <c r="F509" s="11"/>
      <c r="G509" s="11"/>
      <c r="H509" s="11"/>
      <c r="I509" s="11"/>
      <c r="J509" s="11"/>
      <c r="K509" s="11"/>
      <c r="L509" s="11"/>
    </row>
    <row r="510" spans="4:12" x14ac:dyDescent="0.2">
      <c r="D510" s="11"/>
      <c r="E510" s="11"/>
      <c r="F510" s="11"/>
      <c r="G510" s="11"/>
      <c r="H510" s="11"/>
      <c r="I510" s="11"/>
      <c r="J510" s="11"/>
      <c r="K510" s="11"/>
      <c r="L510" s="11"/>
    </row>
    <row r="511" spans="4:12" x14ac:dyDescent="0.2">
      <c r="D511" s="11"/>
      <c r="E511" s="11"/>
      <c r="F511" s="11"/>
      <c r="G511" s="11"/>
      <c r="H511" s="11"/>
      <c r="I511" s="11"/>
      <c r="J511" s="11"/>
      <c r="K511" s="11"/>
      <c r="L511" s="11"/>
    </row>
    <row r="512" spans="4:12" x14ac:dyDescent="0.2">
      <c r="D512" s="11"/>
      <c r="E512" s="11"/>
      <c r="F512" s="11"/>
      <c r="G512" s="11"/>
      <c r="H512" s="11"/>
      <c r="I512" s="11"/>
      <c r="J512" s="11"/>
      <c r="K512" s="11"/>
      <c r="L512" s="11"/>
    </row>
    <row r="513" spans="4:12" x14ac:dyDescent="0.2">
      <c r="D513" s="11"/>
      <c r="E513" s="11"/>
      <c r="F513" s="11"/>
      <c r="G513" s="11"/>
      <c r="H513" s="11"/>
      <c r="I513" s="11"/>
      <c r="J513" s="11"/>
      <c r="K513" s="11"/>
      <c r="L513" s="11"/>
    </row>
    <row r="514" spans="4:12" x14ac:dyDescent="0.2">
      <c r="D514" s="11"/>
      <c r="E514" s="11"/>
      <c r="F514" s="11"/>
      <c r="G514" s="11"/>
      <c r="H514" s="11"/>
      <c r="I514" s="11"/>
      <c r="J514" s="11"/>
      <c r="K514" s="11"/>
      <c r="L514" s="11"/>
    </row>
    <row r="515" spans="4:12" x14ac:dyDescent="0.2">
      <c r="D515" s="11"/>
      <c r="E515" s="11"/>
      <c r="F515" s="11"/>
      <c r="G515" s="11"/>
      <c r="H515" s="11"/>
      <c r="I515" s="11"/>
      <c r="J515" s="11"/>
      <c r="K515" s="11"/>
      <c r="L515" s="11"/>
    </row>
    <row r="516" spans="4:12" x14ac:dyDescent="0.2">
      <c r="D516" s="11"/>
      <c r="E516" s="11"/>
      <c r="F516" s="11"/>
      <c r="G516" s="11"/>
      <c r="H516" s="11"/>
      <c r="I516" s="11"/>
      <c r="J516" s="11"/>
      <c r="K516" s="11"/>
      <c r="L516" s="11"/>
    </row>
    <row r="517" spans="4:12" x14ac:dyDescent="0.2">
      <c r="D517" s="11"/>
      <c r="E517" s="11"/>
      <c r="F517" s="11"/>
      <c r="G517" s="11"/>
      <c r="H517" s="11"/>
      <c r="I517" s="11"/>
      <c r="J517" s="11"/>
      <c r="K517" s="11"/>
      <c r="L517" s="11"/>
    </row>
    <row r="518" spans="4:12" x14ac:dyDescent="0.2">
      <c r="D518" s="11"/>
      <c r="E518" s="11"/>
      <c r="F518" s="11"/>
      <c r="G518" s="11"/>
      <c r="H518" s="11"/>
      <c r="I518" s="11"/>
      <c r="J518" s="11"/>
      <c r="K518" s="11"/>
      <c r="L518" s="11"/>
    </row>
    <row r="519" spans="4:12" x14ac:dyDescent="0.2">
      <c r="D519" s="11"/>
      <c r="E519" s="11"/>
      <c r="F519" s="11"/>
      <c r="G519" s="11"/>
      <c r="H519" s="11"/>
      <c r="I519" s="11"/>
      <c r="J519" s="11"/>
      <c r="K519" s="11"/>
      <c r="L519" s="11"/>
    </row>
    <row r="520" spans="4:12" x14ac:dyDescent="0.2">
      <c r="D520" s="11"/>
      <c r="E520" s="11"/>
      <c r="F520" s="11"/>
      <c r="G520" s="11"/>
      <c r="H520" s="11"/>
      <c r="I520" s="11"/>
      <c r="J520" s="11"/>
      <c r="K520" s="11"/>
      <c r="L520" s="11"/>
    </row>
    <row r="521" spans="4:12" x14ac:dyDescent="0.2">
      <c r="D521" s="11"/>
      <c r="E521" s="11"/>
      <c r="F521" s="11"/>
      <c r="G521" s="11"/>
      <c r="H521" s="11"/>
      <c r="I521" s="11"/>
      <c r="J521" s="11"/>
      <c r="K521" s="11"/>
      <c r="L521" s="11"/>
    </row>
    <row r="522" spans="4:12" x14ac:dyDescent="0.2">
      <c r="D522" s="11"/>
      <c r="E522" s="11"/>
      <c r="F522" s="11"/>
      <c r="G522" s="11"/>
      <c r="H522" s="11"/>
      <c r="I522" s="11"/>
      <c r="J522" s="11"/>
      <c r="K522" s="11"/>
      <c r="L522" s="11"/>
    </row>
    <row r="523" spans="4:12" x14ac:dyDescent="0.2">
      <c r="D523" s="11"/>
      <c r="E523" s="11"/>
      <c r="F523" s="11"/>
      <c r="G523" s="11"/>
      <c r="H523" s="11"/>
      <c r="I523" s="11"/>
      <c r="J523" s="11"/>
      <c r="K523" s="11"/>
      <c r="L523" s="11"/>
    </row>
    <row r="524" spans="4:12" x14ac:dyDescent="0.2">
      <c r="D524" s="11"/>
      <c r="E524" s="11"/>
      <c r="F524" s="11"/>
      <c r="G524" s="11"/>
      <c r="H524" s="11"/>
      <c r="I524" s="11"/>
      <c r="J524" s="11"/>
      <c r="K524" s="11"/>
      <c r="L524" s="11"/>
    </row>
    <row r="525" spans="4:12" x14ac:dyDescent="0.2">
      <c r="D525" s="11"/>
      <c r="E525" s="11"/>
      <c r="F525" s="11"/>
      <c r="G525" s="11"/>
      <c r="H525" s="11"/>
      <c r="I525" s="11"/>
      <c r="J525" s="11"/>
      <c r="K525" s="11"/>
      <c r="L525" s="11"/>
    </row>
    <row r="526" spans="4:12" x14ac:dyDescent="0.2">
      <c r="D526" s="11"/>
      <c r="E526" s="11"/>
      <c r="F526" s="11"/>
      <c r="G526" s="11"/>
      <c r="H526" s="11"/>
      <c r="I526" s="11"/>
      <c r="J526" s="11"/>
      <c r="K526" s="11"/>
      <c r="L526" s="11"/>
    </row>
    <row r="527" spans="4:12" x14ac:dyDescent="0.2">
      <c r="D527" s="11"/>
      <c r="E527" s="11"/>
      <c r="F527" s="11"/>
      <c r="G527" s="11"/>
      <c r="H527" s="11"/>
      <c r="I527" s="11"/>
      <c r="J527" s="11"/>
      <c r="K527" s="11"/>
      <c r="L527" s="11"/>
    </row>
    <row r="528" spans="4:12" x14ac:dyDescent="0.2">
      <c r="D528" s="11"/>
      <c r="E528" s="11"/>
      <c r="F528" s="11"/>
      <c r="G528" s="11"/>
      <c r="H528" s="11"/>
      <c r="I528" s="11"/>
      <c r="J528" s="11"/>
      <c r="K528" s="11"/>
      <c r="L528" s="11"/>
    </row>
    <row r="529" spans="4:12" x14ac:dyDescent="0.2">
      <c r="D529" s="11"/>
      <c r="E529" s="11"/>
      <c r="F529" s="11"/>
      <c r="G529" s="11"/>
      <c r="H529" s="11"/>
      <c r="I529" s="11"/>
      <c r="J529" s="11"/>
      <c r="K529" s="11"/>
      <c r="L529" s="11"/>
    </row>
    <row r="530" spans="4:12" x14ac:dyDescent="0.2">
      <c r="D530" s="11"/>
      <c r="E530" s="11"/>
      <c r="F530" s="11"/>
      <c r="G530" s="11"/>
      <c r="H530" s="11"/>
      <c r="I530" s="11"/>
      <c r="J530" s="11"/>
      <c r="K530" s="11"/>
      <c r="L530" s="11"/>
    </row>
    <row r="531" spans="4:12" x14ac:dyDescent="0.2">
      <c r="D531" s="11"/>
      <c r="E531" s="11"/>
      <c r="F531" s="11"/>
      <c r="G531" s="11"/>
      <c r="H531" s="11"/>
      <c r="I531" s="11"/>
      <c r="J531" s="11"/>
      <c r="K531" s="11"/>
      <c r="L531" s="11"/>
    </row>
    <row r="532" spans="4:12" x14ac:dyDescent="0.2">
      <c r="D532" s="11"/>
      <c r="E532" s="11"/>
      <c r="F532" s="11"/>
      <c r="G532" s="11"/>
      <c r="H532" s="11"/>
      <c r="I532" s="11"/>
      <c r="J532" s="11"/>
      <c r="K532" s="11"/>
      <c r="L532" s="11"/>
    </row>
    <row r="533" spans="4:12" x14ac:dyDescent="0.2">
      <c r="D533" s="11"/>
      <c r="E533" s="11"/>
      <c r="F533" s="11"/>
      <c r="G533" s="11"/>
      <c r="H533" s="11"/>
      <c r="I533" s="11"/>
      <c r="J533" s="11"/>
      <c r="K533" s="11"/>
      <c r="L533" s="11"/>
    </row>
    <row r="534" spans="4:12" x14ac:dyDescent="0.2">
      <c r="D534" s="11"/>
      <c r="E534" s="11"/>
      <c r="F534" s="11"/>
      <c r="G534" s="11"/>
      <c r="H534" s="11"/>
      <c r="I534" s="11"/>
      <c r="J534" s="11"/>
      <c r="K534" s="11"/>
      <c r="L534" s="11"/>
    </row>
    <row r="535" spans="4:12" x14ac:dyDescent="0.2">
      <c r="D535" s="11"/>
      <c r="E535" s="11"/>
      <c r="F535" s="11"/>
      <c r="G535" s="11"/>
      <c r="H535" s="11"/>
      <c r="I535" s="11"/>
      <c r="J535" s="11"/>
      <c r="K535" s="11"/>
      <c r="L535" s="11"/>
    </row>
    <row r="536" spans="4:12" x14ac:dyDescent="0.2">
      <c r="D536" s="11"/>
      <c r="E536" s="11"/>
      <c r="F536" s="11"/>
      <c r="G536" s="11"/>
      <c r="H536" s="11"/>
      <c r="I536" s="11"/>
      <c r="J536" s="11"/>
      <c r="K536" s="11"/>
      <c r="L536" s="11"/>
    </row>
    <row r="537" spans="4:12" x14ac:dyDescent="0.2">
      <c r="D537" s="11"/>
      <c r="E537" s="11"/>
      <c r="F537" s="11"/>
      <c r="G537" s="11"/>
      <c r="H537" s="11"/>
      <c r="I537" s="11"/>
      <c r="J537" s="11"/>
      <c r="K537" s="11"/>
      <c r="L537" s="11"/>
    </row>
    <row r="538" spans="4:12" x14ac:dyDescent="0.2">
      <c r="D538" s="11"/>
      <c r="E538" s="11"/>
      <c r="F538" s="11"/>
      <c r="G538" s="11"/>
      <c r="H538" s="11"/>
      <c r="I538" s="11"/>
      <c r="J538" s="11"/>
      <c r="K538" s="11"/>
      <c r="L538" s="11"/>
    </row>
    <row r="539" spans="4:12" x14ac:dyDescent="0.2">
      <c r="D539" s="11"/>
      <c r="E539" s="11"/>
      <c r="F539" s="11"/>
      <c r="G539" s="11"/>
      <c r="H539" s="11"/>
      <c r="I539" s="11"/>
      <c r="J539" s="11"/>
      <c r="K539" s="11"/>
      <c r="L539" s="11"/>
    </row>
    <row r="540" spans="4:12" x14ac:dyDescent="0.2">
      <c r="D540" s="11"/>
      <c r="E540" s="11"/>
      <c r="F540" s="11"/>
      <c r="G540" s="11"/>
      <c r="H540" s="11"/>
      <c r="I540" s="11"/>
      <c r="J540" s="11"/>
      <c r="K540" s="11"/>
      <c r="L540" s="11"/>
    </row>
    <row r="541" spans="4:12" x14ac:dyDescent="0.2">
      <c r="D541" s="11"/>
      <c r="E541" s="11"/>
      <c r="F541" s="11"/>
      <c r="G541" s="11"/>
      <c r="H541" s="11"/>
      <c r="I541" s="11"/>
      <c r="J541" s="11"/>
      <c r="K541" s="11"/>
      <c r="L541" s="11"/>
    </row>
    <row r="542" spans="4:12" x14ac:dyDescent="0.2">
      <c r="D542" s="11"/>
      <c r="E542" s="11"/>
      <c r="F542" s="11"/>
      <c r="G542" s="11"/>
      <c r="H542" s="11"/>
      <c r="I542" s="11"/>
      <c r="J542" s="11"/>
      <c r="K542" s="11"/>
      <c r="L542" s="11"/>
    </row>
    <row r="543" spans="4:12" x14ac:dyDescent="0.2">
      <c r="D543" s="11"/>
      <c r="E543" s="11"/>
      <c r="F543" s="11"/>
      <c r="G543" s="11"/>
      <c r="H543" s="11"/>
      <c r="I543" s="11"/>
      <c r="J543" s="11"/>
      <c r="K543" s="11"/>
      <c r="L543" s="11"/>
    </row>
    <row r="544" spans="4:12" x14ac:dyDescent="0.2">
      <c r="D544" s="11"/>
      <c r="E544" s="11"/>
      <c r="F544" s="11"/>
      <c r="G544" s="11"/>
      <c r="H544" s="11"/>
      <c r="I544" s="11"/>
      <c r="J544" s="11"/>
      <c r="K544" s="11"/>
      <c r="L544" s="11"/>
    </row>
    <row r="545" spans="4:12" x14ac:dyDescent="0.2">
      <c r="D545" s="11"/>
      <c r="E545" s="11"/>
      <c r="F545" s="11"/>
      <c r="G545" s="11"/>
      <c r="H545" s="11"/>
      <c r="I545" s="11"/>
      <c r="J545" s="11"/>
      <c r="K545" s="11"/>
      <c r="L545" s="11"/>
    </row>
    <row r="546" spans="4:12" x14ac:dyDescent="0.2">
      <c r="D546" s="11"/>
      <c r="E546" s="11"/>
      <c r="F546" s="11"/>
      <c r="G546" s="11"/>
      <c r="H546" s="11"/>
      <c r="I546" s="11"/>
      <c r="J546" s="11"/>
      <c r="K546" s="11"/>
      <c r="L546" s="11"/>
    </row>
    <row r="547" spans="4:12" x14ac:dyDescent="0.2">
      <c r="D547" s="11"/>
      <c r="E547" s="11"/>
      <c r="F547" s="11"/>
      <c r="G547" s="11"/>
      <c r="H547" s="11"/>
      <c r="I547" s="11"/>
      <c r="J547" s="11"/>
      <c r="K547" s="11"/>
      <c r="L547" s="11"/>
    </row>
    <row r="548" spans="4:12" x14ac:dyDescent="0.2">
      <c r="D548" s="11"/>
      <c r="E548" s="11"/>
      <c r="F548" s="11"/>
      <c r="G548" s="11"/>
      <c r="H548" s="11"/>
      <c r="I548" s="11"/>
      <c r="J548" s="11"/>
      <c r="K548" s="11"/>
      <c r="L548" s="11"/>
    </row>
    <row r="549" spans="4:12" x14ac:dyDescent="0.2">
      <c r="D549" s="11"/>
      <c r="E549" s="11"/>
      <c r="F549" s="11"/>
      <c r="G549" s="11"/>
      <c r="H549" s="11"/>
      <c r="I549" s="11"/>
      <c r="J549" s="11"/>
      <c r="K549" s="11"/>
      <c r="L549" s="11"/>
    </row>
    <row r="550" spans="4:12" x14ac:dyDescent="0.2">
      <c r="D550" s="11"/>
      <c r="E550" s="11"/>
      <c r="F550" s="11"/>
      <c r="G550" s="11"/>
      <c r="H550" s="11"/>
      <c r="I550" s="11"/>
      <c r="J550" s="11"/>
      <c r="K550" s="11"/>
      <c r="L550" s="11"/>
    </row>
    <row r="551" spans="4:12" x14ac:dyDescent="0.2">
      <c r="D551" s="11"/>
      <c r="E551" s="11"/>
      <c r="F551" s="11"/>
      <c r="G551" s="11"/>
      <c r="H551" s="11"/>
      <c r="I551" s="11"/>
      <c r="J551" s="11"/>
      <c r="K551" s="11"/>
      <c r="L551" s="11"/>
    </row>
    <row r="552" spans="4:12" x14ac:dyDescent="0.2">
      <c r="D552" s="11"/>
      <c r="E552" s="11"/>
      <c r="F552" s="11"/>
      <c r="G552" s="11"/>
      <c r="H552" s="11"/>
      <c r="I552" s="11"/>
      <c r="J552" s="11"/>
      <c r="K552" s="11"/>
      <c r="L552" s="11"/>
    </row>
    <row r="553" spans="4:12" x14ac:dyDescent="0.2">
      <c r="D553" s="11"/>
      <c r="E553" s="11"/>
      <c r="F553" s="11"/>
      <c r="G553" s="11"/>
      <c r="H553" s="11"/>
      <c r="I553" s="11"/>
      <c r="J553" s="11"/>
      <c r="K553" s="11"/>
      <c r="L553" s="11"/>
    </row>
    <row r="554" spans="4:12" x14ac:dyDescent="0.2">
      <c r="D554" s="11"/>
      <c r="E554" s="11"/>
      <c r="F554" s="11"/>
      <c r="G554" s="11"/>
      <c r="H554" s="11"/>
      <c r="I554" s="11"/>
      <c r="J554" s="11"/>
      <c r="K554" s="11"/>
      <c r="L554" s="11"/>
    </row>
    <row r="555" spans="4:12" x14ac:dyDescent="0.2">
      <c r="D555" s="11"/>
      <c r="E555" s="11"/>
      <c r="F555" s="11"/>
      <c r="G555" s="11"/>
      <c r="H555" s="11"/>
      <c r="I555" s="11"/>
      <c r="J555" s="11"/>
      <c r="K555" s="11"/>
      <c r="L555" s="11"/>
    </row>
    <row r="556" spans="4:12" x14ac:dyDescent="0.2">
      <c r="D556" s="11"/>
      <c r="E556" s="11"/>
      <c r="F556" s="11"/>
      <c r="G556" s="11"/>
      <c r="H556" s="11"/>
      <c r="I556" s="11"/>
      <c r="J556" s="11"/>
      <c r="K556" s="11"/>
      <c r="L556" s="11"/>
    </row>
    <row r="557" spans="4:12" x14ac:dyDescent="0.2">
      <c r="D557" s="11"/>
      <c r="E557" s="11"/>
      <c r="F557" s="11"/>
      <c r="G557" s="11"/>
      <c r="H557" s="11"/>
      <c r="I557" s="11"/>
      <c r="J557" s="11"/>
      <c r="K557" s="11"/>
      <c r="L557" s="11"/>
    </row>
    <row r="558" spans="4:12" x14ac:dyDescent="0.2">
      <c r="D558" s="11"/>
      <c r="E558" s="11"/>
      <c r="F558" s="11"/>
      <c r="G558" s="11"/>
      <c r="H558" s="11"/>
      <c r="I558" s="11"/>
      <c r="J558" s="11"/>
      <c r="K558" s="11"/>
      <c r="L558" s="11"/>
    </row>
    <row r="559" spans="4:12" x14ac:dyDescent="0.2">
      <c r="D559" s="11"/>
      <c r="E559" s="11"/>
      <c r="F559" s="11"/>
      <c r="G559" s="11"/>
      <c r="H559" s="11"/>
      <c r="I559" s="11"/>
      <c r="J559" s="11"/>
      <c r="K559" s="11"/>
      <c r="L559" s="11"/>
    </row>
    <row r="560" spans="4:12" x14ac:dyDescent="0.2">
      <c r="D560" s="11"/>
      <c r="E560" s="11"/>
      <c r="F560" s="11"/>
      <c r="G560" s="11"/>
      <c r="H560" s="11"/>
      <c r="I560" s="11"/>
      <c r="J560" s="11"/>
      <c r="K560" s="11"/>
      <c r="L560" s="11"/>
    </row>
    <row r="561" spans="4:12" x14ac:dyDescent="0.2">
      <c r="D561" s="11"/>
      <c r="E561" s="11"/>
      <c r="F561" s="11"/>
      <c r="G561" s="11"/>
      <c r="H561" s="11"/>
      <c r="I561" s="11"/>
      <c r="J561" s="11"/>
      <c r="K561" s="11"/>
      <c r="L561" s="11"/>
    </row>
    <row r="562" spans="4:12" x14ac:dyDescent="0.2">
      <c r="D562" s="11"/>
      <c r="E562" s="11"/>
      <c r="F562" s="11"/>
      <c r="G562" s="11"/>
      <c r="H562" s="11"/>
      <c r="I562" s="11"/>
      <c r="J562" s="11"/>
      <c r="K562" s="11"/>
      <c r="L562" s="11"/>
    </row>
    <row r="563" spans="4:12" x14ac:dyDescent="0.2">
      <c r="D563" s="11"/>
      <c r="E563" s="11"/>
      <c r="F563" s="11"/>
      <c r="G563" s="11"/>
      <c r="H563" s="11"/>
      <c r="I563" s="11"/>
      <c r="J563" s="11"/>
      <c r="K563" s="11"/>
      <c r="L563" s="11"/>
    </row>
    <row r="564" spans="4:12" x14ac:dyDescent="0.2">
      <c r="D564" s="11"/>
      <c r="E564" s="11"/>
      <c r="F564" s="11"/>
      <c r="G564" s="11"/>
      <c r="H564" s="11"/>
      <c r="I564" s="11"/>
      <c r="J564" s="11"/>
      <c r="K564" s="11"/>
      <c r="L564" s="11"/>
    </row>
    <row r="565" spans="4:12" x14ac:dyDescent="0.2">
      <c r="D565" s="11"/>
      <c r="E565" s="11"/>
      <c r="F565" s="11"/>
      <c r="G565" s="11"/>
      <c r="H565" s="11"/>
      <c r="I565" s="11"/>
      <c r="J565" s="11"/>
      <c r="K565" s="11"/>
      <c r="L565" s="11"/>
    </row>
    <row r="566" spans="4:12" x14ac:dyDescent="0.2">
      <c r="D566" s="11"/>
      <c r="E566" s="11"/>
      <c r="F566" s="11"/>
      <c r="G566" s="11"/>
      <c r="H566" s="11"/>
      <c r="I566" s="11"/>
      <c r="J566" s="11"/>
      <c r="K566" s="11"/>
      <c r="L566" s="11"/>
    </row>
    <row r="567" spans="4:12" x14ac:dyDescent="0.2">
      <c r="D567" s="11"/>
      <c r="E567" s="11"/>
      <c r="F567" s="11"/>
      <c r="G567" s="11"/>
      <c r="H567" s="11"/>
      <c r="I567" s="11"/>
      <c r="J567" s="11"/>
      <c r="K567" s="11"/>
      <c r="L567" s="11"/>
    </row>
    <row r="568" spans="4:12" x14ac:dyDescent="0.2">
      <c r="D568" s="11"/>
      <c r="E568" s="11"/>
      <c r="F568" s="11"/>
      <c r="G568" s="11"/>
      <c r="H568" s="11"/>
      <c r="I568" s="11"/>
      <c r="J568" s="11"/>
      <c r="K568" s="11"/>
      <c r="L568" s="11"/>
    </row>
    <row r="569" spans="4:12" x14ac:dyDescent="0.2">
      <c r="D569" s="11"/>
      <c r="E569" s="11"/>
      <c r="F569" s="11"/>
      <c r="G569" s="11"/>
      <c r="H569" s="11"/>
      <c r="I569" s="11"/>
      <c r="J569" s="11"/>
      <c r="K569" s="11"/>
      <c r="L569" s="11"/>
    </row>
    <row r="570" spans="4:12" x14ac:dyDescent="0.2">
      <c r="D570" s="11"/>
      <c r="E570" s="11"/>
      <c r="F570" s="11"/>
      <c r="G570" s="11"/>
      <c r="H570" s="11"/>
      <c r="I570" s="11"/>
      <c r="J570" s="11"/>
      <c r="K570" s="11"/>
      <c r="L570" s="11"/>
    </row>
    <row r="571" spans="4:12" x14ac:dyDescent="0.2">
      <c r="D571" s="11"/>
      <c r="E571" s="11"/>
      <c r="F571" s="11"/>
      <c r="G571" s="11"/>
      <c r="H571" s="11"/>
      <c r="I571" s="11"/>
      <c r="J571" s="11"/>
      <c r="K571" s="11"/>
      <c r="L571" s="11"/>
    </row>
    <row r="572" spans="4:12" x14ac:dyDescent="0.2">
      <c r="D572" s="11"/>
      <c r="E572" s="11"/>
      <c r="F572" s="11"/>
      <c r="G572" s="11"/>
      <c r="H572" s="11"/>
      <c r="I572" s="11"/>
      <c r="J572" s="11"/>
      <c r="K572" s="11"/>
      <c r="L572" s="11"/>
    </row>
    <row r="573" spans="4:12" x14ac:dyDescent="0.2">
      <c r="D573" s="11"/>
      <c r="E573" s="11"/>
      <c r="F573" s="11"/>
      <c r="G573" s="11"/>
      <c r="H573" s="11"/>
      <c r="I573" s="11"/>
      <c r="J573" s="11"/>
      <c r="K573" s="11"/>
      <c r="L573" s="11"/>
    </row>
    <row r="574" spans="4:12" x14ac:dyDescent="0.2">
      <c r="D574" s="11"/>
      <c r="E574" s="11"/>
      <c r="F574" s="11"/>
      <c r="G574" s="11"/>
      <c r="H574" s="11"/>
      <c r="I574" s="11"/>
      <c r="J574" s="11"/>
      <c r="K574" s="11"/>
      <c r="L574" s="11"/>
    </row>
    <row r="575" spans="4:12" x14ac:dyDescent="0.2">
      <c r="D575" s="11"/>
      <c r="E575" s="11"/>
      <c r="F575" s="11"/>
      <c r="G575" s="11"/>
      <c r="H575" s="11"/>
      <c r="I575" s="11"/>
      <c r="J575" s="11"/>
      <c r="K575" s="11"/>
      <c r="L575" s="11"/>
    </row>
    <row r="576" spans="4:12" x14ac:dyDescent="0.2">
      <c r="D576" s="11"/>
      <c r="E576" s="11"/>
      <c r="F576" s="11"/>
      <c r="G576" s="11"/>
      <c r="H576" s="11"/>
      <c r="I576" s="11"/>
      <c r="J576" s="11"/>
      <c r="K576" s="11"/>
      <c r="L576" s="11"/>
    </row>
    <row r="577" spans="4:12" x14ac:dyDescent="0.2">
      <c r="D577" s="11"/>
      <c r="E577" s="11"/>
      <c r="F577" s="11"/>
      <c r="G577" s="11"/>
      <c r="H577" s="11"/>
      <c r="I577" s="11"/>
      <c r="J577" s="11"/>
      <c r="K577" s="11"/>
      <c r="L577" s="11"/>
    </row>
    <row r="578" spans="4:12" x14ac:dyDescent="0.2">
      <c r="D578" s="11"/>
      <c r="E578" s="11"/>
      <c r="F578" s="11"/>
      <c r="G578" s="11"/>
      <c r="H578" s="11"/>
      <c r="I578" s="11"/>
      <c r="J578" s="11"/>
      <c r="K578" s="11"/>
      <c r="L578" s="11"/>
    </row>
    <row r="579" spans="4:12" x14ac:dyDescent="0.2">
      <c r="D579" s="11"/>
      <c r="E579" s="11"/>
      <c r="F579" s="11"/>
      <c r="G579" s="11"/>
      <c r="H579" s="11"/>
      <c r="I579" s="11"/>
      <c r="J579" s="11"/>
      <c r="K579" s="11"/>
      <c r="L579" s="11"/>
    </row>
    <row r="580" spans="4:12" x14ac:dyDescent="0.2">
      <c r="D580" s="11"/>
      <c r="E580" s="11"/>
      <c r="F580" s="11"/>
      <c r="G580" s="11"/>
      <c r="H580" s="11"/>
      <c r="I580" s="11"/>
      <c r="J580" s="11"/>
      <c r="K580" s="11"/>
      <c r="L580" s="11"/>
    </row>
    <row r="581" spans="4:12" x14ac:dyDescent="0.2">
      <c r="D581" s="11"/>
      <c r="E581" s="11"/>
      <c r="F581" s="11"/>
      <c r="G581" s="11"/>
      <c r="H581" s="11"/>
      <c r="I581" s="11"/>
      <c r="J581" s="11"/>
      <c r="K581" s="11"/>
      <c r="L581" s="11"/>
    </row>
    <row r="582" spans="4:12" x14ac:dyDescent="0.2">
      <c r="D582" s="11"/>
      <c r="E582" s="11"/>
      <c r="F582" s="11"/>
      <c r="G582" s="11"/>
      <c r="H582" s="11"/>
      <c r="I582" s="11"/>
      <c r="J582" s="11"/>
      <c r="K582" s="11"/>
      <c r="L582" s="11"/>
    </row>
    <row r="583" spans="4:12" x14ac:dyDescent="0.2">
      <c r="D583" s="11"/>
      <c r="E583" s="11"/>
      <c r="F583" s="11"/>
      <c r="G583" s="11"/>
      <c r="H583" s="11"/>
      <c r="I583" s="11"/>
      <c r="J583" s="11"/>
      <c r="K583" s="11"/>
      <c r="L583" s="11"/>
    </row>
    <row r="584" spans="4:12" x14ac:dyDescent="0.2">
      <c r="D584" s="11"/>
      <c r="E584" s="11"/>
      <c r="F584" s="11"/>
      <c r="G584" s="11"/>
      <c r="H584" s="11"/>
      <c r="I584" s="11"/>
      <c r="J584" s="11"/>
      <c r="K584" s="11"/>
      <c r="L584" s="11"/>
    </row>
    <row r="585" spans="4:12" x14ac:dyDescent="0.2">
      <c r="D585" s="11"/>
      <c r="E585" s="11"/>
      <c r="F585" s="11"/>
      <c r="G585" s="11"/>
      <c r="H585" s="11"/>
      <c r="I585" s="11"/>
      <c r="J585" s="11"/>
      <c r="K585" s="11"/>
      <c r="L585" s="11"/>
    </row>
    <row r="586" spans="4:12" x14ac:dyDescent="0.2">
      <c r="D586" s="11"/>
      <c r="E586" s="11"/>
      <c r="F586" s="11"/>
      <c r="G586" s="11"/>
      <c r="H586" s="11"/>
      <c r="I586" s="11"/>
      <c r="J586" s="11"/>
      <c r="K586" s="11"/>
      <c r="L586" s="11"/>
    </row>
    <row r="587" spans="4:12" x14ac:dyDescent="0.2">
      <c r="D587" s="11"/>
      <c r="E587" s="11"/>
      <c r="F587" s="11"/>
      <c r="G587" s="11"/>
      <c r="H587" s="11"/>
      <c r="I587" s="11"/>
      <c r="J587" s="11"/>
      <c r="K587" s="11"/>
      <c r="L587" s="11"/>
    </row>
    <row r="588" spans="4:12" x14ac:dyDescent="0.2">
      <c r="D588" s="11"/>
      <c r="E588" s="11"/>
      <c r="F588" s="11"/>
      <c r="G588" s="11"/>
      <c r="H588" s="11"/>
      <c r="I588" s="11"/>
      <c r="J588" s="11"/>
      <c r="K588" s="11"/>
      <c r="L588" s="11"/>
    </row>
    <row r="589" spans="4:12" x14ac:dyDescent="0.2">
      <c r="D589" s="11"/>
      <c r="E589" s="11"/>
      <c r="F589" s="11"/>
      <c r="G589" s="11"/>
      <c r="H589" s="11"/>
      <c r="I589" s="11"/>
      <c r="J589" s="11"/>
      <c r="K589" s="11"/>
      <c r="L589" s="11"/>
    </row>
    <row r="590" spans="4:12" x14ac:dyDescent="0.2">
      <c r="D590" s="11"/>
      <c r="E590" s="11"/>
      <c r="F590" s="11"/>
      <c r="G590" s="11"/>
      <c r="H590" s="11"/>
      <c r="I590" s="11"/>
      <c r="J590" s="11"/>
      <c r="K590" s="11"/>
      <c r="L590" s="11"/>
    </row>
    <row r="591" spans="4:12" x14ac:dyDescent="0.2">
      <c r="D591" s="11"/>
      <c r="E591" s="11"/>
      <c r="F591" s="11"/>
      <c r="G591" s="11"/>
      <c r="H591" s="11"/>
      <c r="I591" s="11"/>
      <c r="J591" s="11"/>
      <c r="K591" s="11"/>
      <c r="L591" s="11"/>
    </row>
    <row r="592" spans="4:12" x14ac:dyDescent="0.2">
      <c r="D592" s="11"/>
      <c r="E592" s="11"/>
      <c r="F592" s="11"/>
      <c r="G592" s="11"/>
      <c r="H592" s="11"/>
      <c r="I592" s="11"/>
      <c r="J592" s="11"/>
      <c r="K592" s="11"/>
      <c r="L592" s="11"/>
    </row>
    <row r="593" spans="4:12" x14ac:dyDescent="0.2">
      <c r="D593" s="11"/>
      <c r="E593" s="11"/>
      <c r="F593" s="11"/>
      <c r="G593" s="11"/>
      <c r="H593" s="11"/>
      <c r="I593" s="11"/>
      <c r="J593" s="11"/>
      <c r="K593" s="11"/>
      <c r="L593" s="11"/>
    </row>
    <row r="594" spans="4:12" x14ac:dyDescent="0.2">
      <c r="D594" s="11"/>
      <c r="E594" s="11"/>
      <c r="F594" s="11"/>
      <c r="G594" s="11"/>
      <c r="H594" s="11"/>
      <c r="I594" s="11"/>
      <c r="J594" s="11"/>
      <c r="K594" s="11"/>
      <c r="L594" s="11"/>
    </row>
    <row r="595" spans="4:12" x14ac:dyDescent="0.2">
      <c r="D595" s="11"/>
      <c r="E595" s="11"/>
      <c r="F595" s="11"/>
      <c r="G595" s="11"/>
      <c r="H595" s="11"/>
      <c r="I595" s="11"/>
      <c r="J595" s="11"/>
      <c r="K595" s="11"/>
      <c r="L595" s="11"/>
    </row>
    <row r="596" spans="4:12" x14ac:dyDescent="0.2">
      <c r="D596" s="11"/>
      <c r="E596" s="11"/>
      <c r="F596" s="11"/>
      <c r="G596" s="11"/>
      <c r="H596" s="11"/>
      <c r="I596" s="11"/>
      <c r="J596" s="11"/>
      <c r="K596" s="11"/>
      <c r="L596" s="11"/>
    </row>
    <row r="597" spans="4:12" x14ac:dyDescent="0.2">
      <c r="D597" s="11"/>
      <c r="E597" s="11"/>
      <c r="F597" s="11"/>
      <c r="G597" s="11"/>
      <c r="H597" s="11"/>
      <c r="I597" s="11"/>
      <c r="J597" s="11"/>
      <c r="K597" s="11"/>
      <c r="L597" s="11"/>
    </row>
    <row r="598" spans="4:12" x14ac:dyDescent="0.2">
      <c r="D598" s="11"/>
      <c r="E598" s="11"/>
      <c r="F598" s="11"/>
      <c r="G598" s="11"/>
      <c r="H598" s="11"/>
      <c r="I598" s="11"/>
      <c r="J598" s="11"/>
      <c r="K598" s="11"/>
      <c r="L598" s="11"/>
    </row>
    <row r="599" spans="4:12" x14ac:dyDescent="0.2">
      <c r="D599" s="11"/>
      <c r="E599" s="11"/>
      <c r="F599" s="11"/>
      <c r="G599" s="11"/>
      <c r="H599" s="11"/>
      <c r="I599" s="11"/>
      <c r="J599" s="11"/>
      <c r="K599" s="11"/>
      <c r="L599" s="11"/>
    </row>
    <row r="600" spans="4:12" x14ac:dyDescent="0.2">
      <c r="D600" s="11"/>
      <c r="E600" s="11"/>
      <c r="F600" s="11"/>
      <c r="G600" s="11"/>
      <c r="H600" s="11"/>
      <c r="I600" s="11"/>
      <c r="J600" s="11"/>
      <c r="K600" s="11"/>
      <c r="L600" s="11"/>
    </row>
    <row r="601" spans="4:12" x14ac:dyDescent="0.2">
      <c r="D601" s="11"/>
      <c r="E601" s="11"/>
      <c r="F601" s="11"/>
      <c r="G601" s="11"/>
      <c r="H601" s="11"/>
      <c r="I601" s="11"/>
      <c r="J601" s="11"/>
      <c r="K601" s="11"/>
      <c r="L601" s="11"/>
    </row>
    <row r="602" spans="4:12" x14ac:dyDescent="0.2">
      <c r="D602" s="11"/>
      <c r="E602" s="11"/>
      <c r="F602" s="11"/>
      <c r="G602" s="11"/>
      <c r="H602" s="11"/>
      <c r="I602" s="11"/>
      <c r="J602" s="11"/>
      <c r="K602" s="11"/>
      <c r="L602" s="11"/>
    </row>
    <row r="603" spans="4:12" x14ac:dyDescent="0.2">
      <c r="D603" s="11"/>
      <c r="E603" s="11"/>
      <c r="F603" s="11"/>
      <c r="G603" s="11"/>
      <c r="H603" s="11"/>
      <c r="I603" s="11"/>
      <c r="J603" s="11"/>
      <c r="K603" s="11"/>
      <c r="L603" s="11"/>
    </row>
    <row r="604" spans="4:12" x14ac:dyDescent="0.2">
      <c r="D604" s="11"/>
      <c r="E604" s="11"/>
      <c r="F604" s="11"/>
      <c r="G604" s="11"/>
      <c r="H604" s="11"/>
      <c r="I604" s="11"/>
      <c r="J604" s="11"/>
      <c r="K604" s="11"/>
      <c r="L604" s="11"/>
    </row>
    <row r="605" spans="4:12" x14ac:dyDescent="0.2">
      <c r="D605" s="11"/>
      <c r="E605" s="11"/>
      <c r="F605" s="11"/>
      <c r="G605" s="11"/>
      <c r="H605" s="11"/>
      <c r="I605" s="11"/>
      <c r="J605" s="11"/>
      <c r="K605" s="11"/>
      <c r="L605" s="11"/>
    </row>
    <row r="606" spans="4:12" x14ac:dyDescent="0.2">
      <c r="D606" s="11"/>
      <c r="E606" s="11"/>
      <c r="F606" s="11"/>
      <c r="G606" s="11"/>
      <c r="H606" s="11"/>
      <c r="I606" s="11"/>
      <c r="J606" s="11"/>
      <c r="K606" s="11"/>
      <c r="L606" s="11"/>
    </row>
    <row r="607" spans="4:12" x14ac:dyDescent="0.2">
      <c r="D607" s="11"/>
      <c r="E607" s="11"/>
      <c r="F607" s="11"/>
      <c r="G607" s="11"/>
      <c r="H607" s="11"/>
      <c r="I607" s="11"/>
      <c r="J607" s="11"/>
      <c r="K607" s="11"/>
      <c r="L607" s="11"/>
    </row>
    <row r="608" spans="4:12" x14ac:dyDescent="0.2">
      <c r="D608" s="11"/>
      <c r="E608" s="11"/>
      <c r="F608" s="11"/>
      <c r="G608" s="11"/>
      <c r="H608" s="11"/>
      <c r="I608" s="11"/>
      <c r="J608" s="11"/>
      <c r="K608" s="11"/>
      <c r="L608" s="11"/>
    </row>
    <row r="609" spans="4:12" x14ac:dyDescent="0.2">
      <c r="D609" s="11"/>
      <c r="E609" s="11"/>
      <c r="F609" s="11"/>
      <c r="G609" s="11"/>
      <c r="H609" s="11"/>
      <c r="I609" s="11"/>
      <c r="J609" s="11"/>
      <c r="K609" s="11"/>
      <c r="L609" s="11"/>
    </row>
    <row r="610" spans="4:12" x14ac:dyDescent="0.2">
      <c r="D610" s="11"/>
      <c r="E610" s="11"/>
      <c r="F610" s="11"/>
      <c r="G610" s="11"/>
      <c r="H610" s="11"/>
      <c r="I610" s="11"/>
      <c r="J610" s="11"/>
      <c r="K610" s="11"/>
      <c r="L610" s="11"/>
    </row>
    <row r="611" spans="4:12" x14ac:dyDescent="0.2">
      <c r="D611" s="11"/>
      <c r="E611" s="11"/>
      <c r="F611" s="11"/>
      <c r="G611" s="11"/>
      <c r="H611" s="11"/>
      <c r="I611" s="11"/>
      <c r="J611" s="11"/>
      <c r="K611" s="11"/>
      <c r="L611" s="11"/>
    </row>
    <row r="612" spans="4:12" x14ac:dyDescent="0.2">
      <c r="D612" s="11"/>
      <c r="E612" s="11"/>
      <c r="F612" s="11"/>
      <c r="G612" s="11"/>
      <c r="H612" s="11"/>
      <c r="I612" s="11"/>
      <c r="J612" s="11"/>
      <c r="K612" s="11"/>
      <c r="L612" s="11"/>
    </row>
    <row r="613" spans="4:12" x14ac:dyDescent="0.2">
      <c r="D613" s="11"/>
      <c r="E613" s="11"/>
      <c r="F613" s="11"/>
      <c r="G613" s="11"/>
      <c r="H613" s="11"/>
      <c r="I613" s="11"/>
      <c r="J613" s="11"/>
      <c r="K613" s="11"/>
      <c r="L613" s="11"/>
    </row>
    <row r="614" spans="4:12" x14ac:dyDescent="0.2">
      <c r="D614" s="11"/>
      <c r="E614" s="11"/>
      <c r="F614" s="11"/>
      <c r="G614" s="11"/>
      <c r="H614" s="11"/>
      <c r="I614" s="11"/>
      <c r="J614" s="11"/>
      <c r="K614" s="11"/>
      <c r="L614" s="11"/>
    </row>
    <row r="615" spans="4:12" x14ac:dyDescent="0.2">
      <c r="D615" s="11"/>
      <c r="E615" s="11"/>
      <c r="F615" s="11"/>
      <c r="G615" s="11"/>
      <c r="H615" s="11"/>
      <c r="I615" s="11"/>
      <c r="J615" s="11"/>
      <c r="K615" s="11"/>
      <c r="L615" s="11"/>
    </row>
    <row r="616" spans="4:12" x14ac:dyDescent="0.2">
      <c r="D616" s="11"/>
      <c r="E616" s="11"/>
      <c r="F616" s="11"/>
      <c r="G616" s="11"/>
      <c r="H616" s="11"/>
      <c r="I616" s="11"/>
      <c r="J616" s="11"/>
      <c r="K616" s="11"/>
      <c r="L616" s="11"/>
    </row>
    <row r="617" spans="4:12" x14ac:dyDescent="0.2">
      <c r="D617" s="11"/>
      <c r="E617" s="11"/>
      <c r="F617" s="11"/>
      <c r="G617" s="11"/>
      <c r="H617" s="11"/>
      <c r="I617" s="11"/>
      <c r="J617" s="11"/>
      <c r="K617" s="11"/>
      <c r="L617" s="11"/>
    </row>
    <row r="618" spans="4:12" x14ac:dyDescent="0.2">
      <c r="D618" s="11"/>
      <c r="E618" s="11"/>
      <c r="F618" s="11"/>
      <c r="G618" s="11"/>
      <c r="H618" s="11"/>
      <c r="I618" s="11"/>
      <c r="J618" s="11"/>
      <c r="K618" s="11"/>
      <c r="L618" s="11"/>
    </row>
    <row r="619" spans="4:12" x14ac:dyDescent="0.2">
      <c r="D619" s="11"/>
      <c r="E619" s="11"/>
      <c r="F619" s="11"/>
      <c r="G619" s="11"/>
      <c r="H619" s="11"/>
      <c r="I619" s="11"/>
      <c r="J619" s="11"/>
      <c r="K619" s="11"/>
      <c r="L619" s="11"/>
    </row>
    <row r="620" spans="4:12" x14ac:dyDescent="0.2">
      <c r="D620" s="11"/>
      <c r="E620" s="11"/>
      <c r="F620" s="11"/>
      <c r="G620" s="11"/>
      <c r="H620" s="11"/>
      <c r="I620" s="11"/>
      <c r="J620" s="11"/>
      <c r="K620" s="11"/>
      <c r="L620" s="11"/>
    </row>
    <row r="621" spans="4:12" x14ac:dyDescent="0.2">
      <c r="D621" s="11"/>
      <c r="E621" s="11"/>
      <c r="F621" s="11"/>
      <c r="G621" s="11"/>
      <c r="H621" s="11"/>
      <c r="I621" s="11"/>
      <c r="J621" s="11"/>
      <c r="K621" s="11"/>
      <c r="L621" s="11"/>
    </row>
    <row r="622" spans="4:12" x14ac:dyDescent="0.2">
      <c r="D622" s="11"/>
      <c r="E622" s="11"/>
      <c r="F622" s="11"/>
      <c r="G622" s="11"/>
      <c r="H622" s="11"/>
      <c r="I622" s="11"/>
      <c r="J622" s="11"/>
      <c r="K622" s="11"/>
      <c r="L622" s="11"/>
    </row>
    <row r="623" spans="4:12" x14ac:dyDescent="0.2">
      <c r="D623" s="11"/>
      <c r="E623" s="11"/>
      <c r="F623" s="11"/>
      <c r="G623" s="11"/>
      <c r="H623" s="11"/>
      <c r="I623" s="11"/>
      <c r="J623" s="11"/>
      <c r="K623" s="11"/>
      <c r="L623" s="11"/>
    </row>
    <row r="624" spans="4:12" x14ac:dyDescent="0.2">
      <c r="D624" s="11"/>
      <c r="E624" s="11"/>
      <c r="F624" s="11"/>
      <c r="G624" s="11"/>
      <c r="H624" s="11"/>
      <c r="I624" s="11"/>
      <c r="J624" s="11"/>
      <c r="K624" s="11"/>
      <c r="L624" s="11"/>
    </row>
    <row r="625" spans="4:12" x14ac:dyDescent="0.2">
      <c r="D625" s="11"/>
      <c r="E625" s="11"/>
      <c r="F625" s="11"/>
      <c r="G625" s="11"/>
      <c r="H625" s="11"/>
      <c r="I625" s="11"/>
      <c r="J625" s="11"/>
      <c r="K625" s="11"/>
      <c r="L625" s="11"/>
    </row>
    <row r="626" spans="4:12" x14ac:dyDescent="0.2">
      <c r="D626" s="11"/>
      <c r="E626" s="11"/>
      <c r="F626" s="11"/>
      <c r="G626" s="11"/>
      <c r="H626" s="11"/>
      <c r="I626" s="11"/>
      <c r="J626" s="11"/>
      <c r="K626" s="11"/>
      <c r="L626" s="11"/>
    </row>
    <row r="627" spans="4:12" x14ac:dyDescent="0.2">
      <c r="D627" s="11"/>
      <c r="E627" s="11"/>
      <c r="F627" s="11"/>
      <c r="G627" s="11"/>
      <c r="H627" s="11"/>
      <c r="I627" s="11"/>
      <c r="J627" s="11"/>
      <c r="K627" s="11"/>
      <c r="L627" s="11"/>
    </row>
    <row r="628" spans="4:12" x14ac:dyDescent="0.2">
      <c r="D628" s="11"/>
      <c r="E628" s="11"/>
      <c r="F628" s="11"/>
      <c r="G628" s="11"/>
      <c r="H628" s="11"/>
      <c r="I628" s="11"/>
      <c r="J628" s="11"/>
      <c r="K628" s="11"/>
      <c r="L628" s="11"/>
    </row>
    <row r="629" spans="4:12" x14ac:dyDescent="0.2">
      <c r="D629" s="11"/>
      <c r="E629" s="11"/>
      <c r="F629" s="11"/>
      <c r="G629" s="11"/>
      <c r="H629" s="11"/>
      <c r="I629" s="11"/>
      <c r="J629" s="11"/>
      <c r="K629" s="11"/>
      <c r="L629" s="11"/>
    </row>
    <row r="630" spans="4:12" x14ac:dyDescent="0.2">
      <c r="D630" s="11"/>
      <c r="E630" s="11"/>
      <c r="F630" s="11"/>
      <c r="G630" s="11"/>
      <c r="H630" s="11"/>
      <c r="I630" s="11"/>
      <c r="J630" s="11"/>
      <c r="K630" s="11"/>
      <c r="L630" s="11"/>
    </row>
    <row r="631" spans="4:12" x14ac:dyDescent="0.2">
      <c r="D631" s="11"/>
      <c r="E631" s="11"/>
      <c r="F631" s="11"/>
      <c r="G631" s="11"/>
      <c r="H631" s="11"/>
      <c r="I631" s="11"/>
      <c r="J631" s="11"/>
      <c r="K631" s="11"/>
      <c r="L631" s="11"/>
    </row>
    <row r="632" spans="4:12" x14ac:dyDescent="0.2">
      <c r="D632" s="11"/>
      <c r="E632" s="11"/>
      <c r="F632" s="11"/>
      <c r="G632" s="11"/>
      <c r="H632" s="11"/>
      <c r="I632" s="11"/>
      <c r="J632" s="11"/>
      <c r="K632" s="11"/>
      <c r="L632" s="11"/>
    </row>
    <row r="633" spans="4:12" x14ac:dyDescent="0.2">
      <c r="D633" s="11"/>
      <c r="E633" s="11"/>
      <c r="F633" s="11"/>
      <c r="G633" s="11"/>
      <c r="H633" s="11"/>
      <c r="I633" s="11"/>
      <c r="J633" s="11"/>
      <c r="K633" s="11"/>
      <c r="L633" s="11"/>
    </row>
    <row r="634" spans="4:12" x14ac:dyDescent="0.2">
      <c r="D634" s="11"/>
      <c r="E634" s="11"/>
      <c r="F634" s="11"/>
      <c r="G634" s="11"/>
      <c r="H634" s="11"/>
      <c r="I634" s="11"/>
      <c r="J634" s="11"/>
      <c r="K634" s="11"/>
      <c r="L634" s="11"/>
    </row>
    <row r="635" spans="4:12" x14ac:dyDescent="0.2">
      <c r="D635" s="11"/>
      <c r="E635" s="11"/>
      <c r="F635" s="11"/>
      <c r="G635" s="11"/>
      <c r="H635" s="11"/>
      <c r="I635" s="11"/>
      <c r="J635" s="11"/>
      <c r="K635" s="11"/>
      <c r="L635" s="11"/>
    </row>
    <row r="636" spans="4:12" x14ac:dyDescent="0.2">
      <c r="D636" s="11"/>
      <c r="E636" s="11"/>
      <c r="F636" s="11"/>
      <c r="G636" s="11"/>
      <c r="H636" s="11"/>
      <c r="I636" s="11"/>
      <c r="J636" s="11"/>
      <c r="K636" s="11"/>
      <c r="L636" s="11"/>
    </row>
    <row r="637" spans="4:12" x14ac:dyDescent="0.2">
      <c r="D637" s="11"/>
      <c r="E637" s="11"/>
      <c r="F637" s="11"/>
      <c r="G637" s="11"/>
      <c r="H637" s="11"/>
      <c r="I637" s="11"/>
      <c r="J637" s="11"/>
      <c r="K637" s="11"/>
      <c r="L637" s="11"/>
    </row>
    <row r="638" spans="4:12" x14ac:dyDescent="0.2">
      <c r="D638" s="11"/>
      <c r="E638" s="11"/>
      <c r="F638" s="11"/>
      <c r="G638" s="11"/>
      <c r="H638" s="11"/>
      <c r="I638" s="11"/>
      <c r="J638" s="11"/>
      <c r="K638" s="11"/>
      <c r="L638" s="11"/>
    </row>
    <row r="639" spans="4:12" x14ac:dyDescent="0.2">
      <c r="D639" s="11"/>
      <c r="E639" s="11"/>
      <c r="F639" s="11"/>
      <c r="G639" s="11"/>
      <c r="H639" s="11"/>
      <c r="I639" s="11"/>
      <c r="J639" s="11"/>
      <c r="K639" s="11"/>
      <c r="L639" s="11"/>
    </row>
    <row r="640" spans="4:12" x14ac:dyDescent="0.2">
      <c r="D640" s="11"/>
      <c r="E640" s="11"/>
      <c r="F640" s="11"/>
      <c r="G640" s="11"/>
      <c r="H640" s="11"/>
      <c r="I640" s="11"/>
      <c r="J640" s="11"/>
      <c r="K640" s="11"/>
      <c r="L640" s="11"/>
    </row>
    <row r="641" spans="4:12" x14ac:dyDescent="0.2">
      <c r="D641" s="11"/>
      <c r="E641" s="11"/>
      <c r="F641" s="11"/>
      <c r="G641" s="11"/>
      <c r="H641" s="11"/>
      <c r="I641" s="11"/>
      <c r="J641" s="11"/>
      <c r="K641" s="11"/>
      <c r="L641" s="11"/>
    </row>
    <row r="642" spans="4:12" x14ac:dyDescent="0.2">
      <c r="D642" s="11"/>
      <c r="E642" s="11"/>
      <c r="F642" s="11"/>
      <c r="G642" s="11"/>
      <c r="H642" s="11"/>
      <c r="I642" s="11"/>
      <c r="J642" s="11"/>
      <c r="K642" s="11"/>
      <c r="L642" s="11"/>
    </row>
    <row r="643" spans="4:12" x14ac:dyDescent="0.2">
      <c r="D643" s="11"/>
      <c r="E643" s="11"/>
      <c r="F643" s="11"/>
      <c r="G643" s="11"/>
      <c r="H643" s="11"/>
      <c r="I643" s="11"/>
      <c r="J643" s="11"/>
      <c r="K643" s="11"/>
      <c r="L643" s="11"/>
    </row>
    <row r="644" spans="4:12" x14ac:dyDescent="0.2">
      <c r="D644" s="11"/>
      <c r="E644" s="11"/>
      <c r="F644" s="11"/>
      <c r="G644" s="11"/>
      <c r="H644" s="11"/>
      <c r="I644" s="11"/>
      <c r="J644" s="11"/>
      <c r="K644" s="11"/>
      <c r="L644" s="11"/>
    </row>
    <row r="645" spans="4:12" x14ac:dyDescent="0.2">
      <c r="D645" s="11"/>
      <c r="E645" s="11"/>
      <c r="F645" s="11"/>
      <c r="G645" s="11"/>
      <c r="H645" s="11"/>
      <c r="I645" s="11"/>
      <c r="J645" s="11"/>
      <c r="K645" s="11"/>
      <c r="L645" s="11"/>
    </row>
    <row r="646" spans="4:12" x14ac:dyDescent="0.2">
      <c r="D646" s="11"/>
      <c r="E646" s="11"/>
      <c r="F646" s="11"/>
      <c r="G646" s="11"/>
      <c r="H646" s="11"/>
      <c r="I646" s="11"/>
      <c r="J646" s="11"/>
      <c r="K646" s="11"/>
      <c r="L646" s="11"/>
    </row>
    <row r="647" spans="4:12" x14ac:dyDescent="0.2">
      <c r="D647" s="11"/>
      <c r="E647" s="11"/>
      <c r="F647" s="11"/>
      <c r="G647" s="11"/>
      <c r="H647" s="11"/>
      <c r="I647" s="11"/>
      <c r="J647" s="11"/>
      <c r="K647" s="11"/>
      <c r="L647" s="11"/>
    </row>
    <row r="648" spans="4:12" x14ac:dyDescent="0.2">
      <c r="D648" s="11"/>
      <c r="E648" s="11"/>
      <c r="F648" s="11"/>
      <c r="G648" s="11"/>
      <c r="H648" s="11"/>
      <c r="I648" s="11"/>
      <c r="J648" s="11"/>
      <c r="K648" s="11"/>
      <c r="L648" s="11"/>
    </row>
    <row r="649" spans="4:12" x14ac:dyDescent="0.2">
      <c r="D649" s="11"/>
      <c r="E649" s="11"/>
      <c r="F649" s="11"/>
      <c r="G649" s="11"/>
      <c r="H649" s="11"/>
      <c r="I649" s="11"/>
      <c r="J649" s="11"/>
      <c r="K649" s="11"/>
      <c r="L649" s="11"/>
    </row>
    <row r="650" spans="4:12" x14ac:dyDescent="0.2">
      <c r="D650" s="11"/>
      <c r="E650" s="11"/>
      <c r="F650" s="11"/>
      <c r="G650" s="11"/>
      <c r="H650" s="11"/>
      <c r="I650" s="11"/>
      <c r="J650" s="11"/>
      <c r="K650" s="11"/>
      <c r="L650" s="11"/>
    </row>
    <row r="651" spans="4:12" x14ac:dyDescent="0.2">
      <c r="D651" s="11"/>
      <c r="E651" s="11"/>
      <c r="F651" s="11"/>
      <c r="G651" s="11"/>
      <c r="H651" s="11"/>
      <c r="I651" s="11"/>
      <c r="J651" s="11"/>
      <c r="K651" s="11"/>
      <c r="L651" s="11"/>
    </row>
    <row r="652" spans="4:12" x14ac:dyDescent="0.2">
      <c r="D652" s="11"/>
      <c r="E652" s="11"/>
      <c r="F652" s="11"/>
      <c r="G652" s="11"/>
      <c r="H652" s="11"/>
      <c r="I652" s="11"/>
      <c r="J652" s="11"/>
      <c r="K652" s="11"/>
      <c r="L652" s="11"/>
    </row>
    <row r="653" spans="4:12" x14ac:dyDescent="0.2">
      <c r="D653" s="11"/>
      <c r="E653" s="11"/>
      <c r="F653" s="11"/>
      <c r="G653" s="11"/>
      <c r="H653" s="11"/>
      <c r="I653" s="11"/>
      <c r="J653" s="11"/>
      <c r="K653" s="11"/>
      <c r="L653" s="11"/>
    </row>
    <row r="654" spans="4:12" x14ac:dyDescent="0.2">
      <c r="D654" s="11"/>
      <c r="E654" s="11"/>
      <c r="F654" s="11"/>
      <c r="G654" s="11"/>
      <c r="H654" s="11"/>
      <c r="I654" s="11"/>
      <c r="J654" s="11"/>
      <c r="K654" s="11"/>
      <c r="L654" s="11"/>
    </row>
    <row r="655" spans="4:12" x14ac:dyDescent="0.2">
      <c r="D655" s="11"/>
      <c r="E655" s="11"/>
      <c r="F655" s="11"/>
      <c r="G655" s="11"/>
      <c r="H655" s="11"/>
      <c r="I655" s="11"/>
      <c r="J655" s="11"/>
      <c r="K655" s="11"/>
      <c r="L655" s="11"/>
    </row>
    <row r="656" spans="4:12" x14ac:dyDescent="0.2">
      <c r="D656" s="11"/>
      <c r="E656" s="11"/>
      <c r="F656" s="11"/>
      <c r="G656" s="11"/>
      <c r="H656" s="11"/>
      <c r="I656" s="11"/>
      <c r="J656" s="11"/>
      <c r="K656" s="11"/>
      <c r="L656" s="11"/>
    </row>
    <row r="657" spans="4:12" x14ac:dyDescent="0.2">
      <c r="D657" s="11"/>
      <c r="E657" s="11"/>
      <c r="F657" s="11"/>
      <c r="G657" s="11"/>
      <c r="H657" s="11"/>
      <c r="I657" s="11"/>
      <c r="J657" s="11"/>
      <c r="K657" s="11"/>
      <c r="L657" s="11"/>
    </row>
    <row r="658" spans="4:12" x14ac:dyDescent="0.2">
      <c r="D658" s="11"/>
      <c r="E658" s="11"/>
      <c r="F658" s="11"/>
      <c r="G658" s="11"/>
      <c r="H658" s="11"/>
      <c r="I658" s="11"/>
      <c r="J658" s="11"/>
      <c r="K658" s="11"/>
      <c r="L658" s="11"/>
    </row>
    <row r="659" spans="4:12" x14ac:dyDescent="0.2">
      <c r="D659" s="11"/>
      <c r="E659" s="11"/>
      <c r="F659" s="11"/>
      <c r="G659" s="11"/>
      <c r="H659" s="11"/>
      <c r="I659" s="11"/>
      <c r="J659" s="11"/>
      <c r="K659" s="11"/>
      <c r="L659" s="11"/>
    </row>
    <row r="660" spans="4:12" x14ac:dyDescent="0.2">
      <c r="D660" s="11"/>
      <c r="E660" s="11"/>
      <c r="F660" s="11"/>
      <c r="G660" s="11"/>
      <c r="H660" s="11"/>
      <c r="I660" s="11"/>
      <c r="J660" s="11"/>
      <c r="K660" s="11"/>
      <c r="L660" s="11"/>
    </row>
    <row r="661" spans="4:12" x14ac:dyDescent="0.2">
      <c r="D661" s="11"/>
      <c r="E661" s="11"/>
      <c r="F661" s="11"/>
      <c r="G661" s="11"/>
      <c r="H661" s="11"/>
      <c r="I661" s="11"/>
      <c r="J661" s="11"/>
      <c r="K661" s="11"/>
      <c r="L661" s="11"/>
    </row>
    <row r="662" spans="4:12" x14ac:dyDescent="0.2">
      <c r="D662" s="11"/>
      <c r="E662" s="11"/>
      <c r="F662" s="11"/>
      <c r="G662" s="11"/>
      <c r="H662" s="11"/>
      <c r="I662" s="11"/>
      <c r="J662" s="11"/>
      <c r="K662" s="11"/>
      <c r="L662" s="11"/>
    </row>
    <row r="663" spans="4:12" x14ac:dyDescent="0.2">
      <c r="D663" s="11"/>
      <c r="E663" s="11"/>
      <c r="F663" s="11"/>
      <c r="G663" s="11"/>
      <c r="H663" s="11"/>
      <c r="I663" s="11"/>
      <c r="J663" s="11"/>
      <c r="K663" s="11"/>
      <c r="L663" s="11"/>
    </row>
    <row r="664" spans="4:12" x14ac:dyDescent="0.2">
      <c r="D664" s="11"/>
      <c r="E664" s="11"/>
      <c r="F664" s="11"/>
      <c r="G664" s="11"/>
      <c r="H664" s="11"/>
      <c r="I664" s="11"/>
      <c r="J664" s="11"/>
      <c r="K664" s="11"/>
      <c r="L664" s="11"/>
    </row>
    <row r="665" spans="4:12" x14ac:dyDescent="0.2">
      <c r="D665" s="11"/>
      <c r="E665" s="11"/>
      <c r="F665" s="11"/>
      <c r="G665" s="11"/>
      <c r="H665" s="11"/>
      <c r="I665" s="11"/>
      <c r="J665" s="11"/>
      <c r="K665" s="11"/>
      <c r="L665" s="11"/>
    </row>
    <row r="666" spans="4:12" x14ac:dyDescent="0.2">
      <c r="D666" s="11"/>
      <c r="E666" s="11"/>
      <c r="F666" s="11"/>
      <c r="G666" s="11"/>
      <c r="H666" s="11"/>
      <c r="I666" s="11"/>
      <c r="J666" s="11"/>
      <c r="K666" s="11"/>
      <c r="L666" s="11"/>
    </row>
    <row r="667" spans="4:12" x14ac:dyDescent="0.2">
      <c r="D667" s="11"/>
      <c r="E667" s="11"/>
      <c r="F667" s="11"/>
      <c r="G667" s="11"/>
      <c r="H667" s="11"/>
      <c r="I667" s="11"/>
      <c r="J667" s="11"/>
      <c r="K667" s="11"/>
      <c r="L667" s="11"/>
    </row>
    <row r="668" spans="4:12" x14ac:dyDescent="0.2">
      <c r="D668" s="11"/>
      <c r="E668" s="11"/>
      <c r="F668" s="11"/>
      <c r="G668" s="11"/>
      <c r="H668" s="11"/>
      <c r="I668" s="11"/>
      <c r="J668" s="11"/>
      <c r="K668" s="11"/>
      <c r="L668" s="11"/>
    </row>
    <row r="669" spans="4:12" x14ac:dyDescent="0.2">
      <c r="D669" s="11"/>
      <c r="E669" s="11"/>
      <c r="F669" s="11"/>
      <c r="G669" s="11"/>
      <c r="H669" s="11"/>
      <c r="I669" s="11"/>
      <c r="J669" s="11"/>
      <c r="K669" s="11"/>
      <c r="L669" s="11"/>
    </row>
    <row r="670" spans="4:12" x14ac:dyDescent="0.2">
      <c r="D670" s="11"/>
      <c r="E670" s="11"/>
      <c r="F670" s="11"/>
      <c r="G670" s="11"/>
      <c r="H670" s="11"/>
      <c r="I670" s="11"/>
      <c r="J670" s="11"/>
      <c r="K670" s="11"/>
      <c r="L670" s="11"/>
    </row>
    <row r="671" spans="4:12" x14ac:dyDescent="0.2">
      <c r="D671" s="11"/>
      <c r="E671" s="11"/>
      <c r="F671" s="11"/>
      <c r="G671" s="11"/>
      <c r="H671" s="11"/>
      <c r="I671" s="11"/>
      <c r="J671" s="11"/>
      <c r="K671" s="11"/>
      <c r="L671" s="11"/>
    </row>
    <row r="672" spans="4:12" x14ac:dyDescent="0.2">
      <c r="D672" s="11"/>
      <c r="E672" s="11"/>
      <c r="F672" s="11"/>
      <c r="G672" s="11"/>
      <c r="H672" s="11"/>
      <c r="I672" s="11"/>
      <c r="J672" s="11"/>
      <c r="K672" s="11"/>
      <c r="L672" s="11"/>
    </row>
    <row r="673" spans="4:12" x14ac:dyDescent="0.2">
      <c r="D673" s="11"/>
      <c r="E673" s="11"/>
      <c r="F673" s="11"/>
      <c r="G673" s="11"/>
      <c r="H673" s="11"/>
      <c r="I673" s="11"/>
      <c r="J673" s="11"/>
      <c r="K673" s="11"/>
      <c r="L673" s="11"/>
    </row>
    <row r="674" spans="4:12" x14ac:dyDescent="0.2">
      <c r="D674" s="11"/>
      <c r="E674" s="11"/>
      <c r="F674" s="11"/>
      <c r="G674" s="11"/>
      <c r="H674" s="11"/>
      <c r="I674" s="11"/>
      <c r="J674" s="11"/>
      <c r="K674" s="11"/>
      <c r="L674" s="11"/>
    </row>
    <row r="675" spans="4:12" x14ac:dyDescent="0.2">
      <c r="D675" s="11"/>
      <c r="E675" s="11"/>
      <c r="F675" s="11"/>
      <c r="G675" s="11"/>
      <c r="H675" s="11"/>
      <c r="I675" s="11"/>
      <c r="J675" s="11"/>
      <c r="K675" s="11"/>
      <c r="L675" s="11"/>
    </row>
    <row r="676" spans="4:12" x14ac:dyDescent="0.2">
      <c r="D676" s="11"/>
      <c r="E676" s="11"/>
      <c r="F676" s="11"/>
      <c r="G676" s="11"/>
      <c r="H676" s="11"/>
      <c r="I676" s="11"/>
      <c r="J676" s="11"/>
      <c r="K676" s="11"/>
      <c r="L676" s="11"/>
    </row>
    <row r="677" spans="4:12" x14ac:dyDescent="0.2">
      <c r="D677" s="11"/>
      <c r="E677" s="11"/>
      <c r="F677" s="11"/>
      <c r="G677" s="11"/>
      <c r="H677" s="11"/>
      <c r="I677" s="11"/>
      <c r="J677" s="11"/>
      <c r="K677" s="11"/>
      <c r="L677" s="11"/>
    </row>
    <row r="678" spans="4:12" x14ac:dyDescent="0.2">
      <c r="D678" s="11"/>
      <c r="E678" s="11"/>
      <c r="F678" s="11"/>
      <c r="G678" s="11"/>
      <c r="H678" s="11"/>
      <c r="I678" s="11"/>
      <c r="J678" s="11"/>
      <c r="K678" s="11"/>
      <c r="L678" s="11"/>
    </row>
    <row r="679" spans="4:12" x14ac:dyDescent="0.2">
      <c r="D679" s="11"/>
      <c r="E679" s="11"/>
      <c r="F679" s="11"/>
      <c r="G679" s="11"/>
      <c r="H679" s="11"/>
      <c r="I679" s="11"/>
      <c r="J679" s="11"/>
      <c r="K679" s="11"/>
      <c r="L679" s="11"/>
    </row>
    <row r="680" spans="4:12" x14ac:dyDescent="0.2">
      <c r="D680" s="11"/>
      <c r="E680" s="11"/>
      <c r="F680" s="11"/>
      <c r="G680" s="11"/>
      <c r="H680" s="11"/>
      <c r="I680" s="11"/>
      <c r="J680" s="11"/>
      <c r="K680" s="11"/>
      <c r="L680" s="11"/>
    </row>
    <row r="681" spans="4:12" x14ac:dyDescent="0.2">
      <c r="D681" s="11"/>
      <c r="E681" s="11"/>
      <c r="F681" s="11"/>
      <c r="G681" s="11"/>
      <c r="H681" s="11"/>
      <c r="I681" s="11"/>
      <c r="J681" s="11"/>
      <c r="K681" s="11"/>
      <c r="L681" s="11"/>
    </row>
    <row r="682" spans="4:12" x14ac:dyDescent="0.2">
      <c r="D682" s="11"/>
      <c r="E682" s="11"/>
      <c r="F682" s="11"/>
      <c r="G682" s="11"/>
      <c r="H682" s="11"/>
      <c r="I682" s="11"/>
      <c r="J682" s="11"/>
      <c r="K682" s="11"/>
      <c r="L682" s="11"/>
    </row>
    <row r="683" spans="4:12" x14ac:dyDescent="0.2">
      <c r="D683" s="11"/>
      <c r="E683" s="11"/>
      <c r="F683" s="11"/>
      <c r="G683" s="11"/>
      <c r="H683" s="11"/>
      <c r="I683" s="11"/>
      <c r="J683" s="11"/>
      <c r="K683" s="11"/>
      <c r="L683" s="11"/>
    </row>
    <row r="684" spans="4:12" x14ac:dyDescent="0.2">
      <c r="D684" s="11"/>
      <c r="E684" s="11"/>
      <c r="F684" s="11"/>
      <c r="G684" s="11"/>
      <c r="H684" s="11"/>
      <c r="I684" s="11"/>
      <c r="J684" s="11"/>
      <c r="K684" s="11"/>
      <c r="L684" s="11"/>
    </row>
    <row r="685" spans="4:12" x14ac:dyDescent="0.2">
      <c r="D685" s="11"/>
      <c r="E685" s="11"/>
      <c r="F685" s="11"/>
      <c r="G685" s="11"/>
      <c r="H685" s="11"/>
      <c r="I685" s="11"/>
      <c r="J685" s="11"/>
      <c r="K685" s="11"/>
      <c r="L685" s="11"/>
    </row>
    <row r="686" spans="4:12" x14ac:dyDescent="0.2">
      <c r="D686" s="11"/>
      <c r="E686" s="11"/>
      <c r="F686" s="11"/>
      <c r="G686" s="11"/>
      <c r="H686" s="11"/>
      <c r="I686" s="11"/>
      <c r="J686" s="11"/>
      <c r="K686" s="11"/>
      <c r="L686" s="11"/>
    </row>
    <row r="687" spans="4:12" x14ac:dyDescent="0.2">
      <c r="D687" s="11"/>
      <c r="E687" s="11"/>
      <c r="F687" s="11"/>
      <c r="G687" s="11"/>
      <c r="H687" s="11"/>
      <c r="I687" s="11"/>
      <c r="J687" s="11"/>
      <c r="K687" s="11"/>
      <c r="L687" s="11"/>
    </row>
    <row r="688" spans="4:12" x14ac:dyDescent="0.2">
      <c r="D688" s="11"/>
      <c r="E688" s="11"/>
      <c r="F688" s="11"/>
      <c r="G688" s="11"/>
      <c r="H688" s="11"/>
      <c r="I688" s="11"/>
      <c r="J688" s="11"/>
      <c r="K688" s="11"/>
      <c r="L688" s="11"/>
    </row>
    <row r="689" spans="4:12" x14ac:dyDescent="0.2">
      <c r="D689" s="11"/>
      <c r="E689" s="11"/>
      <c r="F689" s="11"/>
      <c r="G689" s="11"/>
      <c r="H689" s="11"/>
      <c r="I689" s="11"/>
      <c r="J689" s="11"/>
      <c r="K689" s="11"/>
      <c r="L689" s="11"/>
    </row>
    <row r="690" spans="4:12" x14ac:dyDescent="0.2">
      <c r="D690" s="11"/>
      <c r="E690" s="11"/>
      <c r="F690" s="11"/>
      <c r="G690" s="11"/>
      <c r="H690" s="11"/>
      <c r="I690" s="11"/>
      <c r="J690" s="11"/>
      <c r="K690" s="11"/>
      <c r="L690" s="11"/>
    </row>
    <row r="691" spans="4:12" x14ac:dyDescent="0.2">
      <c r="D691" s="11"/>
      <c r="E691" s="11"/>
      <c r="F691" s="11"/>
      <c r="G691" s="11"/>
      <c r="H691" s="11"/>
      <c r="I691" s="11"/>
      <c r="J691" s="11"/>
      <c r="K691" s="11"/>
      <c r="L691" s="11"/>
    </row>
    <row r="692" spans="4:12" x14ac:dyDescent="0.2">
      <c r="D692" s="11"/>
      <c r="E692" s="11"/>
      <c r="F692" s="11"/>
      <c r="G692" s="11"/>
      <c r="H692" s="11"/>
      <c r="I692" s="11"/>
      <c r="J692" s="11"/>
      <c r="K692" s="11"/>
      <c r="L692" s="11"/>
    </row>
    <row r="693" spans="4:12" x14ac:dyDescent="0.2">
      <c r="D693" s="11"/>
      <c r="E693" s="11"/>
      <c r="F693" s="11"/>
      <c r="G693" s="11"/>
      <c r="H693" s="11"/>
      <c r="I693" s="11"/>
      <c r="J693" s="11"/>
      <c r="K693" s="11"/>
      <c r="L693" s="11"/>
    </row>
    <row r="694" spans="4:12" x14ac:dyDescent="0.2">
      <c r="D694" s="11"/>
      <c r="E694" s="11"/>
      <c r="F694" s="11"/>
      <c r="G694" s="11"/>
      <c r="H694" s="11"/>
      <c r="I694" s="11"/>
      <c r="J694" s="11"/>
      <c r="K694" s="11"/>
      <c r="L694" s="11"/>
    </row>
    <row r="695" spans="4:12" x14ac:dyDescent="0.2">
      <c r="D695" s="11"/>
      <c r="E695" s="11"/>
      <c r="F695" s="11"/>
      <c r="G695" s="11"/>
      <c r="H695" s="11"/>
      <c r="I695" s="11"/>
      <c r="J695" s="11"/>
      <c r="K695" s="11"/>
      <c r="L695" s="11"/>
    </row>
    <row r="696" spans="4:12" x14ac:dyDescent="0.2">
      <c r="D696" s="11"/>
      <c r="E696" s="11"/>
      <c r="F696" s="11"/>
      <c r="G696" s="11"/>
      <c r="H696" s="11"/>
      <c r="I696" s="11"/>
      <c r="J696" s="11"/>
      <c r="K696" s="11"/>
      <c r="L696" s="11"/>
    </row>
    <row r="697" spans="4:12" x14ac:dyDescent="0.2">
      <c r="D697" s="11"/>
      <c r="E697" s="11"/>
      <c r="F697" s="11"/>
      <c r="G697" s="11"/>
      <c r="H697" s="11"/>
      <c r="I697" s="11"/>
      <c r="J697" s="11"/>
      <c r="K697" s="11"/>
      <c r="L697" s="11"/>
    </row>
    <row r="698" spans="4:12" x14ac:dyDescent="0.2">
      <c r="D698" s="11"/>
      <c r="E698" s="11"/>
      <c r="F698" s="11"/>
      <c r="G698" s="11"/>
      <c r="H698" s="11"/>
      <c r="I698" s="11"/>
      <c r="J698" s="11"/>
      <c r="K698" s="11"/>
      <c r="L698" s="11"/>
    </row>
    <row r="699" spans="4:12" x14ac:dyDescent="0.2">
      <c r="D699" s="11"/>
      <c r="E699" s="11"/>
      <c r="F699" s="11"/>
      <c r="G699" s="11"/>
      <c r="H699" s="11"/>
      <c r="I699" s="11"/>
      <c r="J699" s="11"/>
      <c r="K699" s="11"/>
      <c r="L699" s="11"/>
    </row>
    <row r="700" spans="4:12" x14ac:dyDescent="0.2">
      <c r="D700" s="11"/>
      <c r="E700" s="11"/>
      <c r="F700" s="11"/>
      <c r="G700" s="11"/>
      <c r="H700" s="11"/>
      <c r="I700" s="11"/>
      <c r="J700" s="11"/>
      <c r="K700" s="11"/>
      <c r="L700" s="11"/>
    </row>
    <row r="701" spans="4:12" x14ac:dyDescent="0.2">
      <c r="D701" s="11"/>
      <c r="E701" s="11"/>
      <c r="F701" s="11"/>
      <c r="G701" s="11"/>
      <c r="H701" s="11"/>
      <c r="I701" s="11"/>
      <c r="J701" s="11"/>
      <c r="K701" s="11"/>
      <c r="L701" s="11"/>
    </row>
    <row r="702" spans="4:12" x14ac:dyDescent="0.2">
      <c r="D702" s="11"/>
      <c r="E702" s="11"/>
      <c r="F702" s="11"/>
      <c r="G702" s="11"/>
      <c r="H702" s="11"/>
      <c r="I702" s="11"/>
      <c r="J702" s="11"/>
      <c r="K702" s="11"/>
      <c r="L702" s="11"/>
    </row>
    <row r="703" spans="4:12" x14ac:dyDescent="0.2">
      <c r="D703" s="11"/>
      <c r="E703" s="11"/>
      <c r="F703" s="11"/>
      <c r="G703" s="11"/>
      <c r="H703" s="11"/>
      <c r="I703" s="11"/>
      <c r="J703" s="11"/>
      <c r="K703" s="11"/>
      <c r="L703" s="11"/>
    </row>
    <row r="704" spans="4:12" x14ac:dyDescent="0.2">
      <c r="D704" s="11"/>
      <c r="E704" s="11"/>
      <c r="F704" s="11"/>
      <c r="G704" s="11"/>
      <c r="H704" s="11"/>
      <c r="I704" s="11"/>
      <c r="J704" s="11"/>
      <c r="K704" s="11"/>
      <c r="L704" s="11"/>
    </row>
    <row r="705" spans="4:12" x14ac:dyDescent="0.2">
      <c r="D705" s="11"/>
      <c r="E705" s="11"/>
      <c r="F705" s="11"/>
      <c r="G705" s="11"/>
      <c r="H705" s="11"/>
      <c r="I705" s="11"/>
      <c r="J705" s="11"/>
      <c r="K705" s="11"/>
      <c r="L705" s="11"/>
    </row>
    <row r="706" spans="4:12" x14ac:dyDescent="0.2">
      <c r="D706" s="11"/>
      <c r="E706" s="11"/>
      <c r="F706" s="11"/>
      <c r="G706" s="11"/>
      <c r="H706" s="11"/>
      <c r="I706" s="11"/>
      <c r="J706" s="11"/>
      <c r="K706" s="11"/>
      <c r="L706" s="11"/>
    </row>
    <row r="707" spans="4:12" x14ac:dyDescent="0.2">
      <c r="D707" s="11"/>
      <c r="E707" s="11"/>
      <c r="F707" s="11"/>
      <c r="G707" s="11"/>
      <c r="H707" s="11"/>
      <c r="I707" s="11"/>
      <c r="J707" s="11"/>
      <c r="K707" s="11"/>
      <c r="L707" s="11"/>
    </row>
    <row r="708" spans="4:12" x14ac:dyDescent="0.2">
      <c r="D708" s="11"/>
      <c r="E708" s="11"/>
      <c r="F708" s="11"/>
      <c r="G708" s="11"/>
      <c r="H708" s="11"/>
      <c r="I708" s="11"/>
      <c r="J708" s="11"/>
      <c r="K708" s="11"/>
      <c r="L708" s="11"/>
    </row>
    <row r="709" spans="4:12" x14ac:dyDescent="0.2">
      <c r="D709" s="11"/>
      <c r="E709" s="11"/>
      <c r="F709" s="11"/>
      <c r="G709" s="11"/>
      <c r="H709" s="11"/>
      <c r="I709" s="11"/>
      <c r="J709" s="11"/>
      <c r="K709" s="11"/>
      <c r="L709" s="11"/>
    </row>
    <row r="710" spans="4:12" x14ac:dyDescent="0.2">
      <c r="D710" s="11"/>
      <c r="E710" s="11"/>
      <c r="F710" s="11"/>
      <c r="G710" s="11"/>
      <c r="H710" s="11"/>
      <c r="I710" s="11"/>
      <c r="J710" s="11"/>
      <c r="K710" s="11"/>
      <c r="L710" s="11"/>
    </row>
    <row r="711" spans="4:12" x14ac:dyDescent="0.2">
      <c r="D711" s="11"/>
      <c r="E711" s="11"/>
      <c r="F711" s="11"/>
      <c r="G711" s="11"/>
      <c r="H711" s="11"/>
      <c r="I711" s="11"/>
      <c r="J711" s="11"/>
      <c r="K711" s="11"/>
      <c r="L711" s="11"/>
    </row>
    <row r="712" spans="4:12" x14ac:dyDescent="0.2">
      <c r="D712" s="11"/>
      <c r="E712" s="11"/>
      <c r="F712" s="11"/>
      <c r="G712" s="11"/>
      <c r="H712" s="11"/>
      <c r="I712" s="11"/>
      <c r="J712" s="11"/>
      <c r="K712" s="11"/>
      <c r="L712" s="11"/>
    </row>
    <row r="713" spans="4:12" x14ac:dyDescent="0.2">
      <c r="D713" s="11"/>
      <c r="E713" s="11"/>
      <c r="F713" s="11"/>
      <c r="G713" s="11"/>
      <c r="H713" s="11"/>
      <c r="I713" s="11"/>
      <c r="J713" s="11"/>
      <c r="K713" s="11"/>
      <c r="L713" s="11"/>
    </row>
    <row r="714" spans="4:12" x14ac:dyDescent="0.2">
      <c r="D714" s="11"/>
      <c r="E714" s="11"/>
      <c r="F714" s="11"/>
      <c r="G714" s="11"/>
      <c r="H714" s="11"/>
      <c r="I714" s="11"/>
      <c r="J714" s="11"/>
      <c r="K714" s="11"/>
      <c r="L714" s="11"/>
    </row>
    <row r="715" spans="4:12" x14ac:dyDescent="0.2">
      <c r="D715" s="11"/>
      <c r="E715" s="11"/>
      <c r="F715" s="11"/>
      <c r="G715" s="11"/>
      <c r="H715" s="11"/>
      <c r="I715" s="11"/>
      <c r="J715" s="11"/>
      <c r="K715" s="11"/>
      <c r="L715" s="11"/>
    </row>
    <row r="716" spans="4:12" x14ac:dyDescent="0.2">
      <c r="D716" s="11"/>
      <c r="E716" s="11"/>
      <c r="F716" s="11"/>
      <c r="G716" s="11"/>
      <c r="H716" s="11"/>
      <c r="I716" s="11"/>
      <c r="J716" s="11"/>
      <c r="K716" s="11"/>
      <c r="L716" s="11"/>
    </row>
    <row r="717" spans="4:12" x14ac:dyDescent="0.2">
      <c r="D717" s="11"/>
      <c r="E717" s="11"/>
      <c r="F717" s="11"/>
      <c r="G717" s="11"/>
      <c r="H717" s="11"/>
      <c r="I717" s="11"/>
      <c r="J717" s="11"/>
      <c r="K717" s="11"/>
      <c r="L717" s="11"/>
    </row>
    <row r="718" spans="4:12" x14ac:dyDescent="0.2">
      <c r="D718" s="11"/>
      <c r="E718" s="11"/>
      <c r="F718" s="11"/>
      <c r="G718" s="11"/>
      <c r="H718" s="11"/>
      <c r="I718" s="11"/>
      <c r="J718" s="11"/>
      <c r="K718" s="11"/>
      <c r="L718" s="11"/>
    </row>
    <row r="719" spans="4:12" x14ac:dyDescent="0.2">
      <c r="D719" s="11"/>
      <c r="E719" s="11"/>
      <c r="F719" s="11"/>
      <c r="G719" s="11"/>
      <c r="H719" s="11"/>
      <c r="I719" s="11"/>
      <c r="J719" s="11"/>
      <c r="K719" s="11"/>
      <c r="L719" s="11"/>
    </row>
    <row r="720" spans="4:12" x14ac:dyDescent="0.2">
      <c r="D720" s="11"/>
      <c r="E720" s="11"/>
      <c r="F720" s="11"/>
      <c r="G720" s="11"/>
      <c r="H720" s="11"/>
      <c r="I720" s="11"/>
      <c r="J720" s="11"/>
      <c r="K720" s="11"/>
      <c r="L720" s="11"/>
    </row>
    <row r="721" spans="4:12" x14ac:dyDescent="0.2">
      <c r="D721" s="11"/>
      <c r="E721" s="11"/>
      <c r="F721" s="11"/>
      <c r="G721" s="11"/>
      <c r="H721" s="11"/>
      <c r="I721" s="11"/>
      <c r="J721" s="11"/>
      <c r="K721" s="11"/>
      <c r="L721" s="11"/>
    </row>
    <row r="722" spans="4:12" x14ac:dyDescent="0.2">
      <c r="D722" s="11"/>
      <c r="E722" s="11"/>
      <c r="F722" s="11"/>
      <c r="G722" s="11"/>
      <c r="H722" s="11"/>
      <c r="I722" s="11"/>
      <c r="J722" s="11"/>
      <c r="K722" s="11"/>
      <c r="L722" s="11"/>
    </row>
    <row r="723" spans="4:12" x14ac:dyDescent="0.2">
      <c r="D723" s="11"/>
      <c r="E723" s="11"/>
      <c r="F723" s="11"/>
      <c r="G723" s="11"/>
      <c r="H723" s="11"/>
      <c r="I723" s="11"/>
      <c r="J723" s="11"/>
      <c r="K723" s="11"/>
      <c r="L723" s="11"/>
    </row>
    <row r="724" spans="4:12" x14ac:dyDescent="0.2">
      <c r="D724" s="11"/>
      <c r="E724" s="11"/>
      <c r="F724" s="11"/>
      <c r="G724" s="11"/>
      <c r="H724" s="11"/>
      <c r="I724" s="11"/>
      <c r="J724" s="11"/>
      <c r="K724" s="11"/>
      <c r="L724" s="11"/>
    </row>
    <row r="725" spans="4:12" x14ac:dyDescent="0.2">
      <c r="D725" s="11"/>
      <c r="E725" s="11"/>
      <c r="F725" s="11"/>
      <c r="G725" s="11"/>
      <c r="H725" s="11"/>
      <c r="I725" s="11"/>
      <c r="J725" s="11"/>
      <c r="K725" s="11"/>
      <c r="L725" s="11"/>
    </row>
    <row r="726" spans="4:12" x14ac:dyDescent="0.2">
      <c r="D726" s="11"/>
      <c r="E726" s="11"/>
      <c r="F726" s="11"/>
      <c r="G726" s="11"/>
      <c r="H726" s="11"/>
      <c r="I726" s="11"/>
      <c r="J726" s="11"/>
      <c r="K726" s="11"/>
      <c r="L726" s="11"/>
    </row>
    <row r="727" spans="4:12" x14ac:dyDescent="0.2">
      <c r="D727" s="11"/>
      <c r="E727" s="11"/>
      <c r="F727" s="11"/>
      <c r="G727" s="11"/>
      <c r="H727" s="11"/>
      <c r="I727" s="11"/>
      <c r="J727" s="11"/>
      <c r="K727" s="11"/>
      <c r="L727" s="11"/>
    </row>
    <row r="728" spans="4:12" x14ac:dyDescent="0.2">
      <c r="D728" s="11"/>
      <c r="E728" s="11"/>
      <c r="F728" s="11"/>
      <c r="G728" s="11"/>
      <c r="H728" s="11"/>
      <c r="I728" s="11"/>
      <c r="J728" s="11"/>
      <c r="K728" s="11"/>
      <c r="L728" s="11"/>
    </row>
    <row r="729" spans="4:12" x14ac:dyDescent="0.2">
      <c r="D729" s="11"/>
      <c r="E729" s="11"/>
      <c r="F729" s="11"/>
      <c r="G729" s="11"/>
      <c r="H729" s="11"/>
      <c r="I729" s="11"/>
      <c r="J729" s="11"/>
      <c r="K729" s="11"/>
      <c r="L729" s="11"/>
    </row>
    <row r="730" spans="4:12" x14ac:dyDescent="0.2">
      <c r="D730" s="11"/>
      <c r="E730" s="11"/>
      <c r="F730" s="11"/>
      <c r="G730" s="11"/>
      <c r="H730" s="11"/>
      <c r="I730" s="11"/>
      <c r="J730" s="11"/>
      <c r="K730" s="11"/>
      <c r="L730" s="11"/>
    </row>
    <row r="731" spans="4:12" x14ac:dyDescent="0.2">
      <c r="D731" s="11"/>
      <c r="E731" s="11"/>
      <c r="F731" s="11"/>
      <c r="G731" s="11"/>
      <c r="H731" s="11"/>
      <c r="I731" s="11"/>
      <c r="J731" s="11"/>
      <c r="K731" s="11"/>
      <c r="L731" s="11"/>
    </row>
    <row r="732" spans="4:12" x14ac:dyDescent="0.2">
      <c r="D732" s="11"/>
      <c r="E732" s="11"/>
      <c r="F732" s="11"/>
      <c r="G732" s="11"/>
      <c r="H732" s="11"/>
      <c r="I732" s="11"/>
      <c r="J732" s="11"/>
      <c r="K732" s="11"/>
      <c r="L732" s="11"/>
    </row>
    <row r="733" spans="4:12" x14ac:dyDescent="0.2">
      <c r="D733" s="11"/>
      <c r="E733" s="11"/>
      <c r="F733" s="11"/>
      <c r="G733" s="11"/>
      <c r="H733" s="11"/>
      <c r="I733" s="11"/>
      <c r="J733" s="11"/>
      <c r="K733" s="11"/>
      <c r="L733" s="11"/>
    </row>
    <row r="734" spans="4:12" x14ac:dyDescent="0.2">
      <c r="D734" s="11"/>
      <c r="E734" s="11"/>
      <c r="F734" s="11"/>
      <c r="G734" s="11"/>
      <c r="H734" s="11"/>
      <c r="I734" s="11"/>
      <c r="J734" s="11"/>
      <c r="K734" s="11"/>
      <c r="L734" s="11"/>
    </row>
    <row r="735" spans="4:12" x14ac:dyDescent="0.2">
      <c r="D735" s="11"/>
      <c r="E735" s="11"/>
      <c r="F735" s="11"/>
      <c r="G735" s="11"/>
      <c r="H735" s="11"/>
      <c r="I735" s="11"/>
      <c r="J735" s="11"/>
      <c r="K735" s="11"/>
      <c r="L735" s="11"/>
    </row>
    <row r="736" spans="4:12" x14ac:dyDescent="0.2">
      <c r="D736" s="11"/>
      <c r="E736" s="11"/>
      <c r="F736" s="11"/>
      <c r="G736" s="11"/>
      <c r="H736" s="11"/>
      <c r="I736" s="11"/>
      <c r="J736" s="11"/>
      <c r="K736" s="11"/>
      <c r="L736" s="11"/>
    </row>
    <row r="737" spans="4:12" x14ac:dyDescent="0.2">
      <c r="D737" s="11"/>
      <c r="E737" s="11"/>
      <c r="F737" s="11"/>
      <c r="G737" s="11"/>
      <c r="H737" s="11"/>
      <c r="I737" s="11"/>
      <c r="J737" s="11"/>
      <c r="K737" s="11"/>
      <c r="L737" s="11"/>
    </row>
    <row r="738" spans="4:12" x14ac:dyDescent="0.2">
      <c r="D738" s="11"/>
      <c r="E738" s="11"/>
      <c r="F738" s="11"/>
      <c r="G738" s="11"/>
      <c r="H738" s="11"/>
      <c r="I738" s="11"/>
      <c r="J738" s="11"/>
      <c r="K738" s="11"/>
      <c r="L738" s="11"/>
    </row>
    <row r="739" spans="4:12" x14ac:dyDescent="0.2">
      <c r="D739" s="11"/>
      <c r="E739" s="11"/>
      <c r="F739" s="11"/>
      <c r="G739" s="11"/>
      <c r="H739" s="11"/>
      <c r="I739" s="11"/>
      <c r="J739" s="11"/>
      <c r="K739" s="11"/>
      <c r="L739" s="11"/>
    </row>
    <row r="740" spans="4:12" x14ac:dyDescent="0.2">
      <c r="D740" s="11"/>
      <c r="E740" s="11"/>
      <c r="F740" s="11"/>
      <c r="G740" s="11"/>
      <c r="H740" s="11"/>
      <c r="I740" s="11"/>
      <c r="J740" s="11"/>
      <c r="K740" s="11"/>
      <c r="L740" s="11"/>
    </row>
    <row r="741" spans="4:12" x14ac:dyDescent="0.2">
      <c r="D741" s="11"/>
      <c r="E741" s="11"/>
      <c r="F741" s="11"/>
      <c r="G741" s="11"/>
      <c r="H741" s="11"/>
      <c r="I741" s="11"/>
      <c r="J741" s="11"/>
      <c r="K741" s="11"/>
      <c r="L741" s="11"/>
    </row>
    <row r="742" spans="4:12" x14ac:dyDescent="0.2">
      <c r="D742" s="11"/>
      <c r="E742" s="11"/>
      <c r="F742" s="11"/>
      <c r="G742" s="11"/>
      <c r="H742" s="11"/>
      <c r="I742" s="11"/>
      <c r="J742" s="11"/>
      <c r="K742" s="11"/>
      <c r="L742" s="11"/>
    </row>
    <row r="743" spans="4:12" x14ac:dyDescent="0.2">
      <c r="D743" s="11"/>
      <c r="E743" s="11"/>
      <c r="F743" s="11"/>
      <c r="G743" s="11"/>
      <c r="H743" s="11"/>
      <c r="I743" s="11"/>
      <c r="J743" s="11"/>
      <c r="K743" s="11"/>
      <c r="L743" s="11"/>
    </row>
    <row r="744" spans="4:12" x14ac:dyDescent="0.2">
      <c r="D744" s="11"/>
      <c r="E744" s="11"/>
      <c r="F744" s="11"/>
      <c r="G744" s="11"/>
      <c r="H744" s="11"/>
      <c r="I744" s="11"/>
      <c r="J744" s="11"/>
      <c r="K744" s="11"/>
      <c r="L744" s="11"/>
    </row>
    <row r="745" spans="4:12" x14ac:dyDescent="0.2">
      <c r="D745" s="11"/>
      <c r="E745" s="11"/>
      <c r="F745" s="11"/>
      <c r="G745" s="11"/>
      <c r="H745" s="11"/>
      <c r="I745" s="11"/>
      <c r="J745" s="11"/>
      <c r="K745" s="11"/>
      <c r="L745" s="11"/>
    </row>
    <row r="746" spans="4:12" x14ac:dyDescent="0.2">
      <c r="D746" s="11"/>
      <c r="E746" s="11"/>
      <c r="F746" s="11"/>
      <c r="G746" s="11"/>
      <c r="H746" s="11"/>
      <c r="I746" s="11"/>
      <c r="J746" s="11"/>
      <c r="K746" s="11"/>
      <c r="L746" s="11"/>
    </row>
    <row r="747" spans="4:12" x14ac:dyDescent="0.2">
      <c r="D747" s="11"/>
      <c r="E747" s="11"/>
      <c r="F747" s="11"/>
      <c r="G747" s="11"/>
      <c r="H747" s="11"/>
      <c r="I747" s="11"/>
      <c r="J747" s="11"/>
      <c r="K747" s="11"/>
      <c r="L747" s="11"/>
    </row>
    <row r="748" spans="4:12" x14ac:dyDescent="0.2">
      <c r="D748" s="11"/>
      <c r="E748" s="11"/>
      <c r="F748" s="11"/>
      <c r="G748" s="11"/>
      <c r="H748" s="11"/>
      <c r="I748" s="11"/>
      <c r="J748" s="11"/>
      <c r="K748" s="11"/>
      <c r="L748" s="11"/>
    </row>
    <row r="749" spans="4:12" x14ac:dyDescent="0.2">
      <c r="D749" s="11"/>
      <c r="E749" s="11"/>
      <c r="F749" s="11"/>
      <c r="G749" s="11"/>
      <c r="H749" s="11"/>
      <c r="I749" s="11"/>
      <c r="J749" s="11"/>
      <c r="K749" s="11"/>
      <c r="L749" s="11"/>
    </row>
    <row r="750" spans="4:12" x14ac:dyDescent="0.2">
      <c r="D750" s="11"/>
      <c r="E750" s="11"/>
      <c r="F750" s="11"/>
      <c r="G750" s="11"/>
      <c r="H750" s="11"/>
      <c r="I750" s="11"/>
      <c r="J750" s="11"/>
      <c r="K750" s="11"/>
      <c r="L750" s="11"/>
    </row>
    <row r="751" spans="4:12" x14ac:dyDescent="0.2">
      <c r="D751" s="11"/>
      <c r="E751" s="11"/>
      <c r="F751" s="11"/>
      <c r="G751" s="11"/>
      <c r="H751" s="11"/>
      <c r="I751" s="11"/>
      <c r="J751" s="11"/>
      <c r="K751" s="11"/>
      <c r="L751" s="11"/>
    </row>
    <row r="752" spans="4:12" x14ac:dyDescent="0.2">
      <c r="D752" s="11"/>
      <c r="E752" s="11"/>
      <c r="F752" s="11"/>
      <c r="G752" s="11"/>
      <c r="H752" s="11"/>
      <c r="I752" s="11"/>
      <c r="J752" s="11"/>
      <c r="K752" s="11"/>
      <c r="L752" s="11"/>
    </row>
    <row r="753" spans="4:12" x14ac:dyDescent="0.2">
      <c r="D753" s="11"/>
      <c r="E753" s="11"/>
      <c r="F753" s="11"/>
      <c r="G753" s="11"/>
      <c r="H753" s="11"/>
      <c r="I753" s="11"/>
      <c r="J753" s="11"/>
      <c r="K753" s="11"/>
      <c r="L753" s="11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H277 H284:H1048576">
    <cfRule type="cellIs" dxfId="3" priority="1" operator="lessThan">
      <formula>-0.1</formula>
    </cfRule>
    <cfRule type="cellIs" dxfId="2" priority="2" operator="greaterThan">
      <formula>0.1</formula>
    </cfRule>
  </conditionalFormatting>
  <conditionalFormatting sqref="K277 K284:K1048576">
    <cfRule type="cellIs" dxfId="1" priority="3" operator="lessThan">
      <formula>-0.1</formula>
    </cfRule>
    <cfRule type="cellIs" dxfId="0" priority="4" operator="greaterThan">
      <formula>0.1</formula>
    </cfRule>
  </conditionalFormatting>
  <pageMargins left="0.2" right="0.2" top="0.75" bottom="0.5" header="0.3" footer="0.3"/>
  <pageSetup paperSize="3" scale="77" fitToHeight="0" orientation="landscape" r:id="rId1"/>
  <headerFooter>
    <oddHeader>&amp;C&amp;"-,Bold"&amp;14FY26 OPERATING BUDGET - SUMMARY - FIRST DRAFT - 12.11.24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7E617-3DA6-4D5E-911F-26FE76967F92}">
  <dimension ref="A1:P753"/>
  <sheetViews>
    <sheetView workbookViewId="0"/>
  </sheetViews>
  <sheetFormatPr defaultColWidth="10.42578125" defaultRowHeight="14.25" x14ac:dyDescent="0.2"/>
  <cols>
    <col min="1" max="1" width="22" style="4" bestFit="1" customWidth="1"/>
    <col min="2" max="2" width="70.42578125" style="4" bestFit="1" customWidth="1"/>
    <col min="3" max="3" width="14.5703125" style="4" bestFit="1" customWidth="1"/>
    <col min="4" max="7" width="14.5703125" style="4" customWidth="1"/>
    <col min="8" max="8" width="2.7109375" style="4" customWidth="1"/>
    <col min="9" max="9" width="16.42578125" style="4" bestFit="1" customWidth="1"/>
    <col min="10" max="10" width="20" style="4" customWidth="1"/>
    <col min="11" max="11" width="2.7109375" style="4" customWidth="1"/>
    <col min="12" max="12" width="16.42578125" style="37" bestFit="1" customWidth="1"/>
    <col min="13" max="13" width="17.42578125" style="38" customWidth="1"/>
    <col min="14" max="14" width="10.42578125" style="4"/>
    <col min="15" max="15" width="13.28515625" style="11" bestFit="1" customWidth="1"/>
    <col min="16" max="16384" width="10.42578125" style="4"/>
  </cols>
  <sheetData>
    <row r="1" spans="1:15" ht="15" customHeight="1" x14ac:dyDescent="0.2">
      <c r="A1" s="1" t="s">
        <v>0</v>
      </c>
      <c r="B1" s="2" t="s">
        <v>1</v>
      </c>
      <c r="C1" s="52" t="s">
        <v>327</v>
      </c>
      <c r="D1" s="52" t="s">
        <v>328</v>
      </c>
      <c r="E1" s="52" t="s">
        <v>329</v>
      </c>
      <c r="F1" s="52" t="s">
        <v>330</v>
      </c>
      <c r="G1" s="52" t="s">
        <v>331</v>
      </c>
      <c r="H1" s="3"/>
      <c r="I1" s="52" t="s">
        <v>2</v>
      </c>
      <c r="J1" s="52" t="s">
        <v>332</v>
      </c>
      <c r="K1" s="3"/>
      <c r="L1" s="55" t="s">
        <v>3</v>
      </c>
      <c r="M1" s="54" t="s">
        <v>333</v>
      </c>
    </row>
    <row r="2" spans="1:15" ht="15" x14ac:dyDescent="0.2">
      <c r="A2" s="5"/>
      <c r="B2" s="6"/>
      <c r="C2" s="52"/>
      <c r="D2" s="52"/>
      <c r="E2" s="52"/>
      <c r="F2" s="52"/>
      <c r="G2" s="52"/>
      <c r="H2" s="3"/>
      <c r="I2" s="52"/>
      <c r="J2" s="52"/>
      <c r="K2" s="3"/>
      <c r="L2" s="55"/>
      <c r="M2" s="54"/>
    </row>
    <row r="3" spans="1:15" ht="15" x14ac:dyDescent="0.25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5" ht="15" customHeight="1" x14ac:dyDescent="0.25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5" ht="15" x14ac:dyDescent="0.25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5" ht="15" x14ac:dyDescent="0.2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700000</v>
      </c>
      <c r="M6" s="38">
        <f>+L6/J6-1</f>
        <v>0</v>
      </c>
      <c r="O6" s="11">
        <f>0.08*L6</f>
        <v>56000</v>
      </c>
    </row>
    <row r="7" spans="1:15" ht="15" x14ac:dyDescent="0.2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825000</v>
      </c>
      <c r="M7" s="38">
        <f t="shared" ref="M7:M10" si="0">+L7/J7-1</f>
        <v>0</v>
      </c>
    </row>
    <row r="8" spans="1:15" ht="15" x14ac:dyDescent="0.2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 t="shared" si="0"/>
        <v>0</v>
      </c>
      <c r="O8" s="11">
        <f>0.5*L8</f>
        <v>237500</v>
      </c>
    </row>
    <row r="9" spans="1:15" ht="15" x14ac:dyDescent="0.2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 t="shared" si="0"/>
        <v>0</v>
      </c>
    </row>
    <row r="10" spans="1:15" ht="15" x14ac:dyDescent="0.2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 t="shared" si="0"/>
        <v>0</v>
      </c>
    </row>
    <row r="11" spans="1:15" ht="15" x14ac:dyDescent="0.2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5" ht="15" x14ac:dyDescent="0.25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2135000</v>
      </c>
      <c r="M12" s="38">
        <f>+L12/J12-1</f>
        <v>0</v>
      </c>
    </row>
    <row r="13" spans="1:15" ht="15" x14ac:dyDescent="0.2">
      <c r="D13" s="11"/>
      <c r="E13" s="11"/>
      <c r="F13" s="11"/>
      <c r="G13" s="11"/>
      <c r="H13" s="3"/>
      <c r="I13" s="11"/>
      <c r="J13" s="11"/>
      <c r="K13" s="3"/>
      <c r="L13" s="11"/>
    </row>
    <row r="14" spans="1:15" ht="15" x14ac:dyDescent="0.25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5" ht="15" x14ac:dyDescent="0.25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5" ht="15" x14ac:dyDescent="0.2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5" ht="15" x14ac:dyDescent="0.2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 t="shared" ref="M17:M26" si="1">+L17/J17-1</f>
        <v>0</v>
      </c>
    </row>
    <row r="18" spans="1:15" ht="15" x14ac:dyDescent="0.2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5" ht="15" x14ac:dyDescent="0.2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si="1"/>
        <v>3.1746031746031855E-2</v>
      </c>
    </row>
    <row r="20" spans="1:15" ht="15" x14ac:dyDescent="0.2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1"/>
        <v>-4.1928721174003813E-3</v>
      </c>
      <c r="O20" s="11">
        <f>0.05*L20</f>
        <v>23750</v>
      </c>
    </row>
    <row r="21" spans="1:15" ht="15" x14ac:dyDescent="0.2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353028.5</v>
      </c>
      <c r="H21" s="3"/>
      <c r="I21" s="11">
        <v>880085</v>
      </c>
      <c r="J21" s="11">
        <v>353000</v>
      </c>
      <c r="K21" s="3"/>
      <c r="L21" s="11">
        <v>350000</v>
      </c>
      <c r="M21" s="38">
        <f t="shared" si="1"/>
        <v>-8.4985835694051381E-3</v>
      </c>
      <c r="O21" s="11">
        <f>0.05*L21</f>
        <v>17500</v>
      </c>
    </row>
    <row r="22" spans="1:15" ht="15" x14ac:dyDescent="0.2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1046434.8799999999</v>
      </c>
      <c r="H22" s="3"/>
      <c r="I22" s="11">
        <f>411257+128000</f>
        <v>539257</v>
      </c>
      <c r="J22" s="11">
        <v>1046000</v>
      </c>
      <c r="K22" s="3"/>
      <c r="L22" s="11">
        <v>1050000</v>
      </c>
      <c r="M22" s="38">
        <f t="shared" si="1"/>
        <v>3.8240917782026429E-3</v>
      </c>
    </row>
    <row r="23" spans="1:15" ht="15" x14ac:dyDescent="0.2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530847.8600000001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1"/>
        <v>0</v>
      </c>
      <c r="O23" s="11">
        <f>0.2*L23</f>
        <v>120000</v>
      </c>
    </row>
    <row r="24" spans="1:15" ht="15" x14ac:dyDescent="0.2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1"/>
        <v>0</v>
      </c>
    </row>
    <row r="25" spans="1:15" ht="15" x14ac:dyDescent="0.2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1"/>
        <v>-0.30000000000000004</v>
      </c>
    </row>
    <row r="26" spans="1:15" ht="15" x14ac:dyDescent="0.2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1"/>
        <v>0</v>
      </c>
    </row>
    <row r="27" spans="1:15" ht="15" x14ac:dyDescent="0.2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5" ht="15" x14ac:dyDescent="0.25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2954784.24</v>
      </c>
      <c r="H28" s="3"/>
      <c r="I28" s="11">
        <f>SUM(I16:I27)</f>
        <v>3144505</v>
      </c>
      <c r="J28" s="11">
        <f>SUM(J16:J27)</f>
        <v>3046000</v>
      </c>
      <c r="K28" s="3"/>
      <c r="L28" s="11">
        <f>SUM(L16:L27)</f>
        <v>3040000</v>
      </c>
      <c r="M28" s="38">
        <f>+L28/J28-1</f>
        <v>-1.969796454366346E-3</v>
      </c>
    </row>
    <row r="29" spans="1:15" ht="15" x14ac:dyDescent="0.2">
      <c r="D29" s="11"/>
      <c r="E29" s="11"/>
      <c r="F29" s="11"/>
      <c r="G29" s="11"/>
      <c r="H29" s="3"/>
      <c r="I29" s="11"/>
      <c r="J29" s="11"/>
      <c r="K29" s="3"/>
      <c r="L29" s="11"/>
    </row>
    <row r="30" spans="1:15" ht="15" x14ac:dyDescent="0.25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5" ht="15" x14ac:dyDescent="0.25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5" ht="15" x14ac:dyDescent="0.2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 t="shared" ref="M32:M35" si="2">+L32/J32-1</f>
        <v>0</v>
      </c>
    </row>
    <row r="33" spans="1:13" ht="15" x14ac:dyDescent="0.2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 t="shared" si="2"/>
        <v>0</v>
      </c>
    </row>
    <row r="34" spans="1:13" ht="15" x14ac:dyDescent="0.2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 t="shared" si="2"/>
        <v>0</v>
      </c>
    </row>
    <row r="35" spans="1:13" ht="15" x14ac:dyDescent="0.2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 t="shared" si="2"/>
        <v>0</v>
      </c>
    </row>
    <row r="36" spans="1:13" ht="15" x14ac:dyDescent="0.2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ht="15" x14ac:dyDescent="0.25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+L37/J37-1</f>
        <v>0</v>
      </c>
    </row>
    <row r="38" spans="1:13" ht="15" x14ac:dyDescent="0.2">
      <c r="D38" s="11"/>
      <c r="E38" s="11"/>
      <c r="F38" s="11"/>
      <c r="G38" s="11"/>
      <c r="H38" s="3"/>
      <c r="I38" s="11"/>
      <c r="J38" s="11"/>
      <c r="K38" s="3"/>
      <c r="L38" s="11"/>
    </row>
    <row r="39" spans="1:13" ht="15" x14ac:dyDescent="0.25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ht="15" x14ac:dyDescent="0.25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ht="15" x14ac:dyDescent="0.25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ht="15" x14ac:dyDescent="0.2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 t="shared" ref="M42:M44" si="3">+L42/J42-1</f>
        <v>0</v>
      </c>
    </row>
    <row r="43" spans="1:13" ht="15" x14ac:dyDescent="0.2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 t="shared" si="3"/>
        <v>-0.76190476190476186</v>
      </c>
    </row>
    <row r="44" spans="1:13" ht="15" x14ac:dyDescent="0.2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 t="shared" si="3"/>
        <v>0</v>
      </c>
    </row>
    <row r="45" spans="1:13" ht="15" x14ac:dyDescent="0.2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ht="15" x14ac:dyDescent="0.25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+L46/J46-1</f>
        <v>-0.35820895522388063</v>
      </c>
    </row>
    <row r="47" spans="1:13" ht="15" x14ac:dyDescent="0.2">
      <c r="D47" s="11"/>
      <c r="E47" s="11"/>
      <c r="F47" s="11"/>
      <c r="G47" s="11"/>
      <c r="H47" s="3"/>
      <c r="I47" s="11"/>
      <c r="J47" s="11"/>
      <c r="K47" s="3"/>
      <c r="L47" s="11"/>
    </row>
    <row r="48" spans="1:13" ht="15" x14ac:dyDescent="0.25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5" ht="15" x14ac:dyDescent="0.2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+L49/J49-1</f>
        <v>-0.2857142857142857</v>
      </c>
    </row>
    <row r="50" spans="1:15" ht="15" x14ac:dyDescent="0.2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5" ht="15" x14ac:dyDescent="0.25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+L51/J51-1</f>
        <v>-0.2857142857142857</v>
      </c>
    </row>
    <row r="52" spans="1:15" ht="15" x14ac:dyDescent="0.2">
      <c r="D52" s="11"/>
      <c r="E52" s="11"/>
      <c r="F52" s="11"/>
      <c r="G52" s="11"/>
      <c r="H52" s="3"/>
      <c r="I52" s="11"/>
      <c r="J52" s="11"/>
      <c r="K52" s="3"/>
      <c r="L52" s="11"/>
    </row>
    <row r="53" spans="1:15" ht="15" x14ac:dyDescent="0.25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5" ht="15" x14ac:dyDescent="0.25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5" ht="15" x14ac:dyDescent="0.2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+L55/J55-1</f>
        <v>-0.5714285714285714</v>
      </c>
    </row>
    <row r="56" spans="1:15" ht="15" x14ac:dyDescent="0.2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5" ht="15" x14ac:dyDescent="0.2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+L57/J57-1</f>
        <v>-0.9</v>
      </c>
    </row>
    <row r="58" spans="1:15" ht="15" x14ac:dyDescent="0.2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/>
      <c r="J58" s="11"/>
      <c r="K58" s="3"/>
      <c r="L58" s="11">
        <v>1500</v>
      </c>
    </row>
    <row r="59" spans="1:15" ht="15" x14ac:dyDescent="0.2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+L59/J59-1</f>
        <v>0</v>
      </c>
    </row>
    <row r="60" spans="1:15" ht="15" x14ac:dyDescent="0.2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5" ht="15" x14ac:dyDescent="0.25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54000</v>
      </c>
      <c r="J61" s="11">
        <f>SUM(J55:J60)</f>
        <v>78500</v>
      </c>
      <c r="K61" s="3"/>
      <c r="L61" s="11">
        <f>SUM(L55:L60)</f>
        <v>55500</v>
      </c>
      <c r="M61" s="38">
        <f>+L61/J61-1</f>
        <v>-0.29299363057324845</v>
      </c>
    </row>
    <row r="62" spans="1:15" ht="15" x14ac:dyDescent="0.2">
      <c r="D62" s="11"/>
      <c r="E62" s="11"/>
      <c r="F62" s="11"/>
      <c r="G62" s="11"/>
      <c r="H62" s="3"/>
      <c r="I62" s="11"/>
      <c r="J62" s="11"/>
      <c r="K62" s="3"/>
      <c r="L62" s="11"/>
    </row>
    <row r="63" spans="1:15" ht="15" x14ac:dyDescent="0.25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5636187.9800000004</v>
      </c>
      <c r="H63" s="3"/>
      <c r="I63" s="11">
        <f>+I61+I51+I46+I37+I28+I12</f>
        <v>5814005</v>
      </c>
      <c r="J63" s="11">
        <f>+J61+J51+J46+J37+J28+J12</f>
        <v>6122000</v>
      </c>
      <c r="K63" s="3"/>
      <c r="L63" s="11">
        <f>+L61+L51+L46+L37+L28+L12</f>
        <v>5945000</v>
      </c>
      <c r="M63" s="38">
        <f>+L63/J63-1</f>
        <v>-2.8912120222149618E-2</v>
      </c>
    </row>
    <row r="64" spans="1:15" s="28" customFormat="1" ht="15" hidden="1" x14ac:dyDescent="0.25">
      <c r="A64" s="27"/>
      <c r="B64" s="27"/>
      <c r="C64" s="26">
        <v>4276151</v>
      </c>
      <c r="D64" s="4">
        <v>6019921.370000001</v>
      </c>
      <c r="E64" s="4">
        <v>4860796.18</v>
      </c>
      <c r="F64" s="4">
        <v>5851407.4800000004</v>
      </c>
      <c r="G64" s="4">
        <v>5676583.7700000005</v>
      </c>
      <c r="H64" s="3"/>
      <c r="I64" s="4"/>
      <c r="J64" s="4"/>
      <c r="K64" s="3"/>
      <c r="L64" s="37"/>
      <c r="M64" s="38"/>
      <c r="O64" s="43"/>
    </row>
    <row r="65" spans="1:15" s="28" customFormat="1" ht="15" x14ac:dyDescent="0.25">
      <c r="A65" s="27"/>
      <c r="B65" s="27"/>
      <c r="C65" s="26"/>
      <c r="D65" s="11"/>
      <c r="E65" s="11"/>
      <c r="F65" s="11"/>
      <c r="G65" s="11"/>
      <c r="H65" s="3"/>
      <c r="I65" s="11"/>
      <c r="J65" s="11"/>
      <c r="K65" s="3"/>
      <c r="L65" s="11"/>
      <c r="M65" s="38"/>
      <c r="O65" s="43"/>
    </row>
    <row r="66" spans="1:15" ht="15" x14ac:dyDescent="0.25">
      <c r="A66" s="9" t="s">
        <v>88</v>
      </c>
      <c r="B66" s="10" t="s">
        <v>89</v>
      </c>
      <c r="D66" s="11"/>
      <c r="E66" s="11"/>
      <c r="F66" s="11"/>
      <c r="G66" s="11"/>
      <c r="H66" s="3"/>
      <c r="I66" s="11"/>
      <c r="J66" s="11"/>
      <c r="K66" s="3"/>
      <c r="L66" s="11"/>
    </row>
    <row r="67" spans="1:15" ht="15" x14ac:dyDescent="0.25">
      <c r="A67" s="12" t="s">
        <v>9</v>
      </c>
      <c r="B67" s="13" t="s">
        <v>10</v>
      </c>
      <c r="D67" s="11"/>
      <c r="E67" s="11"/>
      <c r="F67" s="11"/>
      <c r="G67" s="11"/>
      <c r="H67" s="3"/>
      <c r="I67" s="11"/>
      <c r="J67" s="11"/>
      <c r="K67" s="3"/>
      <c r="L67" s="11"/>
    </row>
    <row r="68" spans="1:15" ht="15" x14ac:dyDescent="0.2">
      <c r="A68" s="14" t="s">
        <v>90</v>
      </c>
      <c r="B68" s="15" t="s">
        <v>91</v>
      </c>
      <c r="C68" s="16">
        <v>26237</v>
      </c>
      <c r="D68" s="11">
        <v>34249.040000000001</v>
      </c>
      <c r="E68" s="11">
        <v>36787.03</v>
      </c>
      <c r="F68" s="11">
        <v>65317.5</v>
      </c>
      <c r="G68" s="11">
        <v>45550.080000000002</v>
      </c>
      <c r="H68" s="3"/>
      <c r="I68" s="11">
        <v>60000</v>
      </c>
      <c r="J68" s="11">
        <v>60000</v>
      </c>
      <c r="K68" s="3"/>
      <c r="L68" s="11">
        <v>60000</v>
      </c>
      <c r="M68" s="38">
        <f t="shared" ref="M68:M84" si="4">+L68/J68-1</f>
        <v>0</v>
      </c>
    </row>
    <row r="69" spans="1:15" ht="15" x14ac:dyDescent="0.2">
      <c r="A69" s="14" t="s">
        <v>92</v>
      </c>
      <c r="B69" s="15" t="s">
        <v>93</v>
      </c>
      <c r="C69" s="16">
        <v>15987</v>
      </c>
      <c r="D69" s="11">
        <v>20126.57</v>
      </c>
      <c r="E69" s="11">
        <v>7018.92</v>
      </c>
      <c r="F69" s="11">
        <v>6942.57</v>
      </c>
      <c r="G69" s="11">
        <v>6245.62</v>
      </c>
      <c r="H69" s="3"/>
      <c r="I69" s="11">
        <f>+I6*0.01</f>
        <v>5000</v>
      </c>
      <c r="J69" s="11">
        <v>7000</v>
      </c>
      <c r="K69" s="3"/>
      <c r="L69" s="11">
        <v>5000</v>
      </c>
      <c r="M69" s="38">
        <f t="shared" si="4"/>
        <v>-0.2857142857142857</v>
      </c>
    </row>
    <row r="70" spans="1:15" ht="15" x14ac:dyDescent="0.2">
      <c r="A70" s="14" t="s">
        <v>94</v>
      </c>
      <c r="B70" s="15" t="s">
        <v>95</v>
      </c>
      <c r="C70" s="16">
        <v>373</v>
      </c>
      <c r="D70" s="11">
        <v>4546.7</v>
      </c>
      <c r="E70" s="11">
        <v>1736.1</v>
      </c>
      <c r="F70" s="11">
        <v>3225.47</v>
      </c>
      <c r="G70" s="11">
        <v>2965.18</v>
      </c>
      <c r="H70" s="3"/>
      <c r="I70" s="11">
        <v>3000</v>
      </c>
      <c r="J70" s="11">
        <v>3000</v>
      </c>
      <c r="K70" s="3"/>
      <c r="L70" s="11">
        <v>3000</v>
      </c>
      <c r="M70" s="38">
        <f t="shared" si="4"/>
        <v>0</v>
      </c>
    </row>
    <row r="71" spans="1:15" ht="15" x14ac:dyDescent="0.2">
      <c r="A71" s="14" t="s">
        <v>96</v>
      </c>
      <c r="B71" s="15" t="s">
        <v>97</v>
      </c>
      <c r="C71" s="16">
        <v>6202</v>
      </c>
      <c r="D71" s="11">
        <v>2604.8200000000002</v>
      </c>
      <c r="E71" s="11">
        <v>3101.25</v>
      </c>
      <c r="F71" s="11">
        <v>232</v>
      </c>
      <c r="G71" s="11">
        <v>239</v>
      </c>
      <c r="H71" s="3"/>
      <c r="I71" s="11">
        <v>5000</v>
      </c>
      <c r="J71" s="11">
        <v>500</v>
      </c>
      <c r="K71" s="3"/>
      <c r="L71" s="11">
        <v>5000</v>
      </c>
      <c r="M71" s="38">
        <f t="shared" si="4"/>
        <v>9</v>
      </c>
    </row>
    <row r="72" spans="1:15" ht="15" x14ac:dyDescent="0.2">
      <c r="A72" s="14" t="s">
        <v>98</v>
      </c>
      <c r="B72" s="15" t="s">
        <v>62</v>
      </c>
      <c r="C72" s="16">
        <v>0</v>
      </c>
      <c r="D72" s="11">
        <v>5600</v>
      </c>
      <c r="E72" s="11">
        <v>5474.97</v>
      </c>
      <c r="F72" s="11">
        <v>11265</v>
      </c>
      <c r="G72" s="11">
        <v>11700</v>
      </c>
      <c r="H72" s="3"/>
      <c r="I72" s="11">
        <v>5000</v>
      </c>
      <c r="J72" s="11">
        <v>12000</v>
      </c>
      <c r="K72" s="3"/>
      <c r="L72" s="11">
        <v>5000</v>
      </c>
      <c r="M72" s="38">
        <f t="shared" si="4"/>
        <v>-0.58333333333333326</v>
      </c>
    </row>
    <row r="73" spans="1:15" ht="15" x14ac:dyDescent="0.2">
      <c r="A73" s="14" t="s">
        <v>99</v>
      </c>
      <c r="B73" s="15" t="s">
        <v>100</v>
      </c>
      <c r="C73" s="16">
        <v>3410</v>
      </c>
      <c r="D73" s="11">
        <v>1195</v>
      </c>
      <c r="E73" s="11">
        <v>8127.02</v>
      </c>
      <c r="F73" s="11">
        <v>6156</v>
      </c>
      <c r="G73" s="11">
        <v>8940</v>
      </c>
      <c r="H73" s="3"/>
      <c r="I73" s="11">
        <v>5000</v>
      </c>
      <c r="J73" s="11">
        <v>10000</v>
      </c>
      <c r="K73" s="3"/>
      <c r="L73" s="11">
        <v>5000</v>
      </c>
      <c r="M73" s="38">
        <f t="shared" si="4"/>
        <v>-0.5</v>
      </c>
    </row>
    <row r="74" spans="1:15" ht="15" x14ac:dyDescent="0.2">
      <c r="A74" s="14" t="s">
        <v>101</v>
      </c>
      <c r="B74" s="15" t="s">
        <v>102</v>
      </c>
      <c r="C74" s="16">
        <f>57845+2373</f>
        <v>60218</v>
      </c>
      <c r="D74" s="11">
        <v>56921.25</v>
      </c>
      <c r="E74" s="11">
        <v>37022.5</v>
      </c>
      <c r="F74" s="11">
        <v>81058.55</v>
      </c>
      <c r="G74" s="11">
        <v>70914.41</v>
      </c>
      <c r="H74" s="3"/>
      <c r="I74" s="11">
        <v>100000</v>
      </c>
      <c r="J74" s="11">
        <v>100000</v>
      </c>
      <c r="K74" s="3"/>
      <c r="L74" s="11">
        <v>100000</v>
      </c>
      <c r="M74" s="38">
        <f t="shared" si="4"/>
        <v>0</v>
      </c>
    </row>
    <row r="75" spans="1:15" ht="15" x14ac:dyDescent="0.2">
      <c r="A75" s="14" t="s">
        <v>103</v>
      </c>
      <c r="B75" s="15" t="s">
        <v>104</v>
      </c>
      <c r="C75" s="16">
        <v>21000</v>
      </c>
      <c r="D75" s="11">
        <v>24500</v>
      </c>
      <c r="E75" s="11">
        <v>31990</v>
      </c>
      <c r="F75" s="11">
        <v>55595</v>
      </c>
      <c r="G75" s="11">
        <v>67393</v>
      </c>
      <c r="H75" s="3"/>
      <c r="I75" s="11">
        <v>60000</v>
      </c>
      <c r="J75" s="11">
        <v>68000</v>
      </c>
      <c r="K75" s="3"/>
      <c r="L75" s="11">
        <v>60000</v>
      </c>
      <c r="M75" s="38">
        <f t="shared" si="4"/>
        <v>-0.11764705882352944</v>
      </c>
    </row>
    <row r="76" spans="1:15" ht="15" x14ac:dyDescent="0.2">
      <c r="A76" s="14" t="s">
        <v>105</v>
      </c>
      <c r="B76" s="15" t="s">
        <v>106</v>
      </c>
      <c r="C76" s="16">
        <v>0</v>
      </c>
      <c r="D76" s="11">
        <v>0</v>
      </c>
      <c r="E76" s="11">
        <v>0</v>
      </c>
      <c r="F76" s="11">
        <v>0</v>
      </c>
      <c r="G76" s="11">
        <v>0</v>
      </c>
      <c r="H76" s="3"/>
      <c r="I76" s="11">
        <v>2000</v>
      </c>
      <c r="J76" s="11">
        <v>2000</v>
      </c>
      <c r="K76" s="3"/>
      <c r="L76" s="11">
        <v>2000</v>
      </c>
      <c r="M76" s="38">
        <f t="shared" si="4"/>
        <v>0</v>
      </c>
    </row>
    <row r="77" spans="1:15" ht="15" x14ac:dyDescent="0.2">
      <c r="A77" s="14" t="s">
        <v>107</v>
      </c>
      <c r="B77" s="15" t="s">
        <v>108</v>
      </c>
      <c r="C77" s="16">
        <v>970</v>
      </c>
      <c r="D77" s="11">
        <v>280</v>
      </c>
      <c r="E77" s="11">
        <v>14559.11</v>
      </c>
      <c r="F77" s="11">
        <v>8440.1</v>
      </c>
      <c r="G77" s="11">
        <v>3170</v>
      </c>
      <c r="H77" s="3"/>
      <c r="I77" s="11">
        <v>3000</v>
      </c>
      <c r="J77" s="11">
        <v>3000</v>
      </c>
      <c r="K77" s="3"/>
      <c r="L77" s="11">
        <v>3000</v>
      </c>
      <c r="M77" s="38">
        <f t="shared" si="4"/>
        <v>0</v>
      </c>
    </row>
    <row r="78" spans="1:15" ht="15" x14ac:dyDescent="0.2">
      <c r="A78" s="14" t="s">
        <v>109</v>
      </c>
      <c r="B78" s="15" t="s">
        <v>110</v>
      </c>
      <c r="C78" s="16">
        <v>79966</v>
      </c>
      <c r="D78" s="11">
        <v>105164.45</v>
      </c>
      <c r="E78" s="11">
        <v>88000.18</v>
      </c>
      <c r="F78" s="11">
        <v>134525.44</v>
      </c>
      <c r="G78" s="11">
        <v>60944.78</v>
      </c>
      <c r="H78" s="3"/>
      <c r="I78" s="11">
        <v>85000</v>
      </c>
      <c r="J78" s="11">
        <v>85000</v>
      </c>
      <c r="K78" s="3"/>
      <c r="L78" s="11">
        <v>85000</v>
      </c>
      <c r="M78" s="38">
        <f t="shared" si="4"/>
        <v>0</v>
      </c>
    </row>
    <row r="79" spans="1:15" ht="15" x14ac:dyDescent="0.2">
      <c r="A79" s="14">
        <v>6010950</v>
      </c>
      <c r="B79" s="15" t="s">
        <v>111</v>
      </c>
      <c r="C79" s="16">
        <v>0</v>
      </c>
      <c r="D79" s="11"/>
      <c r="E79" s="11"/>
      <c r="F79" s="11">
        <v>12656.25</v>
      </c>
      <c r="G79" s="11">
        <v>18002.84</v>
      </c>
      <c r="H79" s="3"/>
      <c r="I79" s="11">
        <v>50000</v>
      </c>
      <c r="J79" s="11">
        <v>25000</v>
      </c>
      <c r="K79" s="3"/>
      <c r="L79" s="11">
        <v>50000</v>
      </c>
      <c r="M79" s="38">
        <f t="shared" si="4"/>
        <v>1</v>
      </c>
    </row>
    <row r="80" spans="1:15" ht="15" x14ac:dyDescent="0.2">
      <c r="A80" s="14" t="s">
        <v>112</v>
      </c>
      <c r="B80" s="15" t="s">
        <v>113</v>
      </c>
      <c r="C80" s="16">
        <v>8750</v>
      </c>
      <c r="D80" s="11">
        <v>10250</v>
      </c>
      <c r="E80" s="11">
        <v>10200</v>
      </c>
      <c r="F80" s="11">
        <v>10650</v>
      </c>
      <c r="G80" s="11">
        <v>6400</v>
      </c>
      <c r="H80" s="3"/>
      <c r="I80" s="11">
        <v>15000</v>
      </c>
      <c r="J80" s="11">
        <v>15000</v>
      </c>
      <c r="K80" s="3"/>
      <c r="L80" s="11">
        <v>15000</v>
      </c>
      <c r="M80" s="38">
        <f t="shared" si="4"/>
        <v>0</v>
      </c>
    </row>
    <row r="81" spans="1:15" ht="15" x14ac:dyDescent="0.2">
      <c r="A81" s="14" t="s">
        <v>114</v>
      </c>
      <c r="B81" s="15" t="s">
        <v>115</v>
      </c>
      <c r="C81" s="16">
        <v>0</v>
      </c>
      <c r="D81" s="11">
        <v>27958.95</v>
      </c>
      <c r="E81" s="11">
        <v>6961.88</v>
      </c>
      <c r="F81" s="11">
        <v>26351.88</v>
      </c>
      <c r="G81" s="11">
        <v>10292.4</v>
      </c>
      <c r="H81" s="3"/>
      <c r="I81" s="11">
        <v>9000</v>
      </c>
      <c r="J81" s="11">
        <v>13000</v>
      </c>
      <c r="K81" s="3"/>
      <c r="L81" s="11">
        <v>9000</v>
      </c>
      <c r="M81" s="38">
        <f t="shared" si="4"/>
        <v>-0.30769230769230771</v>
      </c>
    </row>
    <row r="82" spans="1:15" ht="15" x14ac:dyDescent="0.2">
      <c r="A82" s="14" t="s">
        <v>116</v>
      </c>
      <c r="B82" s="15" t="s">
        <v>117</v>
      </c>
      <c r="C82" s="16">
        <v>5788</v>
      </c>
      <c r="D82" s="11">
        <v>4300</v>
      </c>
      <c r="E82" s="11">
        <v>4869</v>
      </c>
      <c r="F82" s="11">
        <v>4340</v>
      </c>
      <c r="G82" s="11">
        <v>2125</v>
      </c>
      <c r="H82" s="3"/>
      <c r="I82" s="11">
        <v>6500</v>
      </c>
      <c r="J82" s="11">
        <v>6500</v>
      </c>
      <c r="K82" s="3"/>
      <c r="L82" s="11">
        <v>6500</v>
      </c>
      <c r="M82" s="38">
        <f t="shared" si="4"/>
        <v>0</v>
      </c>
    </row>
    <row r="83" spans="1:15" ht="15" x14ac:dyDescent="0.2">
      <c r="A83" s="14" t="s">
        <v>118</v>
      </c>
      <c r="B83" s="15" t="s">
        <v>119</v>
      </c>
      <c r="C83" s="16">
        <v>18709</v>
      </c>
      <c r="D83" s="11">
        <v>13876.48</v>
      </c>
      <c r="E83" s="11">
        <v>18187.78</v>
      </c>
      <c r="F83" s="11">
        <v>15407.18</v>
      </c>
      <c r="G83" s="11">
        <v>110.43</v>
      </c>
      <c r="H83" s="3"/>
      <c r="I83" s="11">
        <v>7500</v>
      </c>
      <c r="J83" s="11">
        <v>7500</v>
      </c>
      <c r="K83" s="3"/>
      <c r="L83" s="11">
        <v>7500</v>
      </c>
      <c r="M83" s="38">
        <f t="shared" si="4"/>
        <v>0</v>
      </c>
    </row>
    <row r="84" spans="1:15" ht="15" x14ac:dyDescent="0.2">
      <c r="A84" s="14" t="s">
        <v>120</v>
      </c>
      <c r="B84" s="15" t="s">
        <v>121</v>
      </c>
      <c r="C84" s="16">
        <v>61378</v>
      </c>
      <c r="D84" s="11">
        <v>40060.879999999997</v>
      </c>
      <c r="E84" s="11">
        <v>1266.28</v>
      </c>
      <c r="F84" s="11">
        <v>36224.44</v>
      </c>
      <c r="G84" s="11">
        <v>14761.21</v>
      </c>
      <c r="H84" s="3"/>
      <c r="I84" s="11">
        <v>35000</v>
      </c>
      <c r="J84" s="11">
        <v>35000</v>
      </c>
      <c r="K84" s="3"/>
      <c r="L84" s="11">
        <v>35000</v>
      </c>
      <c r="M84" s="38">
        <f t="shared" si="4"/>
        <v>0</v>
      </c>
    </row>
    <row r="85" spans="1:15" ht="15" x14ac:dyDescent="0.2">
      <c r="A85" s="14"/>
      <c r="B85" s="15"/>
      <c r="C85" s="16"/>
      <c r="D85" s="11"/>
      <c r="E85" s="11"/>
      <c r="F85" s="11"/>
      <c r="G85" s="11"/>
      <c r="H85" s="3"/>
      <c r="I85" s="11"/>
      <c r="J85" s="11"/>
      <c r="K85" s="3"/>
      <c r="L85" s="11"/>
    </row>
    <row r="86" spans="1:15" s="20" customFormat="1" ht="15" x14ac:dyDescent="0.25">
      <c r="A86" s="29"/>
      <c r="B86" s="30" t="s">
        <v>122</v>
      </c>
      <c r="C86" s="16">
        <f>SUM(C68:C84)</f>
        <v>308988</v>
      </c>
      <c r="D86" s="11">
        <f>SUM(D68:D84)</f>
        <v>351634.14</v>
      </c>
      <c r="E86" s="11">
        <f>SUM(E68:E84)</f>
        <v>275302.02</v>
      </c>
      <c r="F86" s="11">
        <f>SUM(F68:F84)</f>
        <v>478387.38</v>
      </c>
      <c r="G86" s="11">
        <f>SUM(G68:G84)</f>
        <v>329753.95000000007</v>
      </c>
      <c r="H86" s="3"/>
      <c r="I86" s="11">
        <f>SUM(I68:I84)</f>
        <v>456000</v>
      </c>
      <c r="J86" s="11">
        <f>SUM(J68:J84)</f>
        <v>452500</v>
      </c>
      <c r="K86" s="3"/>
      <c r="L86" s="11">
        <f>SUM(L68:L84)</f>
        <v>456000</v>
      </c>
      <c r="M86" s="38">
        <f>+L86/J86-1</f>
        <v>7.7348066298341678E-3</v>
      </c>
      <c r="O86" s="44"/>
    </row>
    <row r="87" spans="1:15" s="20" customFormat="1" ht="15" x14ac:dyDescent="0.25">
      <c r="A87" s="29"/>
      <c r="B87" s="30"/>
      <c r="C87" s="16"/>
      <c r="D87" s="11"/>
      <c r="E87" s="11"/>
      <c r="F87" s="11"/>
      <c r="G87" s="11"/>
      <c r="H87" s="3"/>
      <c r="I87" s="11"/>
      <c r="J87" s="11"/>
      <c r="K87" s="3"/>
      <c r="L87" s="11"/>
      <c r="M87" s="38"/>
      <c r="O87" s="44"/>
    </row>
    <row r="88" spans="1:15" ht="15" x14ac:dyDescent="0.2">
      <c r="A88" s="14" t="s">
        <v>123</v>
      </c>
      <c r="B88" s="15" t="s">
        <v>124</v>
      </c>
      <c r="C88" s="16">
        <v>238952</v>
      </c>
      <c r="D88" s="11">
        <v>299344.71999999997</v>
      </c>
      <c r="E88" s="11">
        <v>296161.17</v>
      </c>
      <c r="F88" s="11">
        <v>348848.89</v>
      </c>
      <c r="G88" s="11">
        <v>211577.23</v>
      </c>
      <c r="H88" s="3"/>
      <c r="I88" s="11">
        <v>381989</v>
      </c>
      <c r="J88" s="11">
        <v>381989</v>
      </c>
      <c r="K88" s="3"/>
      <c r="L88" s="11">
        <f>+'[1]Non-Union - 3.5%'!$I$13+'[1]Non-Union - 3.5%'!$V$13</f>
        <v>400796.10425099998</v>
      </c>
      <c r="M88" s="38">
        <f t="shared" ref="M88:M108" si="5">+L88/J88-1</f>
        <v>4.9234674953990698E-2</v>
      </c>
      <c r="O88" s="11">
        <f>+L88-J88</f>
        <v>18807.104250999982</v>
      </c>
    </row>
    <row r="89" spans="1:15" ht="15" x14ac:dyDescent="0.2">
      <c r="A89" s="14" t="s">
        <v>125</v>
      </c>
      <c r="B89" s="15" t="s">
        <v>126</v>
      </c>
      <c r="C89" s="16">
        <v>19656</v>
      </c>
      <c r="D89" s="11">
        <v>24665.38</v>
      </c>
      <c r="E89" s="11">
        <v>23771.06</v>
      </c>
      <c r="F89" s="11">
        <v>25648.01</v>
      </c>
      <c r="G89" s="11">
        <v>18946.3</v>
      </c>
      <c r="H89" s="3"/>
      <c r="I89" s="11">
        <v>30559</v>
      </c>
      <c r="J89" s="11">
        <v>30559</v>
      </c>
      <c r="K89" s="3"/>
      <c r="L89" s="11">
        <f>+'[1]Non-Union - 3.5%'!$P$13+'[1]Non-Union - 3.5%'!$Z$13</f>
        <v>32063.68834008</v>
      </c>
      <c r="M89" s="38">
        <f t="shared" si="5"/>
        <v>4.9238795120259082E-2</v>
      </c>
      <c r="O89" s="11">
        <f t="shared" ref="O89:O108" si="6">+L89-J89</f>
        <v>1504.6883400799998</v>
      </c>
    </row>
    <row r="90" spans="1:15" ht="15" x14ac:dyDescent="0.2">
      <c r="A90" s="14" t="s">
        <v>127</v>
      </c>
      <c r="B90" s="15" t="s">
        <v>128</v>
      </c>
      <c r="C90" s="16">
        <v>45927</v>
      </c>
      <c r="D90" s="11">
        <v>58698.76</v>
      </c>
      <c r="E90" s="11">
        <v>67570.789999999994</v>
      </c>
      <c r="F90" s="11">
        <v>64434.796000000002</v>
      </c>
      <c r="G90" s="11">
        <v>51089.38</v>
      </c>
      <c r="H90" s="3"/>
      <c r="I90" s="11">
        <f>67402+3616+1226+136</f>
        <v>72380</v>
      </c>
      <c r="J90" s="11">
        <v>72380</v>
      </c>
      <c r="K90" s="3"/>
      <c r="L90" s="11">
        <f>+SUM('[1]Non-Union - 3.5%'!$K$13:$M$13)</f>
        <v>85547.279999999984</v>
      </c>
      <c r="M90" s="38">
        <f t="shared" si="5"/>
        <v>0.18191876208897462</v>
      </c>
      <c r="O90" s="11">
        <f t="shared" si="6"/>
        <v>13167.279999999984</v>
      </c>
    </row>
    <row r="91" spans="1:15" ht="15" x14ac:dyDescent="0.2">
      <c r="A91" s="14" t="s">
        <v>129</v>
      </c>
      <c r="B91" s="15" t="s">
        <v>130</v>
      </c>
      <c r="C91" s="16">
        <v>4516</v>
      </c>
      <c r="D91" s="11">
        <v>3310.13</v>
      </c>
      <c r="E91" s="11">
        <v>783.71</v>
      </c>
      <c r="F91" s="11">
        <v>3864.75</v>
      </c>
      <c r="G91" s="11">
        <v>2659.38</v>
      </c>
      <c r="H91" s="3"/>
      <c r="I91" s="11">
        <v>4112</v>
      </c>
      <c r="J91" s="11">
        <v>4112</v>
      </c>
      <c r="K91" s="3"/>
      <c r="L91" s="11">
        <f>+'[1]Non-Union - 3.5%'!$O$13+'[1]Non-Union - 3.5%'!$X$13</f>
        <v>4321.0660252799998</v>
      </c>
      <c r="M91" s="38">
        <f t="shared" si="5"/>
        <v>5.0842904980544779E-2</v>
      </c>
      <c r="O91" s="11">
        <f t="shared" si="6"/>
        <v>209.06602527999985</v>
      </c>
    </row>
    <row r="92" spans="1:15" ht="15" x14ac:dyDescent="0.2">
      <c r="A92" s="14" t="s">
        <v>131</v>
      </c>
      <c r="B92" s="15" t="s">
        <v>132</v>
      </c>
      <c r="C92" s="16">
        <v>2521</v>
      </c>
      <c r="D92" s="11">
        <v>2307.63</v>
      </c>
      <c r="E92" s="11">
        <v>3053.15</v>
      </c>
      <c r="F92" s="11">
        <v>3349.54</v>
      </c>
      <c r="G92" s="11">
        <v>6215.25</v>
      </c>
      <c r="H92" s="3"/>
      <c r="I92" s="11">
        <v>496</v>
      </c>
      <c r="J92" s="11">
        <v>496</v>
      </c>
      <c r="K92" s="3"/>
      <c r="L92" s="11">
        <f>+'[1]Non-Union - 3.5%'!$Y$13+'[1]Non-Union - 3.5%'!$R$13</f>
        <v>522.03493552630005</v>
      </c>
      <c r="M92" s="38">
        <f t="shared" si="5"/>
        <v>5.2489789367540451E-2</v>
      </c>
      <c r="O92" s="11">
        <f t="shared" si="6"/>
        <v>26.034935526300046</v>
      </c>
    </row>
    <row r="93" spans="1:15" ht="15" x14ac:dyDescent="0.2">
      <c r="A93" s="14" t="s">
        <v>133</v>
      </c>
      <c r="B93" s="15" t="s">
        <v>134</v>
      </c>
      <c r="C93" s="16">
        <v>0</v>
      </c>
      <c r="D93" s="11">
        <v>11442.46</v>
      </c>
      <c r="E93" s="11">
        <v>4424.22</v>
      </c>
      <c r="F93" s="11">
        <v>3650.56</v>
      </c>
      <c r="G93" s="11">
        <v>3376.96</v>
      </c>
      <c r="H93" s="3"/>
      <c r="I93" s="11">
        <v>5000</v>
      </c>
      <c r="J93" s="11">
        <v>5000</v>
      </c>
      <c r="K93" s="3"/>
      <c r="L93" s="11">
        <v>5000</v>
      </c>
      <c r="M93" s="38">
        <f t="shared" si="5"/>
        <v>0</v>
      </c>
      <c r="O93" s="11">
        <f t="shared" si="6"/>
        <v>0</v>
      </c>
    </row>
    <row r="94" spans="1:15" ht="15" x14ac:dyDescent="0.2">
      <c r="A94" s="14" t="s">
        <v>135</v>
      </c>
      <c r="B94" s="15" t="s">
        <v>136</v>
      </c>
      <c r="C94" s="16">
        <v>0</v>
      </c>
      <c r="D94" s="11">
        <v>1059.43</v>
      </c>
      <c r="E94" s="11">
        <v>550.42999999999995</v>
      </c>
      <c r="F94" s="11">
        <v>323.07</v>
      </c>
      <c r="G94" s="11">
        <v>293.18</v>
      </c>
      <c r="H94" s="3"/>
      <c r="I94" s="11">
        <v>450</v>
      </c>
      <c r="J94" s="11">
        <v>450</v>
      </c>
      <c r="K94" s="3"/>
      <c r="L94" s="11">
        <v>450</v>
      </c>
      <c r="M94" s="38">
        <f t="shared" si="5"/>
        <v>0</v>
      </c>
      <c r="O94" s="11">
        <f t="shared" si="6"/>
        <v>0</v>
      </c>
    </row>
    <row r="95" spans="1:15" ht="15" x14ac:dyDescent="0.2">
      <c r="A95" s="14" t="s">
        <v>137</v>
      </c>
      <c r="B95" s="15" t="s">
        <v>138</v>
      </c>
      <c r="C95" s="16">
        <v>12</v>
      </c>
      <c r="D95" s="11">
        <v>19.940000000000001</v>
      </c>
      <c r="E95" s="11">
        <v>117.15</v>
      </c>
      <c r="F95" s="11">
        <v>650.58000000000004</v>
      </c>
      <c r="G95" s="11">
        <v>-239.21</v>
      </c>
      <c r="H95" s="3"/>
      <c r="I95" s="11">
        <v>15</v>
      </c>
      <c r="J95" s="11">
        <v>15</v>
      </c>
      <c r="K95" s="3"/>
      <c r="L95" s="11">
        <v>15</v>
      </c>
      <c r="M95" s="38">
        <f t="shared" si="5"/>
        <v>0</v>
      </c>
      <c r="O95" s="11">
        <f t="shared" si="6"/>
        <v>0</v>
      </c>
    </row>
    <row r="96" spans="1:15" ht="15" x14ac:dyDescent="0.2">
      <c r="A96" s="14" t="s">
        <v>139</v>
      </c>
      <c r="B96" s="15" t="s">
        <v>140</v>
      </c>
      <c r="C96" s="16">
        <v>15361</v>
      </c>
      <c r="D96" s="11">
        <v>19630.669999999998</v>
      </c>
      <c r="E96" s="11">
        <v>17868.97</v>
      </c>
      <c r="F96" s="11">
        <v>22859.69</v>
      </c>
      <c r="G96" s="11">
        <v>21956.58</v>
      </c>
      <c r="H96" s="3"/>
      <c r="I96" s="11">
        <v>30000</v>
      </c>
      <c r="J96" s="11">
        <v>30000</v>
      </c>
      <c r="K96" s="3"/>
      <c r="L96" s="11">
        <v>30000</v>
      </c>
      <c r="M96" s="38">
        <f t="shared" si="5"/>
        <v>0</v>
      </c>
      <c r="O96" s="11">
        <f t="shared" si="6"/>
        <v>0</v>
      </c>
    </row>
    <row r="97" spans="1:15" ht="15" x14ac:dyDescent="0.2">
      <c r="A97" s="14" t="s">
        <v>141</v>
      </c>
      <c r="B97" s="15" t="s">
        <v>142</v>
      </c>
      <c r="C97" s="16">
        <v>2450</v>
      </c>
      <c r="D97" s="11">
        <v>2907.5</v>
      </c>
      <c r="E97" s="11">
        <v>2185</v>
      </c>
      <c r="F97" s="11">
        <v>3020</v>
      </c>
      <c r="G97" s="11">
        <v>3274</v>
      </c>
      <c r="H97" s="3"/>
      <c r="I97" s="11">
        <v>2900</v>
      </c>
      <c r="J97" s="11">
        <v>6000</v>
      </c>
      <c r="K97" s="3"/>
      <c r="L97" s="11">
        <v>2900</v>
      </c>
      <c r="M97" s="38">
        <f t="shared" si="5"/>
        <v>-0.51666666666666661</v>
      </c>
      <c r="O97" s="11">
        <f t="shared" si="6"/>
        <v>-3100</v>
      </c>
    </row>
    <row r="98" spans="1:15" ht="15" x14ac:dyDescent="0.2">
      <c r="A98" s="14" t="s">
        <v>143</v>
      </c>
      <c r="B98" s="15" t="s">
        <v>144</v>
      </c>
      <c r="C98" s="16">
        <v>212</v>
      </c>
      <c r="D98" s="11">
        <v>427.5</v>
      </c>
      <c r="E98" s="11">
        <v>432</v>
      </c>
      <c r="F98" s="11">
        <v>438</v>
      </c>
      <c r="G98" s="11">
        <v>441</v>
      </c>
      <c r="H98" s="3"/>
      <c r="I98" s="11">
        <v>500</v>
      </c>
      <c r="J98" s="11">
        <v>500</v>
      </c>
      <c r="K98" s="3"/>
      <c r="L98" s="11">
        <v>500</v>
      </c>
      <c r="M98" s="38">
        <f t="shared" si="5"/>
        <v>0</v>
      </c>
      <c r="O98" s="11">
        <f t="shared" si="6"/>
        <v>0</v>
      </c>
    </row>
    <row r="99" spans="1:15" ht="15" x14ac:dyDescent="0.2">
      <c r="A99" s="14" t="s">
        <v>145</v>
      </c>
      <c r="B99" s="15" t="s">
        <v>146</v>
      </c>
      <c r="C99" s="16">
        <v>4463</v>
      </c>
      <c r="D99" s="11">
        <v>1800.73</v>
      </c>
      <c r="E99" s="11">
        <v>547.07000000000005</v>
      </c>
      <c r="F99" s="11">
        <v>8821.2900000000009</v>
      </c>
      <c r="G99" s="11">
        <v>3991.24</v>
      </c>
      <c r="H99" s="3"/>
      <c r="I99" s="11">
        <v>2500</v>
      </c>
      <c r="J99" s="11">
        <v>2500</v>
      </c>
      <c r="K99" s="3"/>
      <c r="L99" s="11">
        <v>2500</v>
      </c>
      <c r="M99" s="38">
        <f t="shared" si="5"/>
        <v>0</v>
      </c>
      <c r="O99" s="11">
        <f t="shared" si="6"/>
        <v>0</v>
      </c>
    </row>
    <row r="100" spans="1:15" ht="15" x14ac:dyDescent="0.2">
      <c r="A100" s="14" t="s">
        <v>147</v>
      </c>
      <c r="B100" s="15" t="s">
        <v>148</v>
      </c>
      <c r="C100" s="16">
        <v>800</v>
      </c>
      <c r="D100" s="11">
        <v>5400</v>
      </c>
      <c r="E100" s="11">
        <v>4649.26</v>
      </c>
      <c r="F100" s="11">
        <f>27.75+5712.29</f>
        <v>5740.04</v>
      </c>
      <c r="G100" s="11">
        <v>3693.08</v>
      </c>
      <c r="H100" s="3"/>
      <c r="I100" s="11">
        <v>7000</v>
      </c>
      <c r="J100" s="11">
        <v>7000</v>
      </c>
      <c r="K100" s="3"/>
      <c r="L100" s="11">
        <v>7000</v>
      </c>
      <c r="M100" s="38">
        <f t="shared" si="5"/>
        <v>0</v>
      </c>
      <c r="O100" s="11">
        <f t="shared" si="6"/>
        <v>0</v>
      </c>
    </row>
    <row r="101" spans="1:15" ht="15" x14ac:dyDescent="0.2">
      <c r="A101" s="14" t="s">
        <v>149</v>
      </c>
      <c r="B101" s="15" t="s">
        <v>150</v>
      </c>
      <c r="C101" s="16">
        <v>6393</v>
      </c>
      <c r="D101" s="11">
        <v>13331.78</v>
      </c>
      <c r="E101" s="11">
        <v>6194.78</v>
      </c>
      <c r="F101" s="11">
        <v>10546.53</v>
      </c>
      <c r="G101" s="11">
        <v>8908.3700000000008</v>
      </c>
      <c r="H101" s="3"/>
      <c r="I101" s="11">
        <v>12000</v>
      </c>
      <c r="J101" s="11">
        <v>12000</v>
      </c>
      <c r="K101" s="3"/>
      <c r="L101" s="11">
        <v>12000</v>
      </c>
      <c r="M101" s="38">
        <f t="shared" si="5"/>
        <v>0</v>
      </c>
      <c r="O101" s="11">
        <f t="shared" si="6"/>
        <v>0</v>
      </c>
    </row>
    <row r="102" spans="1:15" ht="15" x14ac:dyDescent="0.2">
      <c r="A102" s="14" t="s">
        <v>151</v>
      </c>
      <c r="B102" s="15" t="s">
        <v>152</v>
      </c>
      <c r="C102" s="16">
        <v>123595</v>
      </c>
      <c r="D102" s="11">
        <v>77893.25</v>
      </c>
      <c r="E102" s="11">
        <v>111072.12</v>
      </c>
      <c r="F102" s="11">
        <v>67595.73</v>
      </c>
      <c r="G102" s="11">
        <v>35353.14</v>
      </c>
      <c r="H102" s="3"/>
      <c r="I102" s="11">
        <v>75000</v>
      </c>
      <c r="J102" s="11">
        <v>75000</v>
      </c>
      <c r="K102" s="3"/>
      <c r="L102" s="11">
        <v>75000</v>
      </c>
      <c r="M102" s="38">
        <f t="shared" si="5"/>
        <v>0</v>
      </c>
      <c r="O102" s="11">
        <f t="shared" si="6"/>
        <v>0</v>
      </c>
    </row>
    <row r="103" spans="1:15" ht="15" x14ac:dyDescent="0.2">
      <c r="A103" s="14" t="s">
        <v>153</v>
      </c>
      <c r="B103" s="15" t="s">
        <v>154</v>
      </c>
      <c r="C103" s="16">
        <v>69989</v>
      </c>
      <c r="D103" s="11">
        <v>67934.31</v>
      </c>
      <c r="E103" s="11">
        <v>54600.33</v>
      </c>
      <c r="F103" s="11">
        <v>64303.13</v>
      </c>
      <c r="G103" s="11">
        <v>45856.43</v>
      </c>
      <c r="H103" s="3"/>
      <c r="I103" s="11">
        <v>70000</v>
      </c>
      <c r="J103" s="11">
        <v>70000</v>
      </c>
      <c r="K103" s="3"/>
      <c r="L103" s="11">
        <v>70000</v>
      </c>
      <c r="M103" s="38">
        <f t="shared" si="5"/>
        <v>0</v>
      </c>
      <c r="O103" s="11">
        <f t="shared" si="6"/>
        <v>0</v>
      </c>
    </row>
    <row r="104" spans="1:15" ht="15" x14ac:dyDescent="0.2">
      <c r="A104" s="14" t="s">
        <v>155</v>
      </c>
      <c r="B104" s="15" t="s">
        <v>156</v>
      </c>
      <c r="C104" s="16">
        <v>273</v>
      </c>
      <c r="D104" s="11">
        <v>1021.46</v>
      </c>
      <c r="E104" s="11">
        <v>1050</v>
      </c>
      <c r="F104" s="11">
        <v>847.7</v>
      </c>
      <c r="G104" s="11">
        <v>2742</v>
      </c>
      <c r="H104" s="3"/>
      <c r="I104" s="11">
        <v>2500</v>
      </c>
      <c r="J104" s="11">
        <v>2500</v>
      </c>
      <c r="K104" s="3"/>
      <c r="L104" s="11">
        <v>2500</v>
      </c>
      <c r="M104" s="38">
        <f t="shared" si="5"/>
        <v>0</v>
      </c>
      <c r="O104" s="11">
        <f t="shared" si="6"/>
        <v>0</v>
      </c>
    </row>
    <row r="105" spans="1:15" ht="15" x14ac:dyDescent="0.2">
      <c r="A105" s="14" t="s">
        <v>157</v>
      </c>
      <c r="B105" s="15" t="s">
        <v>158</v>
      </c>
      <c r="C105" s="16">
        <v>1090</v>
      </c>
      <c r="D105" s="11">
        <v>4187.83</v>
      </c>
      <c r="E105" s="11">
        <v>10491.92</v>
      </c>
      <c r="F105" s="11">
        <v>6520.29</v>
      </c>
      <c r="G105" s="11">
        <v>3149.6</v>
      </c>
      <c r="H105" s="3"/>
      <c r="I105" s="11">
        <v>7500</v>
      </c>
      <c r="J105" s="11">
        <v>7500</v>
      </c>
      <c r="K105" s="3"/>
      <c r="L105" s="11">
        <v>7500</v>
      </c>
      <c r="M105" s="38">
        <f t="shared" si="5"/>
        <v>0</v>
      </c>
      <c r="O105" s="11">
        <f t="shared" si="6"/>
        <v>0</v>
      </c>
    </row>
    <row r="106" spans="1:15" ht="15" x14ac:dyDescent="0.2">
      <c r="A106" s="14" t="s">
        <v>159</v>
      </c>
      <c r="B106" s="15" t="s">
        <v>160</v>
      </c>
      <c r="C106" s="16">
        <v>13862</v>
      </c>
      <c r="D106" s="11">
        <v>15086.37</v>
      </c>
      <c r="E106" s="11">
        <v>14827.27</v>
      </c>
      <c r="F106" s="11">
        <v>14232.8</v>
      </c>
      <c r="G106" s="11">
        <v>9257</v>
      </c>
      <c r="H106" s="3"/>
      <c r="I106" s="11">
        <v>10000</v>
      </c>
      <c r="J106" s="11">
        <v>10000</v>
      </c>
      <c r="K106" s="3"/>
      <c r="L106" s="11">
        <v>10000</v>
      </c>
      <c r="M106" s="38">
        <f t="shared" si="5"/>
        <v>0</v>
      </c>
      <c r="O106" s="11">
        <f t="shared" si="6"/>
        <v>0</v>
      </c>
    </row>
    <row r="107" spans="1:15" ht="15" x14ac:dyDescent="0.2">
      <c r="A107" s="14" t="s">
        <v>161</v>
      </c>
      <c r="B107" s="15" t="s">
        <v>162</v>
      </c>
      <c r="C107" s="16">
        <v>6413</v>
      </c>
      <c r="D107" s="11">
        <v>4831.68</v>
      </c>
      <c r="E107" s="11">
        <v>987.24</v>
      </c>
      <c r="F107" s="11">
        <v>1546</v>
      </c>
      <c r="G107" s="11">
        <v>0</v>
      </c>
      <c r="H107" s="3"/>
      <c r="I107" s="11">
        <v>2000</v>
      </c>
      <c r="J107" s="11">
        <v>2000</v>
      </c>
      <c r="K107" s="3"/>
      <c r="L107" s="11">
        <v>2000</v>
      </c>
      <c r="M107" s="38">
        <f t="shared" si="5"/>
        <v>0</v>
      </c>
      <c r="O107" s="11">
        <f t="shared" si="6"/>
        <v>0</v>
      </c>
    </row>
    <row r="108" spans="1:15" ht="15" x14ac:dyDescent="0.2">
      <c r="A108" s="14" t="s">
        <v>163</v>
      </c>
      <c r="B108" s="15" t="s">
        <v>80</v>
      </c>
      <c r="C108" s="16">
        <v>2119</v>
      </c>
      <c r="D108" s="11">
        <v>5919.82</v>
      </c>
      <c r="E108" s="11">
        <v>4906.71</v>
      </c>
      <c r="F108" s="11">
        <v>3419.16</v>
      </c>
      <c r="G108" s="11">
        <v>1490.69</v>
      </c>
      <c r="H108" s="3"/>
      <c r="I108" s="11">
        <v>5000</v>
      </c>
      <c r="J108" s="11">
        <v>5000</v>
      </c>
      <c r="K108" s="3"/>
      <c r="L108" s="11">
        <v>5000</v>
      </c>
      <c r="M108" s="38">
        <f t="shared" si="5"/>
        <v>0</v>
      </c>
      <c r="O108" s="11">
        <f t="shared" si="6"/>
        <v>0</v>
      </c>
    </row>
    <row r="109" spans="1:15" ht="15" x14ac:dyDescent="0.2">
      <c r="A109" s="14">
        <v>6021800</v>
      </c>
      <c r="B109" s="15" t="s">
        <v>164</v>
      </c>
      <c r="C109" s="16"/>
      <c r="D109" s="11"/>
      <c r="E109" s="11"/>
      <c r="F109" s="11">
        <v>187.03</v>
      </c>
      <c r="G109" s="11"/>
      <c r="H109" s="3"/>
      <c r="I109" s="11"/>
      <c r="J109" s="11"/>
      <c r="K109" s="3"/>
      <c r="L109" s="11"/>
    </row>
    <row r="110" spans="1:15" ht="15" x14ac:dyDescent="0.2">
      <c r="A110" s="14"/>
      <c r="B110" s="15"/>
      <c r="C110" s="16"/>
      <c r="D110" s="11"/>
      <c r="E110" s="11"/>
      <c r="F110" s="11"/>
      <c r="G110" s="11"/>
      <c r="H110" s="3"/>
      <c r="I110" s="11"/>
      <c r="J110" s="11"/>
      <c r="K110" s="3"/>
      <c r="L110" s="11"/>
    </row>
    <row r="111" spans="1:15" ht="15" x14ac:dyDescent="0.25">
      <c r="A111" s="29"/>
      <c r="B111" s="30" t="s">
        <v>165</v>
      </c>
      <c r="C111" s="16">
        <f>SUM(C88:C109)</f>
        <v>558604</v>
      </c>
      <c r="D111" s="11">
        <f>SUM(D88:D109)</f>
        <v>621221.34999999986</v>
      </c>
      <c r="E111" s="11">
        <f>SUM(E88:E109)</f>
        <v>626244.35000000009</v>
      </c>
      <c r="F111" s="11">
        <f>SUM(F88:F109)</f>
        <v>660847.58600000013</v>
      </c>
      <c r="G111" s="11">
        <f>SUM(G88:G109)</f>
        <v>434031.6</v>
      </c>
      <c r="H111" s="3"/>
      <c r="I111" s="11">
        <f>SUM(I88:I109)</f>
        <v>721901</v>
      </c>
      <c r="J111" s="11">
        <f>SUM(J88:J109)</f>
        <v>725001</v>
      </c>
      <c r="K111" s="3"/>
      <c r="L111" s="11">
        <f>SUM(L88:L109)</f>
        <v>755615.17355188623</v>
      </c>
      <c r="M111" s="38">
        <f>+L111/J111-1</f>
        <v>4.2226388035169871E-2</v>
      </c>
    </row>
    <row r="112" spans="1:15" ht="15" x14ac:dyDescent="0.25">
      <c r="A112" s="29"/>
      <c r="B112" s="30"/>
      <c r="C112" s="16"/>
      <c r="D112" s="11"/>
      <c r="E112" s="11"/>
      <c r="F112" s="11"/>
      <c r="G112" s="11"/>
      <c r="H112" s="3"/>
      <c r="I112" s="11"/>
      <c r="J112" s="11"/>
      <c r="K112" s="3"/>
      <c r="L112" s="11"/>
    </row>
    <row r="113" spans="1:13" ht="15" x14ac:dyDescent="0.2">
      <c r="A113" s="14" t="s">
        <v>166</v>
      </c>
      <c r="B113" s="15" t="s">
        <v>124</v>
      </c>
      <c r="C113" s="16">
        <v>76083</v>
      </c>
      <c r="D113" s="11">
        <v>79040.23</v>
      </c>
      <c r="E113" s="11">
        <v>43912.42</v>
      </c>
      <c r="F113" s="11">
        <v>78104.09</v>
      </c>
      <c r="G113" s="11">
        <v>52944.25</v>
      </c>
      <c r="H113" s="3"/>
      <c r="I113" s="11">
        <v>73917</v>
      </c>
      <c r="J113" s="11">
        <v>73917</v>
      </c>
      <c r="K113" s="3"/>
      <c r="L113" s="11">
        <f>+'[1]Non-Union - 3.5%'!$I$37+'[1]Non-Union - 3.5%'!$V$37</f>
        <v>76501.61099999999</v>
      </c>
      <c r="M113" s="38">
        <f t="shared" ref="M113:M115" si="7">+L113/J113-1</f>
        <v>3.4966394740046036E-2</v>
      </c>
    </row>
    <row r="114" spans="1:13" ht="15" x14ac:dyDescent="0.2">
      <c r="A114" s="14" t="s">
        <v>167</v>
      </c>
      <c r="B114" s="15" t="s">
        <v>126</v>
      </c>
      <c r="C114" s="16">
        <v>6414</v>
      </c>
      <c r="D114" s="11">
        <v>6815.97</v>
      </c>
      <c r="E114" s="11">
        <v>3560.42</v>
      </c>
      <c r="F114" s="11">
        <v>6311.4</v>
      </c>
      <c r="G114" s="11">
        <v>4111.22</v>
      </c>
      <c r="H114" s="3"/>
      <c r="I114" s="11">
        <f>539+5374</f>
        <v>5913</v>
      </c>
      <c r="J114" s="11">
        <v>5913</v>
      </c>
      <c r="K114" s="3"/>
      <c r="L114" s="11">
        <f>+'[1]Non-Union - 3.5%'!$P$37+'[1]Non-Union - 3.5%'!$Z$37</f>
        <v>6120.1288800000002</v>
      </c>
      <c r="M114" s="38">
        <f t="shared" si="7"/>
        <v>3.502940639269414E-2</v>
      </c>
    </row>
    <row r="115" spans="1:13" ht="15" x14ac:dyDescent="0.2">
      <c r="A115" s="14" t="s">
        <v>168</v>
      </c>
      <c r="B115" s="15" t="s">
        <v>128</v>
      </c>
      <c r="C115" s="16">
        <v>33023</v>
      </c>
      <c r="D115" s="11">
        <v>43423.3</v>
      </c>
      <c r="E115" s="11">
        <v>24854.54</v>
      </c>
      <c r="F115" s="11">
        <v>32649.040000000001</v>
      </c>
      <c r="G115" s="11">
        <v>25625</v>
      </c>
      <c r="H115" s="3"/>
      <c r="I115" s="11">
        <v>36757</v>
      </c>
      <c r="J115" s="11">
        <v>36756</v>
      </c>
      <c r="K115" s="3"/>
      <c r="L115" s="11">
        <f>+SUM('[1]Non-Union - 3.5%'!$K$37:$N$37)</f>
        <v>43510.62</v>
      </c>
      <c r="M115" s="38">
        <f t="shared" si="7"/>
        <v>0.18376918054195235</v>
      </c>
    </row>
    <row r="116" spans="1:13" ht="15" x14ac:dyDescent="0.2">
      <c r="A116" s="14" t="s">
        <v>169</v>
      </c>
      <c r="B116" s="15" t="s">
        <v>130</v>
      </c>
      <c r="C116" s="16">
        <v>1206</v>
      </c>
      <c r="D116" s="11">
        <v>1242.4000000000001</v>
      </c>
      <c r="E116" s="11">
        <v>0</v>
      </c>
      <c r="F116" s="11">
        <v>0</v>
      </c>
      <c r="G116" s="11">
        <v>0</v>
      </c>
      <c r="H116" s="3"/>
      <c r="I116" s="11"/>
      <c r="J116" s="11"/>
      <c r="K116" s="3"/>
      <c r="L116" s="11"/>
    </row>
    <row r="117" spans="1:13" ht="15" x14ac:dyDescent="0.2">
      <c r="A117" s="14" t="s">
        <v>170</v>
      </c>
      <c r="B117" s="15" t="s">
        <v>171</v>
      </c>
      <c r="C117" s="16">
        <v>1435</v>
      </c>
      <c r="D117" s="11">
        <v>-158.06</v>
      </c>
      <c r="E117" s="11">
        <v>0</v>
      </c>
      <c r="F117" s="11">
        <v>0</v>
      </c>
      <c r="G117" s="11">
        <v>284.5</v>
      </c>
      <c r="H117" s="3"/>
      <c r="I117" s="11">
        <v>500</v>
      </c>
      <c r="J117" s="11">
        <v>500</v>
      </c>
      <c r="K117" s="3"/>
      <c r="L117" s="11">
        <v>500</v>
      </c>
      <c r="M117" s="38">
        <f t="shared" ref="M117:M124" si="8">+L117/J117-1</f>
        <v>0</v>
      </c>
    </row>
    <row r="118" spans="1:13" ht="15" x14ac:dyDescent="0.2">
      <c r="A118" s="14" t="s">
        <v>172</v>
      </c>
      <c r="B118" s="15" t="s">
        <v>132</v>
      </c>
      <c r="C118" s="16">
        <v>391</v>
      </c>
      <c r="D118" s="11">
        <v>321.33999999999997</v>
      </c>
      <c r="E118" s="11">
        <v>1026.3</v>
      </c>
      <c r="F118" s="11">
        <v>1301.3599999999999</v>
      </c>
      <c r="G118" s="11">
        <v>929.28</v>
      </c>
      <c r="H118" s="3"/>
      <c r="I118" s="11">
        <v>325</v>
      </c>
      <c r="J118" s="11">
        <v>326</v>
      </c>
      <c r="K118" s="3"/>
      <c r="L118" s="11">
        <f>+'[1]Non-Union - 3.5%'!$R$37+'[1]Non-Union - 3.5%'!$Y$37</f>
        <v>337.60708839999995</v>
      </c>
      <c r="M118" s="38">
        <f t="shared" si="8"/>
        <v>3.5604565644171693E-2</v>
      </c>
    </row>
    <row r="119" spans="1:13" ht="15" x14ac:dyDescent="0.2">
      <c r="A119" s="14" t="s">
        <v>173</v>
      </c>
      <c r="B119" s="15" t="s">
        <v>134</v>
      </c>
      <c r="C119" s="16">
        <v>16553</v>
      </c>
      <c r="D119" s="11">
        <v>57169.25</v>
      </c>
      <c r="E119" s="11">
        <v>81223.45</v>
      </c>
      <c r="F119" s="11">
        <v>80574.27</v>
      </c>
      <c r="G119" s="11">
        <v>91053.41</v>
      </c>
      <c r="H119" s="3"/>
      <c r="I119" s="11">
        <v>83250</v>
      </c>
      <c r="J119" s="11">
        <v>83250</v>
      </c>
      <c r="K119" s="3"/>
      <c r="L119" s="11">
        <v>94825</v>
      </c>
      <c r="M119" s="38">
        <f t="shared" si="8"/>
        <v>0.13903903903903903</v>
      </c>
    </row>
    <row r="120" spans="1:13" ht="15" x14ac:dyDescent="0.2">
      <c r="A120" s="14" t="s">
        <v>174</v>
      </c>
      <c r="B120" s="15" t="s">
        <v>136</v>
      </c>
      <c r="C120" s="16">
        <v>2648</v>
      </c>
      <c r="D120" s="11">
        <v>4799.67</v>
      </c>
      <c r="E120" s="11">
        <f>4917.14+80.26</f>
        <v>4997.4000000000005</v>
      </c>
      <c r="F120" s="11">
        <v>5512.81</v>
      </c>
      <c r="G120" s="11">
        <v>6809.54</v>
      </c>
      <c r="H120" s="3"/>
      <c r="I120" s="11">
        <v>8325</v>
      </c>
      <c r="J120" s="11">
        <v>8325</v>
      </c>
      <c r="K120" s="3"/>
      <c r="L120" s="11">
        <v>9427.25</v>
      </c>
      <c r="M120" s="38">
        <f t="shared" si="8"/>
        <v>0.13240240240240242</v>
      </c>
    </row>
    <row r="121" spans="1:13" ht="15" x14ac:dyDescent="0.2">
      <c r="A121" s="14" t="s">
        <v>175</v>
      </c>
      <c r="B121" s="15" t="s">
        <v>176</v>
      </c>
      <c r="C121" s="16">
        <v>0</v>
      </c>
      <c r="D121" s="11">
        <v>1173.17</v>
      </c>
      <c r="E121" s="11">
        <v>1248.1099999999999</v>
      </c>
      <c r="F121" s="11">
        <v>2017.2</v>
      </c>
      <c r="G121" s="11">
        <v>2958.49</v>
      </c>
      <c r="H121" s="3"/>
      <c r="I121" s="11">
        <v>3000</v>
      </c>
      <c r="J121" s="11">
        <v>3000</v>
      </c>
      <c r="K121" s="3"/>
      <c r="L121" s="11">
        <v>3000</v>
      </c>
      <c r="M121" s="38">
        <f t="shared" si="8"/>
        <v>0</v>
      </c>
    </row>
    <row r="122" spans="1:13" ht="15" x14ac:dyDescent="0.2">
      <c r="A122" s="14" t="s">
        <v>177</v>
      </c>
      <c r="B122" s="15" t="s">
        <v>138</v>
      </c>
      <c r="C122" s="16">
        <v>401</v>
      </c>
      <c r="D122" s="11">
        <v>362.49</v>
      </c>
      <c r="E122" s="11">
        <v>717.5</v>
      </c>
      <c r="F122" s="11">
        <v>8095.98</v>
      </c>
      <c r="G122" s="11">
        <v>-2329.25</v>
      </c>
      <c r="H122" s="3"/>
      <c r="I122" s="11">
        <v>366.3</v>
      </c>
      <c r="J122" s="11">
        <v>366</v>
      </c>
      <c r="K122" s="3"/>
      <c r="L122" s="11">
        <f>392.92+24.31</f>
        <v>417.23</v>
      </c>
      <c r="M122" s="38">
        <f t="shared" si="8"/>
        <v>0.13997267759562848</v>
      </c>
    </row>
    <row r="123" spans="1:13" ht="15" x14ac:dyDescent="0.2">
      <c r="A123" s="14" t="s">
        <v>178</v>
      </c>
      <c r="B123" s="15" t="s">
        <v>140</v>
      </c>
      <c r="C123" s="16">
        <v>10858</v>
      </c>
      <c r="D123" s="11">
        <v>10186.4</v>
      </c>
      <c r="E123" s="11">
        <v>7670.93</v>
      </c>
      <c r="F123" s="11">
        <v>10989.56</v>
      </c>
      <c r="G123" s="11">
        <v>6400.26</v>
      </c>
      <c r="H123" s="3"/>
      <c r="I123" s="11">
        <v>11130</v>
      </c>
      <c r="J123" s="11">
        <v>11130</v>
      </c>
      <c r="K123" s="3"/>
      <c r="L123" s="11">
        <v>11130</v>
      </c>
      <c r="M123" s="38">
        <f t="shared" si="8"/>
        <v>0</v>
      </c>
    </row>
    <row r="124" spans="1:13" ht="15" x14ac:dyDescent="0.2">
      <c r="A124" s="14" t="s">
        <v>179</v>
      </c>
      <c r="B124" s="15" t="s">
        <v>142</v>
      </c>
      <c r="C124" s="16">
        <v>0</v>
      </c>
      <c r="D124" s="11">
        <v>780</v>
      </c>
      <c r="E124" s="11">
        <v>2040</v>
      </c>
      <c r="F124" s="11">
        <v>2880</v>
      </c>
      <c r="G124" s="11">
        <v>1808</v>
      </c>
      <c r="H124" s="3"/>
      <c r="I124" s="11">
        <v>2880</v>
      </c>
      <c r="J124" s="11">
        <v>2880</v>
      </c>
      <c r="K124" s="3"/>
      <c r="L124" s="11">
        <v>2880</v>
      </c>
      <c r="M124" s="38">
        <f t="shared" si="8"/>
        <v>0</v>
      </c>
    </row>
    <row r="125" spans="1:13" ht="15" x14ac:dyDescent="0.2">
      <c r="A125" s="14" t="s">
        <v>180</v>
      </c>
      <c r="B125" s="15" t="s">
        <v>146</v>
      </c>
      <c r="C125" s="16">
        <v>9812</v>
      </c>
      <c r="D125" s="11">
        <v>7179.74</v>
      </c>
      <c r="E125" s="11">
        <v>2565.46</v>
      </c>
      <c r="F125" s="11">
        <v>471.52</v>
      </c>
      <c r="G125" s="11">
        <v>2092.15</v>
      </c>
      <c r="H125" s="3"/>
      <c r="I125" s="11"/>
      <c r="J125" s="11">
        <v>0</v>
      </c>
      <c r="K125" s="3"/>
      <c r="L125" s="11"/>
    </row>
    <row r="126" spans="1:13" ht="15" x14ac:dyDescent="0.2">
      <c r="A126" s="14" t="s">
        <v>181</v>
      </c>
      <c r="B126" s="15" t="s">
        <v>182</v>
      </c>
      <c r="C126" s="16">
        <v>0</v>
      </c>
      <c r="D126" s="11">
        <v>678.62</v>
      </c>
      <c r="E126" s="11">
        <v>13.48</v>
      </c>
      <c r="F126" s="11">
        <v>151.41</v>
      </c>
      <c r="G126" s="11">
        <v>46.12</v>
      </c>
      <c r="H126" s="3"/>
      <c r="I126" s="11">
        <v>200</v>
      </c>
      <c r="J126" s="11">
        <v>200</v>
      </c>
      <c r="K126" s="3"/>
      <c r="L126" s="11">
        <v>200</v>
      </c>
      <c r="M126" s="38">
        <f t="shared" ref="M126:M128" si="9">+L126/J126-1</f>
        <v>0</v>
      </c>
    </row>
    <row r="127" spans="1:13" ht="15" x14ac:dyDescent="0.2">
      <c r="A127" s="14" t="s">
        <v>183</v>
      </c>
      <c r="B127" s="15" t="s">
        <v>184</v>
      </c>
      <c r="C127" s="16">
        <v>170</v>
      </c>
      <c r="D127" s="11">
        <v>248.95</v>
      </c>
      <c r="E127" s="11">
        <v>1737.2</v>
      </c>
      <c r="F127" s="11">
        <v>0</v>
      </c>
      <c r="G127" s="11">
        <v>384.3</v>
      </c>
      <c r="H127" s="3"/>
      <c r="I127" s="11">
        <v>2500</v>
      </c>
      <c r="J127" s="11">
        <v>2500</v>
      </c>
      <c r="K127" s="3"/>
      <c r="L127" s="11">
        <v>2500</v>
      </c>
      <c r="M127" s="38">
        <f t="shared" si="9"/>
        <v>0</v>
      </c>
    </row>
    <row r="128" spans="1:13" ht="15" x14ac:dyDescent="0.2">
      <c r="A128" s="14" t="s">
        <v>185</v>
      </c>
      <c r="B128" s="15" t="s">
        <v>152</v>
      </c>
      <c r="C128" s="16">
        <v>274</v>
      </c>
      <c r="D128" s="11">
        <v>278.35000000000002</v>
      </c>
      <c r="E128" s="11">
        <v>188.23</v>
      </c>
      <c r="F128" s="11">
        <v>295.79000000000002</v>
      </c>
      <c r="G128" s="11">
        <v>365.12</v>
      </c>
      <c r="H128" s="3"/>
      <c r="I128" s="11">
        <v>500</v>
      </c>
      <c r="J128" s="11">
        <v>500</v>
      </c>
      <c r="K128" s="3"/>
      <c r="L128" s="11">
        <v>500</v>
      </c>
      <c r="M128" s="38">
        <f t="shared" si="9"/>
        <v>0</v>
      </c>
    </row>
    <row r="129" spans="1:13" ht="15" x14ac:dyDescent="0.2">
      <c r="A129" s="14" t="s">
        <v>186</v>
      </c>
      <c r="B129" s="15" t="s">
        <v>156</v>
      </c>
      <c r="C129" s="16">
        <v>0</v>
      </c>
      <c r="D129" s="11">
        <v>849.2</v>
      </c>
      <c r="E129" s="11"/>
      <c r="F129" s="11">
        <v>0</v>
      </c>
      <c r="G129" s="11">
        <v>0</v>
      </c>
      <c r="H129" s="3"/>
      <c r="I129" s="11"/>
      <c r="J129" s="11"/>
      <c r="K129" s="3"/>
      <c r="L129" s="11"/>
    </row>
    <row r="130" spans="1:13" ht="15" x14ac:dyDescent="0.2">
      <c r="A130" s="14" t="s">
        <v>187</v>
      </c>
      <c r="B130" s="15" t="s">
        <v>158</v>
      </c>
      <c r="C130" s="16">
        <v>156</v>
      </c>
      <c r="D130" s="11">
        <v>0</v>
      </c>
      <c r="E130" s="11">
        <v>0</v>
      </c>
      <c r="F130" s="11">
        <v>0</v>
      </c>
      <c r="G130" s="11">
        <v>0</v>
      </c>
      <c r="H130" s="3"/>
      <c r="I130" s="11">
        <v>1000</v>
      </c>
      <c r="J130" s="11">
        <v>1000</v>
      </c>
      <c r="K130" s="3"/>
      <c r="L130" s="11">
        <v>1000</v>
      </c>
      <c r="M130" s="38">
        <f t="shared" ref="M130:M133" si="10">+L130/J130-1</f>
        <v>0</v>
      </c>
    </row>
    <row r="131" spans="1:13" ht="15" x14ac:dyDescent="0.2">
      <c r="A131" s="14" t="s">
        <v>188</v>
      </c>
      <c r="B131" s="15" t="s">
        <v>160</v>
      </c>
      <c r="C131" s="16">
        <v>3361</v>
      </c>
      <c r="D131" s="11">
        <v>5796.52</v>
      </c>
      <c r="E131" s="11">
        <v>2531.19</v>
      </c>
      <c r="F131" s="11">
        <v>4850.5600000000004</v>
      </c>
      <c r="G131" s="11">
        <v>1651.74</v>
      </c>
      <c r="H131" s="3"/>
      <c r="I131" s="11">
        <v>7000</v>
      </c>
      <c r="J131" s="11">
        <v>7000</v>
      </c>
      <c r="K131" s="3"/>
      <c r="L131" s="11">
        <v>7000</v>
      </c>
      <c r="M131" s="38">
        <f t="shared" si="10"/>
        <v>0</v>
      </c>
    </row>
    <row r="132" spans="1:13" ht="15" x14ac:dyDescent="0.2">
      <c r="A132" s="14" t="s">
        <v>189</v>
      </c>
      <c r="B132" s="15" t="s">
        <v>80</v>
      </c>
      <c r="C132" s="16">
        <v>2862</v>
      </c>
      <c r="D132" s="11">
        <v>2240.1999999999998</v>
      </c>
      <c r="E132" s="11">
        <v>331.83</v>
      </c>
      <c r="F132" s="11">
        <v>65.14</v>
      </c>
      <c r="G132" s="11">
        <v>447.89</v>
      </c>
      <c r="H132" s="3"/>
      <c r="I132" s="11">
        <v>1500</v>
      </c>
      <c r="J132" s="11">
        <v>1500</v>
      </c>
      <c r="K132" s="3"/>
      <c r="L132" s="11">
        <v>1500</v>
      </c>
      <c r="M132" s="38">
        <f t="shared" si="10"/>
        <v>0</v>
      </c>
    </row>
    <row r="133" spans="1:13" ht="15" x14ac:dyDescent="0.2">
      <c r="A133" s="14" t="s">
        <v>190</v>
      </c>
      <c r="B133" s="15" t="s">
        <v>164</v>
      </c>
      <c r="C133" s="16">
        <v>1185</v>
      </c>
      <c r="D133" s="11">
        <v>1175.76</v>
      </c>
      <c r="E133" s="11">
        <v>220</v>
      </c>
      <c r="F133" s="11">
        <v>883.97</v>
      </c>
      <c r="G133" s="11">
        <v>703</v>
      </c>
      <c r="H133" s="3"/>
      <c r="I133" s="11">
        <v>1500</v>
      </c>
      <c r="J133" s="11">
        <v>1500</v>
      </c>
      <c r="K133" s="3"/>
      <c r="L133" s="11">
        <v>1500</v>
      </c>
      <c r="M133" s="38">
        <f t="shared" si="10"/>
        <v>0</v>
      </c>
    </row>
    <row r="134" spans="1:13" ht="15" x14ac:dyDescent="0.2">
      <c r="A134" s="14">
        <v>6052000</v>
      </c>
      <c r="B134" s="15" t="s">
        <v>191</v>
      </c>
      <c r="C134" s="16"/>
      <c r="D134" s="11"/>
      <c r="E134" s="11"/>
      <c r="F134" s="11">
        <v>0</v>
      </c>
      <c r="G134" s="11">
        <v>0</v>
      </c>
      <c r="H134" s="3"/>
      <c r="I134" s="11"/>
      <c r="J134" s="11"/>
      <c r="K134" s="3"/>
      <c r="L134" s="11"/>
    </row>
    <row r="135" spans="1:13" ht="15" x14ac:dyDescent="0.2">
      <c r="A135" s="14"/>
      <c r="B135" s="15"/>
      <c r="C135" s="16"/>
      <c r="D135" s="11"/>
      <c r="E135" s="11"/>
      <c r="F135" s="11"/>
      <c r="G135" s="11"/>
      <c r="H135" s="3"/>
      <c r="I135" s="11"/>
      <c r="J135" s="11"/>
      <c r="K135" s="3"/>
      <c r="L135" s="11"/>
    </row>
    <row r="136" spans="1:13" ht="15" x14ac:dyDescent="0.25">
      <c r="A136" s="29"/>
      <c r="B136" s="30" t="s">
        <v>192</v>
      </c>
      <c r="C136" s="16">
        <f>SUM(C113:C134)</f>
        <v>166832</v>
      </c>
      <c r="D136" s="11">
        <f>SUM(D113:D134)</f>
        <v>223603.50000000003</v>
      </c>
      <c r="E136" s="11">
        <f>SUM(E113:E134)</f>
        <v>178838.46</v>
      </c>
      <c r="F136" s="11">
        <f>SUM(F113:F134)</f>
        <v>235154.10000000003</v>
      </c>
      <c r="G136" s="11">
        <f>SUM(G113:G134)</f>
        <v>196285.02</v>
      </c>
      <c r="H136" s="3"/>
      <c r="I136" s="11">
        <f>SUM(I113:I134)</f>
        <v>240563.3</v>
      </c>
      <c r="J136" s="11">
        <f>SUM(J113:J134)</f>
        <v>240563</v>
      </c>
      <c r="K136" s="3"/>
      <c r="L136" s="11">
        <f>SUM(L113:L134)</f>
        <v>262849.44696840004</v>
      </c>
      <c r="M136" s="38">
        <f>+L136/J136-1</f>
        <v>9.2642870966856972E-2</v>
      </c>
    </row>
    <row r="137" spans="1:13" ht="15" x14ac:dyDescent="0.25">
      <c r="A137" s="29"/>
      <c r="B137" s="30"/>
      <c r="C137" s="16"/>
      <c r="D137" s="11"/>
      <c r="E137" s="11"/>
      <c r="F137" s="11"/>
      <c r="G137" s="11"/>
      <c r="H137" s="3"/>
      <c r="I137" s="11"/>
      <c r="J137" s="11"/>
      <c r="K137" s="3"/>
      <c r="L137" s="11"/>
    </row>
    <row r="138" spans="1:13" ht="15" x14ac:dyDescent="0.2">
      <c r="A138" s="14" t="s">
        <v>193</v>
      </c>
      <c r="B138" s="15" t="s">
        <v>124</v>
      </c>
      <c r="C138" s="16">
        <v>51980</v>
      </c>
      <c r="D138" s="11">
        <v>54667.360000000001</v>
      </c>
      <c r="E138" s="11">
        <v>55705.91</v>
      </c>
      <c r="F138" s="11">
        <v>77351.539999999994</v>
      </c>
      <c r="G138" s="11">
        <v>67077.399999999994</v>
      </c>
      <c r="H138" s="3"/>
      <c r="I138" s="11">
        <v>110589</v>
      </c>
      <c r="J138" s="11">
        <v>110589</v>
      </c>
      <c r="K138" s="3"/>
      <c r="L138" s="11">
        <f>+'[1]Non-Union - 3.5%'!$I$43</f>
        <v>113560.2</v>
      </c>
      <c r="M138" s="38">
        <f t="shared" ref="M138:M145" si="11">+L138/J138-1</f>
        <v>2.6867048259772597E-2</v>
      </c>
    </row>
    <row r="139" spans="1:13" ht="15" x14ac:dyDescent="0.2">
      <c r="A139" s="14" t="s">
        <v>194</v>
      </c>
      <c r="B139" s="15" t="s">
        <v>126</v>
      </c>
      <c r="C139" s="16">
        <v>4106</v>
      </c>
      <c r="D139" s="11">
        <v>4775.8500000000004</v>
      </c>
      <c r="E139" s="11">
        <v>4564.83</v>
      </c>
      <c r="F139" s="11">
        <v>6504.31</v>
      </c>
      <c r="G139" s="11">
        <v>4632.8100000000004</v>
      </c>
      <c r="H139" s="3"/>
      <c r="I139" s="11">
        <v>8847</v>
      </c>
      <c r="J139" s="11">
        <v>8847</v>
      </c>
      <c r="K139" s="3"/>
      <c r="L139" s="11">
        <f>+'[1]Non-Union - 3.5%'!$P$43</f>
        <v>9084.8159999999989</v>
      </c>
      <c r="M139" s="38">
        <f t="shared" si="11"/>
        <v>2.6880976602237983E-2</v>
      </c>
    </row>
    <row r="140" spans="1:13" ht="15" x14ac:dyDescent="0.2">
      <c r="A140" s="14" t="s">
        <v>195</v>
      </c>
      <c r="B140" s="15" t="s">
        <v>128</v>
      </c>
      <c r="C140" s="16">
        <v>10250</v>
      </c>
      <c r="D140" s="11">
        <v>10725.34</v>
      </c>
      <c r="E140" s="11">
        <v>11006.55</v>
      </c>
      <c r="F140" s="11">
        <v>14335.23</v>
      </c>
      <c r="G140" s="11">
        <v>11031.78</v>
      </c>
      <c r="H140" s="3"/>
      <c r="I140" s="11">
        <v>15891</v>
      </c>
      <c r="J140" s="11">
        <v>15891</v>
      </c>
      <c r="K140" s="3"/>
      <c r="L140" s="11">
        <f>+SUM('[1]Non-Union - 3.5%'!$K$43:$N$43)</f>
        <v>18515.920000000002</v>
      </c>
      <c r="M140" s="38">
        <f t="shared" si="11"/>
        <v>0.16518280787867368</v>
      </c>
    </row>
    <row r="141" spans="1:13" ht="15" x14ac:dyDescent="0.2">
      <c r="A141" s="14" t="s">
        <v>196</v>
      </c>
      <c r="B141" s="15" t="s">
        <v>130</v>
      </c>
      <c r="C141" s="16">
        <v>1422</v>
      </c>
      <c r="D141" s="11">
        <v>1599.68</v>
      </c>
      <c r="E141" s="11">
        <v>2038.87</v>
      </c>
      <c r="F141" s="11">
        <v>1812.72</v>
      </c>
      <c r="G141" s="11">
        <v>1272.3599999999999</v>
      </c>
      <c r="H141" s="3"/>
      <c r="I141" s="11">
        <v>1950</v>
      </c>
      <c r="J141" s="11">
        <v>1950</v>
      </c>
      <c r="K141" s="3"/>
      <c r="L141" s="11">
        <f>+'[1]Non-Union - 3.5%'!$O$43</f>
        <v>2018.25</v>
      </c>
      <c r="M141" s="38">
        <f t="shared" si="11"/>
        <v>3.499999999999992E-2</v>
      </c>
    </row>
    <row r="142" spans="1:13" ht="15" x14ac:dyDescent="0.2">
      <c r="A142" s="14" t="s">
        <v>197</v>
      </c>
      <c r="B142" s="15" t="s">
        <v>171</v>
      </c>
      <c r="C142" s="16">
        <v>0</v>
      </c>
      <c r="D142" s="11">
        <v>42</v>
      </c>
      <c r="E142" s="11">
        <v>20</v>
      </c>
      <c r="F142" s="11">
        <v>0</v>
      </c>
      <c r="G142" s="11">
        <v>134.38999999999999</v>
      </c>
      <c r="H142" s="3"/>
      <c r="I142" s="11">
        <v>200</v>
      </c>
      <c r="J142" s="11">
        <v>200</v>
      </c>
      <c r="K142" s="3"/>
      <c r="L142" s="11">
        <v>200</v>
      </c>
      <c r="M142" s="38">
        <f t="shared" si="11"/>
        <v>0</v>
      </c>
    </row>
    <row r="143" spans="1:13" ht="15" x14ac:dyDescent="0.2">
      <c r="A143" s="14" t="s">
        <v>198</v>
      </c>
      <c r="B143" s="15" t="s">
        <v>132</v>
      </c>
      <c r="C143" s="16">
        <v>270</v>
      </c>
      <c r="D143" s="11"/>
      <c r="E143" s="11">
        <v>661.55</v>
      </c>
      <c r="F143" s="11">
        <v>1301.17</v>
      </c>
      <c r="G143" s="11">
        <v>1747.34</v>
      </c>
      <c r="H143" s="3"/>
      <c r="I143" s="11">
        <v>487</v>
      </c>
      <c r="J143" s="11">
        <v>487</v>
      </c>
      <c r="K143" s="3"/>
      <c r="L143" s="11">
        <f>+'[1]Non-Union - 3.5%'!$R$43</f>
        <v>499.66487999999998</v>
      </c>
      <c r="M143" s="38">
        <f t="shared" si="11"/>
        <v>2.6005913757700228E-2</v>
      </c>
    </row>
    <row r="144" spans="1:13" ht="15" x14ac:dyDescent="0.2">
      <c r="A144" s="14" t="s">
        <v>199</v>
      </c>
      <c r="B144" s="15" t="s">
        <v>200</v>
      </c>
      <c r="C144" s="16">
        <v>502</v>
      </c>
      <c r="D144" s="11">
        <v>545.34</v>
      </c>
      <c r="E144" s="11">
        <v>738.29</v>
      </c>
      <c r="F144" s="11">
        <v>1088.67</v>
      </c>
      <c r="G144" s="11">
        <v>1300.55</v>
      </c>
      <c r="H144" s="3"/>
      <c r="I144" s="11">
        <v>1000</v>
      </c>
      <c r="J144" s="11">
        <v>1000</v>
      </c>
      <c r="K144" s="3"/>
      <c r="L144" s="11">
        <v>1000</v>
      </c>
      <c r="M144" s="38">
        <f t="shared" si="11"/>
        <v>0</v>
      </c>
    </row>
    <row r="145" spans="1:13" ht="15" x14ac:dyDescent="0.2">
      <c r="A145" s="14" t="s">
        <v>201</v>
      </c>
      <c r="B145" s="15" t="s">
        <v>182</v>
      </c>
      <c r="C145" s="16">
        <v>960</v>
      </c>
      <c r="D145" s="11">
        <v>1524.36</v>
      </c>
      <c r="E145" s="11">
        <v>1848.74</v>
      </c>
      <c r="F145" s="11">
        <v>1790.09</v>
      </c>
      <c r="G145" s="11">
        <v>1692.08</v>
      </c>
      <c r="H145" s="3"/>
      <c r="I145" s="11">
        <v>2500</v>
      </c>
      <c r="J145" s="11">
        <v>2500</v>
      </c>
      <c r="K145" s="3"/>
      <c r="L145" s="11">
        <v>2500</v>
      </c>
      <c r="M145" s="38">
        <f t="shared" si="11"/>
        <v>0</v>
      </c>
    </row>
    <row r="146" spans="1:13" ht="15" x14ac:dyDescent="0.2">
      <c r="A146" s="14">
        <v>6060610</v>
      </c>
      <c r="B146" s="15" t="s">
        <v>184</v>
      </c>
      <c r="C146" s="16"/>
      <c r="D146" s="11"/>
      <c r="E146" s="11"/>
      <c r="F146" s="11">
        <v>453.95</v>
      </c>
      <c r="G146" s="11">
        <v>0</v>
      </c>
      <c r="H146" s="3"/>
      <c r="I146" s="11"/>
      <c r="J146" s="11"/>
      <c r="K146" s="3"/>
      <c r="L146" s="11"/>
    </row>
    <row r="147" spans="1:13" ht="15" x14ac:dyDescent="0.2">
      <c r="A147" s="14" t="s">
        <v>202</v>
      </c>
      <c r="B147" s="15" t="s">
        <v>156</v>
      </c>
      <c r="C147" s="16">
        <v>145</v>
      </c>
      <c r="D147" s="11">
        <v>200.74</v>
      </c>
      <c r="E147" s="11">
        <v>0</v>
      </c>
      <c r="F147" s="11"/>
      <c r="G147" s="11">
        <v>205</v>
      </c>
      <c r="H147" s="3"/>
      <c r="I147" s="11">
        <v>500</v>
      </c>
      <c r="J147" s="11">
        <v>500</v>
      </c>
      <c r="K147" s="3"/>
      <c r="L147" s="11">
        <v>500</v>
      </c>
      <c r="M147" s="38">
        <f t="shared" ref="M147:M150" si="12">+L147/J147-1</f>
        <v>0</v>
      </c>
    </row>
    <row r="148" spans="1:13" ht="15" x14ac:dyDescent="0.2">
      <c r="A148" s="14" t="s">
        <v>203</v>
      </c>
      <c r="B148" s="15" t="s">
        <v>158</v>
      </c>
      <c r="C148" s="16">
        <v>155</v>
      </c>
      <c r="D148" s="11">
        <v>165</v>
      </c>
      <c r="E148" s="11">
        <v>165</v>
      </c>
      <c r="F148" s="11">
        <v>903.91</v>
      </c>
      <c r="G148" s="11">
        <v>70</v>
      </c>
      <c r="H148" s="3"/>
      <c r="I148" s="11">
        <v>1000</v>
      </c>
      <c r="J148" s="11">
        <v>1000</v>
      </c>
      <c r="K148" s="3"/>
      <c r="L148" s="11">
        <v>1000</v>
      </c>
      <c r="M148" s="38">
        <f t="shared" si="12"/>
        <v>0</v>
      </c>
    </row>
    <row r="149" spans="1:13" ht="15" x14ac:dyDescent="0.2">
      <c r="A149" s="14" t="s">
        <v>204</v>
      </c>
      <c r="B149" s="15" t="s">
        <v>160</v>
      </c>
      <c r="C149" s="16">
        <v>864</v>
      </c>
      <c r="D149" s="11">
        <v>1547.8</v>
      </c>
      <c r="E149" s="11">
        <v>913.43</v>
      </c>
      <c r="F149" s="11">
        <v>1486.03</v>
      </c>
      <c r="G149" s="11">
        <v>1402.02</v>
      </c>
      <c r="H149" s="3"/>
      <c r="I149" s="11">
        <v>2500</v>
      </c>
      <c r="J149" s="11">
        <v>2500</v>
      </c>
      <c r="K149" s="3"/>
      <c r="L149" s="11">
        <v>2500</v>
      </c>
      <c r="M149" s="38">
        <f t="shared" si="12"/>
        <v>0</v>
      </c>
    </row>
    <row r="150" spans="1:13" ht="15" x14ac:dyDescent="0.2">
      <c r="A150" s="14" t="s">
        <v>205</v>
      </c>
      <c r="B150" s="15" t="s">
        <v>80</v>
      </c>
      <c r="C150" s="16">
        <v>99</v>
      </c>
      <c r="D150" s="11">
        <v>53.38</v>
      </c>
      <c r="E150" s="11">
        <v>52</v>
      </c>
      <c r="F150" s="11">
        <v>75.03</v>
      </c>
      <c r="G150" s="11">
        <v>0</v>
      </c>
      <c r="H150" s="3"/>
      <c r="I150" s="11">
        <v>250</v>
      </c>
      <c r="J150" s="11">
        <v>250</v>
      </c>
      <c r="K150" s="3"/>
      <c r="L150" s="11">
        <v>250</v>
      </c>
      <c r="M150" s="38">
        <f t="shared" si="12"/>
        <v>0</v>
      </c>
    </row>
    <row r="151" spans="1:13" ht="15" x14ac:dyDescent="0.2">
      <c r="A151" s="14"/>
      <c r="B151" s="15"/>
      <c r="C151" s="16"/>
      <c r="D151" s="11"/>
      <c r="E151" s="11"/>
      <c r="F151" s="11"/>
      <c r="G151" s="11"/>
      <c r="H151" s="3"/>
      <c r="I151" s="11"/>
      <c r="J151" s="11"/>
      <c r="K151" s="3"/>
      <c r="L151" s="11"/>
    </row>
    <row r="152" spans="1:13" ht="15" x14ac:dyDescent="0.25">
      <c r="A152" s="29"/>
      <c r="B152" s="30" t="s">
        <v>206</v>
      </c>
      <c r="C152" s="16">
        <f>SUM(C138:C150)</f>
        <v>70753</v>
      </c>
      <c r="D152" s="11">
        <f>SUM(D138:D150)</f>
        <v>75846.850000000006</v>
      </c>
      <c r="E152" s="11">
        <f>SUM(E138:E150)</f>
        <v>77715.17</v>
      </c>
      <c r="F152" s="11">
        <f>SUM(F138:F150)</f>
        <v>107102.64999999998</v>
      </c>
      <c r="G152" s="11">
        <f>SUM(G138:G150)</f>
        <v>90565.73</v>
      </c>
      <c r="H152" s="3"/>
      <c r="I152" s="11">
        <f>SUM(I138:I150)</f>
        <v>145714</v>
      </c>
      <c r="J152" s="11">
        <f>SUM(J138:J150)</f>
        <v>145714</v>
      </c>
      <c r="K152" s="3"/>
      <c r="L152" s="11">
        <f>SUM(L138:L150)</f>
        <v>151628.85088000001</v>
      </c>
      <c r="M152" s="38">
        <f>+L152/J152-1</f>
        <v>4.0592193474889182E-2</v>
      </c>
    </row>
    <row r="153" spans="1:13" ht="15" x14ac:dyDescent="0.25">
      <c r="A153" s="29"/>
      <c r="B153" s="30"/>
      <c r="C153" s="16"/>
      <c r="D153" s="11"/>
      <c r="E153" s="11"/>
      <c r="F153" s="11"/>
      <c r="G153" s="11"/>
      <c r="H153" s="3"/>
      <c r="I153" s="11"/>
      <c r="J153" s="11"/>
      <c r="K153" s="3"/>
      <c r="L153" s="11"/>
    </row>
    <row r="154" spans="1:13" ht="15" x14ac:dyDescent="0.2">
      <c r="A154" s="14" t="s">
        <v>207</v>
      </c>
      <c r="B154" s="15" t="s">
        <v>124</v>
      </c>
      <c r="C154" s="16">
        <v>41240</v>
      </c>
      <c r="D154" s="11">
        <v>60236.07</v>
      </c>
      <c r="E154" s="11">
        <v>33683.4</v>
      </c>
      <c r="F154" s="11">
        <v>39820.85</v>
      </c>
      <c r="G154" s="11">
        <v>25463.07</v>
      </c>
      <c r="H154" s="3"/>
      <c r="I154" s="11">
        <v>62859</v>
      </c>
      <c r="J154" s="11">
        <v>40000</v>
      </c>
      <c r="K154" s="3"/>
      <c r="L154" s="11">
        <f>+'[1]Non-Union - 3.5%'!$I$47</f>
        <v>29062.799999999996</v>
      </c>
      <c r="M154" s="38">
        <f t="shared" ref="M154:M160" si="13">+L154/J154-1</f>
        <v>-0.27343000000000006</v>
      </c>
    </row>
    <row r="155" spans="1:13" ht="15" x14ac:dyDescent="0.2">
      <c r="A155" s="14" t="s">
        <v>208</v>
      </c>
      <c r="B155" s="15" t="s">
        <v>126</v>
      </c>
      <c r="C155" s="16">
        <v>3874</v>
      </c>
      <c r="D155" s="11">
        <v>5318.45</v>
      </c>
      <c r="E155" s="11">
        <v>2923.34</v>
      </c>
      <c r="F155" s="11">
        <v>3373.75</v>
      </c>
      <c r="G155" s="11">
        <v>1995.67</v>
      </c>
      <c r="H155" s="3"/>
      <c r="I155" s="11">
        <v>5029</v>
      </c>
      <c r="J155" s="11">
        <v>3200</v>
      </c>
      <c r="K155" s="3"/>
      <c r="L155" s="11">
        <f>+'[1]Non-Union - 3.5%'!$P$47</f>
        <v>2325.0239999999999</v>
      </c>
      <c r="M155" s="38">
        <f t="shared" si="13"/>
        <v>-0.27343000000000006</v>
      </c>
    </row>
    <row r="156" spans="1:13" ht="15" x14ac:dyDescent="0.2">
      <c r="A156" s="14" t="s">
        <v>209</v>
      </c>
      <c r="B156" s="15" t="s">
        <v>171</v>
      </c>
      <c r="C156" s="16">
        <v>18</v>
      </c>
      <c r="D156" s="11">
        <v>11.7</v>
      </c>
      <c r="E156" s="11">
        <v>0</v>
      </c>
      <c r="F156" s="11"/>
      <c r="G156" s="11">
        <v>324.13</v>
      </c>
      <c r="H156" s="3"/>
      <c r="I156" s="11"/>
      <c r="J156" s="11"/>
      <c r="K156" s="3"/>
      <c r="L156" s="11">
        <v>250</v>
      </c>
    </row>
    <row r="157" spans="1:13" ht="15" x14ac:dyDescent="0.2">
      <c r="A157" s="14" t="s">
        <v>210</v>
      </c>
      <c r="B157" s="15" t="s">
        <v>132</v>
      </c>
      <c r="C157" s="16">
        <v>111</v>
      </c>
      <c r="D157" s="11">
        <v>87.01</v>
      </c>
      <c r="E157" s="11">
        <v>647.65</v>
      </c>
      <c r="F157" s="11">
        <v>1301.17</v>
      </c>
      <c r="G157" s="11">
        <v>610.53</v>
      </c>
      <c r="H157" s="3"/>
      <c r="I157" s="11">
        <v>82</v>
      </c>
      <c r="J157" s="11">
        <v>82</v>
      </c>
      <c r="K157" s="3"/>
      <c r="L157" s="11">
        <f>+'[1]Non-Union - 3.5%'!$R$47</f>
        <v>37.781639999999996</v>
      </c>
      <c r="M157" s="38">
        <f t="shared" si="13"/>
        <v>-0.53924829268292696</v>
      </c>
    </row>
    <row r="158" spans="1:13" ht="15" x14ac:dyDescent="0.2">
      <c r="A158" s="14">
        <v>6071300</v>
      </c>
      <c r="B158" s="15" t="s">
        <v>211</v>
      </c>
      <c r="C158" s="16">
        <v>0</v>
      </c>
      <c r="D158" s="11">
        <v>421.17</v>
      </c>
      <c r="E158" s="11">
        <v>188.65</v>
      </c>
      <c r="F158" s="11"/>
      <c r="G158" s="11">
        <v>0</v>
      </c>
      <c r="H158" s="3"/>
      <c r="I158" s="11">
        <v>250</v>
      </c>
      <c r="J158" s="11">
        <v>250</v>
      </c>
      <c r="K158" s="3"/>
      <c r="L158" s="11">
        <v>250</v>
      </c>
      <c r="M158" s="38">
        <f t="shared" si="13"/>
        <v>0</v>
      </c>
    </row>
    <row r="159" spans="1:13" ht="15" x14ac:dyDescent="0.2">
      <c r="A159" s="14" t="s">
        <v>212</v>
      </c>
      <c r="B159" s="15" t="s">
        <v>160</v>
      </c>
      <c r="C159" s="16">
        <v>749</v>
      </c>
      <c r="D159" s="11">
        <v>1967.46</v>
      </c>
      <c r="E159" s="11">
        <v>1154.2</v>
      </c>
      <c r="F159" s="11">
        <v>629.27</v>
      </c>
      <c r="G159" s="11">
        <v>907.21</v>
      </c>
      <c r="H159" s="3"/>
      <c r="I159" s="11">
        <v>1200</v>
      </c>
      <c r="J159" s="11">
        <v>1200</v>
      </c>
      <c r="K159" s="3"/>
      <c r="L159" s="11">
        <v>1200</v>
      </c>
      <c r="M159" s="38">
        <f t="shared" si="13"/>
        <v>0</v>
      </c>
    </row>
    <row r="160" spans="1:13" ht="15" x14ac:dyDescent="0.2">
      <c r="A160" s="14" t="s">
        <v>213</v>
      </c>
      <c r="B160" s="15" t="s">
        <v>80</v>
      </c>
      <c r="C160" s="16">
        <v>444</v>
      </c>
      <c r="D160" s="11">
        <v>1106.8800000000001</v>
      </c>
      <c r="E160" s="11">
        <v>0</v>
      </c>
      <c r="F160" s="11"/>
      <c r="G160" s="11">
        <v>0</v>
      </c>
      <c r="H160" s="3"/>
      <c r="I160" s="11">
        <v>500</v>
      </c>
      <c r="J160" s="11">
        <v>500</v>
      </c>
      <c r="K160" s="3"/>
      <c r="L160" s="11">
        <v>250</v>
      </c>
      <c r="M160" s="38">
        <f t="shared" si="13"/>
        <v>-0.5</v>
      </c>
    </row>
    <row r="161" spans="1:15" ht="15" x14ac:dyDescent="0.2">
      <c r="A161" s="14"/>
      <c r="B161" s="15"/>
      <c r="C161" s="16"/>
      <c r="D161" s="11"/>
      <c r="E161" s="11"/>
      <c r="F161" s="11"/>
      <c r="G161" s="11"/>
      <c r="H161" s="3"/>
      <c r="I161" s="11"/>
      <c r="J161" s="11"/>
      <c r="K161" s="3"/>
      <c r="L161" s="11"/>
    </row>
    <row r="162" spans="1:15" s="20" customFormat="1" ht="15" x14ac:dyDescent="0.25">
      <c r="A162" s="29"/>
      <c r="B162" s="30" t="s">
        <v>214</v>
      </c>
      <c r="C162" s="16">
        <f>SUM(C154:C160)</f>
        <v>46436</v>
      </c>
      <c r="D162" s="11">
        <f>SUM(D154:D160)</f>
        <v>69148.740000000005</v>
      </c>
      <c r="E162" s="11">
        <f>SUM(E154:E160)</f>
        <v>38597.240000000005</v>
      </c>
      <c r="F162" s="11">
        <f>SUM(F154:F160)</f>
        <v>45125.039999999994</v>
      </c>
      <c r="G162" s="11">
        <f>SUM(G154:G160)</f>
        <v>29300.609999999997</v>
      </c>
      <c r="H162" s="3"/>
      <c r="I162" s="11">
        <f>SUM(I154:I160)</f>
        <v>69920</v>
      </c>
      <c r="J162" s="11">
        <f>SUM(J154:J160)</f>
        <v>45232</v>
      </c>
      <c r="K162" s="3"/>
      <c r="L162" s="11">
        <f>SUM(L154:L160)</f>
        <v>33375.605639999994</v>
      </c>
      <c r="M162" s="38">
        <f>+L162/J162-1</f>
        <v>-0.26212403519632133</v>
      </c>
      <c r="O162" s="44"/>
    </row>
    <row r="163" spans="1:15" s="20" customFormat="1" ht="15" x14ac:dyDescent="0.25">
      <c r="A163" s="29"/>
      <c r="B163" s="30"/>
      <c r="C163" s="16"/>
      <c r="D163" s="11"/>
      <c r="E163" s="11"/>
      <c r="F163" s="11"/>
      <c r="G163" s="11"/>
      <c r="H163" s="3"/>
      <c r="I163" s="11"/>
      <c r="J163" s="11"/>
      <c r="K163" s="3"/>
      <c r="L163" s="11"/>
      <c r="M163" s="38"/>
      <c r="O163" s="44"/>
    </row>
    <row r="164" spans="1:15" ht="15" x14ac:dyDescent="0.25">
      <c r="A164" s="17" t="s">
        <v>21</v>
      </c>
      <c r="B164" s="18" t="s">
        <v>215</v>
      </c>
      <c r="C164" s="11">
        <f>+C162+C152+C136+C111+C86</f>
        <v>1151613</v>
      </c>
      <c r="D164" s="11">
        <f>+D162+D152+D136+D111+D86</f>
        <v>1341454.58</v>
      </c>
      <c r="E164" s="11">
        <f>+E162+E152+E136+E111+E86</f>
        <v>1196697.2400000002</v>
      </c>
      <c r="F164" s="11">
        <f>+F162+F152+F136+F111+F86</f>
        <v>1526616.7560000001</v>
      </c>
      <c r="G164" s="11">
        <f>+G162+G152+G136+G111+G86</f>
        <v>1079936.9100000001</v>
      </c>
      <c r="H164" s="3"/>
      <c r="I164" s="11">
        <f>+I162+I152+I136+I111+I86</f>
        <v>1634098.3</v>
      </c>
      <c r="J164" s="11">
        <f>+J162+J152+J136+J111+J86</f>
        <v>1609010</v>
      </c>
      <c r="K164" s="3"/>
      <c r="L164" s="11">
        <f>+L162+L152+L136+L111+L86</f>
        <v>1659469.0770402863</v>
      </c>
      <c r="M164" s="38">
        <f>+L164/J164-1</f>
        <v>3.1360325318230631E-2</v>
      </c>
    </row>
    <row r="165" spans="1:15" ht="15" x14ac:dyDescent="0.2">
      <c r="D165" s="11"/>
      <c r="E165" s="11"/>
      <c r="F165" s="11"/>
      <c r="G165" s="11"/>
      <c r="H165" s="3"/>
      <c r="I165" s="11"/>
      <c r="J165" s="11"/>
      <c r="K165" s="3"/>
      <c r="L165" s="11"/>
    </row>
    <row r="166" spans="1:15" ht="15" x14ac:dyDescent="0.25">
      <c r="A166" s="9" t="s">
        <v>216</v>
      </c>
      <c r="B166" s="10" t="s">
        <v>217</v>
      </c>
      <c r="D166" s="11"/>
      <c r="E166" s="11"/>
      <c r="F166" s="11"/>
      <c r="G166" s="11"/>
      <c r="H166" s="3"/>
      <c r="I166" s="11"/>
      <c r="J166" s="11"/>
      <c r="K166" s="3"/>
      <c r="L166" s="11"/>
    </row>
    <row r="167" spans="1:15" ht="15" x14ac:dyDescent="0.25">
      <c r="A167" s="12" t="s">
        <v>9</v>
      </c>
      <c r="B167" s="13" t="s">
        <v>10</v>
      </c>
      <c r="D167" s="11"/>
      <c r="E167" s="11"/>
      <c r="F167" s="11"/>
      <c r="G167" s="11"/>
      <c r="H167" s="3"/>
      <c r="I167" s="11"/>
      <c r="J167" s="11"/>
      <c r="K167" s="3"/>
      <c r="L167" s="11"/>
    </row>
    <row r="168" spans="1:15" ht="15" x14ac:dyDescent="0.2">
      <c r="A168" s="14" t="s">
        <v>218</v>
      </c>
      <c r="B168" s="15" t="s">
        <v>219</v>
      </c>
      <c r="C168" s="16">
        <v>676230</v>
      </c>
      <c r="D168" s="11">
        <v>793144.54</v>
      </c>
      <c r="E168" s="11">
        <v>725138.85</v>
      </c>
      <c r="F168" s="11">
        <v>1037671.5</v>
      </c>
      <c r="G168" s="11">
        <v>861248.2</v>
      </c>
      <c r="H168" s="3"/>
      <c r="I168" s="11">
        <v>1150000</v>
      </c>
      <c r="J168" s="11">
        <v>1320000</v>
      </c>
      <c r="K168" s="3"/>
      <c r="L168" s="11">
        <f>+'[1]Non-Union - 3.5%'!$I$17+[1]Union!$H$22+[1]Union!$U$22+[1]Union!$V$22+[1]Union!$W$22</f>
        <v>1347217.3961057691</v>
      </c>
      <c r="M168" s="38">
        <f t="shared" ref="M168:M185" si="14">+L168/J168-1</f>
        <v>2.0619239474067408E-2</v>
      </c>
    </row>
    <row r="169" spans="1:15" ht="15" x14ac:dyDescent="0.2">
      <c r="A169" s="14" t="s">
        <v>220</v>
      </c>
      <c r="B169" s="15" t="s">
        <v>221</v>
      </c>
      <c r="C169" s="16">
        <v>0</v>
      </c>
      <c r="D169" s="11">
        <v>2250</v>
      </c>
      <c r="E169" s="11">
        <v>9570</v>
      </c>
      <c r="F169" s="11">
        <v>50469.64</v>
      </c>
      <c r="G169" s="11">
        <v>31345</v>
      </c>
      <c r="H169" s="3"/>
      <c r="I169" s="11">
        <v>55120</v>
      </c>
      <c r="J169" s="11">
        <v>55120</v>
      </c>
      <c r="K169" s="3"/>
      <c r="L169" s="11">
        <v>50000</v>
      </c>
      <c r="M169" s="38">
        <f t="shared" si="14"/>
        <v>-9.2888243831640072E-2</v>
      </c>
    </row>
    <row r="170" spans="1:15" ht="15" x14ac:dyDescent="0.2">
      <c r="A170" s="14" t="s">
        <v>222</v>
      </c>
      <c r="B170" s="15" t="s">
        <v>223</v>
      </c>
      <c r="C170" s="16">
        <v>55881</v>
      </c>
      <c r="D170" s="11">
        <v>57543.17</v>
      </c>
      <c r="E170" s="11">
        <v>55670.48</v>
      </c>
      <c r="F170" s="11">
        <v>82622.080000000002</v>
      </c>
      <c r="G170" s="11">
        <v>62208.480000000003</v>
      </c>
      <c r="H170" s="3"/>
      <c r="I170" s="11">
        <f>8650+12100+68163</f>
        <v>88913</v>
      </c>
      <c r="J170" s="11">
        <v>110010</v>
      </c>
      <c r="K170" s="3"/>
      <c r="L170" s="11">
        <f>9253+[1]Union!$O$22+[1]Union!$Z$22</f>
        <v>107777.22048846152</v>
      </c>
      <c r="M170" s="38">
        <f t="shared" si="14"/>
        <v>-2.029615045485389E-2</v>
      </c>
    </row>
    <row r="171" spans="1:15" ht="15" x14ac:dyDescent="0.2">
      <c r="A171" s="14" t="s">
        <v>224</v>
      </c>
      <c r="B171" s="15" t="s">
        <v>225</v>
      </c>
      <c r="C171" s="16">
        <v>152064</v>
      </c>
      <c r="D171" s="11">
        <v>142017.5</v>
      </c>
      <c r="E171" s="11">
        <v>140830.78</v>
      </c>
      <c r="F171" s="11">
        <v>192240.68</v>
      </c>
      <c r="G171" s="11">
        <v>181109.85</v>
      </c>
      <c r="H171" s="3"/>
      <c r="I171" s="11">
        <f>6469+266647+10641+2672+1879</f>
        <v>288308</v>
      </c>
      <c r="J171" s="11">
        <v>288308</v>
      </c>
      <c r="K171" s="3"/>
      <c r="L171" s="11">
        <f>7200+[1]Union!$J$22+[1]Union!$K$22+[1]Union!$L$22+[1]Union!$M$22</f>
        <v>352847.2680000001</v>
      </c>
      <c r="M171" s="38">
        <f t="shared" si="14"/>
        <v>0.223855279770246</v>
      </c>
    </row>
    <row r="172" spans="1:15" ht="15" x14ac:dyDescent="0.2">
      <c r="A172" s="14" t="s">
        <v>226</v>
      </c>
      <c r="B172" s="15" t="s">
        <v>227</v>
      </c>
      <c r="C172" s="16">
        <v>80802</v>
      </c>
      <c r="D172" s="11">
        <v>98566.28</v>
      </c>
      <c r="E172" s="11">
        <v>68124.479999999996</v>
      </c>
      <c r="F172" s="11">
        <v>90168.43</v>
      </c>
      <c r="G172" s="11">
        <v>85964.77</v>
      </c>
      <c r="H172" s="3"/>
      <c r="I172" s="11">
        <f>144847+18380</f>
        <v>163227</v>
      </c>
      <c r="J172" s="11">
        <v>163227</v>
      </c>
      <c r="K172" s="3"/>
      <c r="L172" s="11">
        <f>464+[1]Union!$N$22</f>
        <v>157782.92819999999</v>
      </c>
      <c r="M172" s="38">
        <f t="shared" si="14"/>
        <v>-3.3352765167527498E-2</v>
      </c>
    </row>
    <row r="173" spans="1:15" ht="15" x14ac:dyDescent="0.2">
      <c r="A173" s="14" t="s">
        <v>228</v>
      </c>
      <c r="B173" s="15" t="s">
        <v>229</v>
      </c>
      <c r="C173" s="16">
        <v>10188</v>
      </c>
      <c r="D173" s="11">
        <v>16231.68</v>
      </c>
      <c r="E173" s="11">
        <v>5561.98</v>
      </c>
      <c r="F173" s="11">
        <v>77009.759999999995</v>
      </c>
      <c r="G173" s="11">
        <v>24155.46</v>
      </c>
      <c r="H173" s="3"/>
      <c r="I173" s="11">
        <v>20000</v>
      </c>
      <c r="J173" s="11">
        <v>20000</v>
      </c>
      <c r="K173" s="3"/>
      <c r="L173" s="11">
        <v>20000</v>
      </c>
      <c r="M173" s="38">
        <f t="shared" si="14"/>
        <v>0</v>
      </c>
    </row>
    <row r="174" spans="1:15" ht="15" x14ac:dyDescent="0.2">
      <c r="A174" s="14" t="s">
        <v>230</v>
      </c>
      <c r="B174" s="15" t="s">
        <v>231</v>
      </c>
      <c r="C174" s="16">
        <v>25001</v>
      </c>
      <c r="D174" s="11">
        <v>31230.12</v>
      </c>
      <c r="E174" s="11">
        <v>19763.8</v>
      </c>
      <c r="F174" s="11">
        <v>8095.98</v>
      </c>
      <c r="G174" s="11">
        <v>33114.26</v>
      </c>
      <c r="H174" s="3"/>
      <c r="I174" s="11">
        <f>29055+5158+3687</f>
        <v>37900</v>
      </c>
      <c r="J174" s="11">
        <v>37900</v>
      </c>
      <c r="K174" s="3"/>
      <c r="L174" s="11">
        <f>3944+[1]Union!$Q$22+[1]Union!$Y$22</f>
        <v>45939.948983206727</v>
      </c>
      <c r="M174" s="38">
        <f t="shared" si="14"/>
        <v>0.21213585707669469</v>
      </c>
    </row>
    <row r="175" spans="1:15" ht="15" x14ac:dyDescent="0.2">
      <c r="A175" s="14" t="s">
        <v>232</v>
      </c>
      <c r="B175" s="15" t="s">
        <v>233</v>
      </c>
      <c r="C175" s="16">
        <v>120533</v>
      </c>
      <c r="D175" s="11">
        <v>128146.94</v>
      </c>
      <c r="E175" s="11">
        <v>101451.3</v>
      </c>
      <c r="F175" s="11">
        <v>223940.33</v>
      </c>
      <c r="G175" s="11">
        <v>221517.37</v>
      </c>
      <c r="H175" s="3"/>
      <c r="I175" s="11">
        <f>270263+51628</f>
        <v>321891</v>
      </c>
      <c r="J175" s="11">
        <v>321891</v>
      </c>
      <c r="K175" s="3"/>
      <c r="L175" s="11">
        <f>+'[1]Non-Union - 3.5%'!$I$27+'[1]Non-Union - 3.5%'!$V$27</f>
        <v>353446.86481349997</v>
      </c>
      <c r="M175" s="38">
        <f t="shared" si="14"/>
        <v>9.8032765170507963E-2</v>
      </c>
    </row>
    <row r="176" spans="1:15" ht="15" x14ac:dyDescent="0.2">
      <c r="A176" s="14" t="s">
        <v>234</v>
      </c>
      <c r="B176" s="15" t="s">
        <v>235</v>
      </c>
      <c r="C176" s="16">
        <v>10228</v>
      </c>
      <c r="D176" s="11">
        <v>11300.56</v>
      </c>
      <c r="E176" s="11">
        <v>8147.5</v>
      </c>
      <c r="F176" s="11">
        <v>17331.79</v>
      </c>
      <c r="G176" s="11">
        <v>15040.61</v>
      </c>
      <c r="H176" s="3"/>
      <c r="I176" s="11">
        <f>21621+4130</f>
        <v>25751</v>
      </c>
      <c r="J176" s="11">
        <v>25751</v>
      </c>
      <c r="K176" s="3"/>
      <c r="L176" s="11">
        <f>+'[1]Non-Union - 3.5%'!$P$27+'[1]Non-Union - 3.5%'!$Z$27</f>
        <v>28275.74918508</v>
      </c>
      <c r="M176" s="38">
        <f t="shared" si="14"/>
        <v>9.8044704480602762E-2</v>
      </c>
    </row>
    <row r="177" spans="1:13" ht="15" x14ac:dyDescent="0.2">
      <c r="A177" s="14" t="s">
        <v>236</v>
      </c>
      <c r="B177" s="15" t="s">
        <v>237</v>
      </c>
      <c r="C177" s="16">
        <v>41198</v>
      </c>
      <c r="D177" s="11">
        <v>39635.67</v>
      </c>
      <c r="E177" s="11">
        <v>23581.19</v>
      </c>
      <c r="F177" s="11">
        <v>78593.440000000002</v>
      </c>
      <c r="G177" s="11">
        <v>70617.97</v>
      </c>
      <c r="H177" s="3"/>
      <c r="I177" s="11">
        <f>122947+5856+1474</f>
        <v>130277</v>
      </c>
      <c r="J177" s="11">
        <v>130277</v>
      </c>
      <c r="K177" s="3"/>
      <c r="L177" s="11">
        <f>+SUM('[1]Non-Union - 3.5%'!$K$27:$N$27)</f>
        <v>129595.01999999999</v>
      </c>
      <c r="M177" s="38">
        <f t="shared" si="14"/>
        <v>-5.234845751744488E-3</v>
      </c>
    </row>
    <row r="178" spans="1:13" ht="15" x14ac:dyDescent="0.2">
      <c r="A178" s="14" t="s">
        <v>238</v>
      </c>
      <c r="B178" s="15" t="s">
        <v>239</v>
      </c>
      <c r="C178" s="16">
        <v>1799</v>
      </c>
      <c r="D178" s="11">
        <v>2200.7800000000002</v>
      </c>
      <c r="E178" s="11">
        <v>3043.2</v>
      </c>
      <c r="F178" s="11">
        <v>1929.9</v>
      </c>
      <c r="G178" s="11">
        <v>1994.23</v>
      </c>
      <c r="H178" s="3"/>
      <c r="I178" s="11">
        <f>4974+986</f>
        <v>5960</v>
      </c>
      <c r="J178" s="11">
        <v>5960</v>
      </c>
      <c r="K178" s="3"/>
      <c r="L178" s="11">
        <f>+'[1]Non-Union - 3.5%'!$O$27+'[1]Non-Union - 3.5%'!$X$27</f>
        <v>3215.8542699999998</v>
      </c>
      <c r="M178" s="38">
        <f t="shared" si="14"/>
        <v>-0.46042713590604034</v>
      </c>
    </row>
    <row r="179" spans="1:13" ht="15" x14ac:dyDescent="0.2">
      <c r="A179" s="14">
        <v>6030250</v>
      </c>
      <c r="B179" s="15" t="s">
        <v>240</v>
      </c>
      <c r="C179" s="16"/>
      <c r="D179" s="11"/>
      <c r="E179" s="11"/>
      <c r="F179" s="11">
        <v>218.25</v>
      </c>
      <c r="G179" s="11">
        <v>2698.36</v>
      </c>
      <c r="H179" s="3"/>
      <c r="I179" s="11"/>
      <c r="J179" s="11">
        <v>2700</v>
      </c>
      <c r="K179" s="3"/>
      <c r="L179" s="11">
        <v>1500</v>
      </c>
      <c r="M179" s="38">
        <f t="shared" si="14"/>
        <v>-0.44444444444444442</v>
      </c>
    </row>
    <row r="180" spans="1:13" ht="15" x14ac:dyDescent="0.2">
      <c r="A180" s="14" t="s">
        <v>241</v>
      </c>
      <c r="B180" s="15" t="s">
        <v>242</v>
      </c>
      <c r="C180" s="16">
        <v>226</v>
      </c>
      <c r="D180" s="11">
        <v>161.86000000000001</v>
      </c>
      <c r="E180" s="11">
        <v>1384.45</v>
      </c>
      <c r="F180" s="11">
        <v>2698.66</v>
      </c>
      <c r="G180" s="11">
        <v>5311.77</v>
      </c>
      <c r="H180" s="3"/>
      <c r="I180" s="11">
        <f>351+67</f>
        <v>418</v>
      </c>
      <c r="J180" s="11">
        <v>7500</v>
      </c>
      <c r="K180" s="3"/>
      <c r="L180" s="11">
        <f>+'[1]Non-Union - 3.5%'!$R$27+'[1]Non-Union - 3.5%'!$Y$27</f>
        <v>459.48092425754999</v>
      </c>
      <c r="M180" s="38">
        <f t="shared" si="14"/>
        <v>-0.93873587676565995</v>
      </c>
    </row>
    <row r="181" spans="1:13" ht="15" x14ac:dyDescent="0.2">
      <c r="A181" s="14" t="s">
        <v>243</v>
      </c>
      <c r="B181" s="15" t="s">
        <v>134</v>
      </c>
      <c r="C181" s="16">
        <v>157168</v>
      </c>
      <c r="D181" s="11">
        <v>166288.71</v>
      </c>
      <c r="E181" s="11">
        <v>205211.96</v>
      </c>
      <c r="F181" s="11">
        <v>202842.41</v>
      </c>
      <c r="G181" s="11">
        <v>177363.55</v>
      </c>
      <c r="H181" s="3"/>
      <c r="I181" s="11">
        <v>190320</v>
      </c>
      <c r="J181" s="11">
        <v>190320</v>
      </c>
      <c r="K181" s="3"/>
      <c r="L181" s="11">
        <v>196737</v>
      </c>
      <c r="M181" s="38">
        <f t="shared" si="14"/>
        <v>3.3716897856242101E-2</v>
      </c>
    </row>
    <row r="182" spans="1:13" ht="15" x14ac:dyDescent="0.2">
      <c r="A182" s="14" t="s">
        <v>244</v>
      </c>
      <c r="B182" s="15" t="s">
        <v>136</v>
      </c>
      <c r="C182" s="16">
        <v>13223</v>
      </c>
      <c r="D182" s="11">
        <v>20974.02</v>
      </c>
      <c r="E182" s="11">
        <v>19302.919999999998</v>
      </c>
      <c r="F182" s="11">
        <v>17279.099999999999</v>
      </c>
      <c r="G182" s="11">
        <v>14898.52</v>
      </c>
      <c r="H182" s="3"/>
      <c r="I182" s="11">
        <v>16250</v>
      </c>
      <c r="J182" s="11">
        <v>16250</v>
      </c>
      <c r="K182" s="3"/>
      <c r="L182" s="11">
        <v>19673.7</v>
      </c>
      <c r="M182" s="38">
        <f t="shared" si="14"/>
        <v>0.21068923076923074</v>
      </c>
    </row>
    <row r="183" spans="1:13" ht="15" x14ac:dyDescent="0.2">
      <c r="A183" s="14" t="s">
        <v>245</v>
      </c>
      <c r="B183" s="15" t="s">
        <v>176</v>
      </c>
      <c r="C183" s="16">
        <v>3513</v>
      </c>
      <c r="D183" s="11">
        <v>3147.89</v>
      </c>
      <c r="E183" s="11">
        <v>2830.45</v>
      </c>
      <c r="F183" s="11">
        <v>11016.29</v>
      </c>
      <c r="G183" s="11">
        <v>17254.490000000002</v>
      </c>
      <c r="H183" s="3"/>
      <c r="I183" s="11">
        <v>8000</v>
      </c>
      <c r="J183" s="11">
        <v>18000</v>
      </c>
      <c r="K183" s="3"/>
      <c r="L183" s="11">
        <v>12000</v>
      </c>
      <c r="M183" s="38">
        <f t="shared" si="14"/>
        <v>-0.33333333333333337</v>
      </c>
    </row>
    <row r="184" spans="1:13" ht="15" x14ac:dyDescent="0.2">
      <c r="A184" s="14" t="s">
        <v>246</v>
      </c>
      <c r="B184" s="15" t="s">
        <v>138</v>
      </c>
      <c r="C184" s="16">
        <v>7876</v>
      </c>
      <c r="D184" s="11">
        <v>8659.57</v>
      </c>
      <c r="E184" s="11">
        <v>4580.3500000000004</v>
      </c>
      <c r="F184" s="11">
        <v>5397.32</v>
      </c>
      <c r="G184" s="11">
        <v>3477.22</v>
      </c>
      <c r="H184" s="3"/>
      <c r="I184" s="11">
        <v>6489.91</v>
      </c>
      <c r="J184" s="11">
        <v>6490</v>
      </c>
      <c r="K184" s="3"/>
      <c r="L184" s="11">
        <v>6708.73</v>
      </c>
      <c r="M184" s="38">
        <f t="shared" si="14"/>
        <v>3.3702619414483825E-2</v>
      </c>
    </row>
    <row r="185" spans="1:13" ht="15" x14ac:dyDescent="0.2">
      <c r="A185" s="14" t="s">
        <v>247</v>
      </c>
      <c r="B185" s="15" t="s">
        <v>140</v>
      </c>
      <c r="C185" s="16">
        <v>22435</v>
      </c>
      <c r="D185" s="11">
        <v>18414.25</v>
      </c>
      <c r="E185" s="11">
        <v>15920.44</v>
      </c>
      <c r="F185" s="11">
        <v>26310.71</v>
      </c>
      <c r="G185" s="11">
        <v>13795.04</v>
      </c>
      <c r="H185" s="3"/>
      <c r="I185" s="11">
        <v>15500</v>
      </c>
      <c r="J185" s="11">
        <v>15500</v>
      </c>
      <c r="K185" s="3"/>
      <c r="L185" s="11">
        <v>16500</v>
      </c>
      <c r="M185" s="38">
        <f t="shared" si="14"/>
        <v>6.4516129032258007E-2</v>
      </c>
    </row>
    <row r="186" spans="1:13" ht="15" x14ac:dyDescent="0.2">
      <c r="A186" s="14" t="s">
        <v>248</v>
      </c>
      <c r="B186" s="15" t="s">
        <v>142</v>
      </c>
      <c r="C186" s="16">
        <v>2450</v>
      </c>
      <c r="D186" s="11">
        <v>2907.5</v>
      </c>
      <c r="E186" s="11">
        <v>2212.98</v>
      </c>
      <c r="F186" s="11">
        <v>2995</v>
      </c>
      <c r="G186" s="11">
        <v>0</v>
      </c>
      <c r="H186" s="3"/>
      <c r="I186" s="11"/>
      <c r="J186" s="11">
        <v>0</v>
      </c>
      <c r="K186" s="3"/>
      <c r="L186" s="11"/>
    </row>
    <row r="187" spans="1:13" ht="15" x14ac:dyDescent="0.2">
      <c r="A187" s="14" t="s">
        <v>249</v>
      </c>
      <c r="B187" s="15" t="s">
        <v>144</v>
      </c>
      <c r="C187" s="16">
        <v>212</v>
      </c>
      <c r="D187" s="11">
        <v>427.5</v>
      </c>
      <c r="E187" s="11">
        <v>432</v>
      </c>
      <c r="F187" s="11">
        <v>438</v>
      </c>
      <c r="G187" s="11">
        <v>0</v>
      </c>
      <c r="H187" s="3"/>
      <c r="I187" s="11"/>
      <c r="J187" s="11">
        <v>0</v>
      </c>
      <c r="K187" s="3"/>
      <c r="L187" s="11"/>
    </row>
    <row r="188" spans="1:13" ht="15" x14ac:dyDescent="0.2">
      <c r="A188" s="14" t="s">
        <v>250</v>
      </c>
      <c r="B188" s="15" t="s">
        <v>146</v>
      </c>
      <c r="C188" s="16">
        <v>3711</v>
      </c>
      <c r="D188" s="11">
        <v>2791.67</v>
      </c>
      <c r="E188" s="11">
        <v>2687.27</v>
      </c>
      <c r="F188" s="11">
        <v>5448.95</v>
      </c>
      <c r="G188" s="11">
        <v>0</v>
      </c>
      <c r="H188" s="3"/>
      <c r="I188" s="11"/>
      <c r="J188" s="11">
        <v>0</v>
      </c>
      <c r="K188" s="3"/>
      <c r="L188" s="11"/>
    </row>
    <row r="189" spans="1:13" ht="15" x14ac:dyDescent="0.2">
      <c r="A189" s="14" t="s">
        <v>251</v>
      </c>
      <c r="B189" s="15" t="s">
        <v>182</v>
      </c>
      <c r="C189" s="16">
        <v>23160</v>
      </c>
      <c r="D189" s="11">
        <v>40171.89</v>
      </c>
      <c r="E189" s="11">
        <v>39764.980000000003</v>
      </c>
      <c r="F189" s="11">
        <v>47323.88</v>
      </c>
      <c r="G189" s="11">
        <v>39158.04</v>
      </c>
      <c r="H189" s="3"/>
      <c r="I189" s="11">
        <v>55000</v>
      </c>
      <c r="J189" s="11">
        <v>55000</v>
      </c>
      <c r="K189" s="3"/>
      <c r="L189" s="11">
        <v>55000</v>
      </c>
      <c r="M189" s="38">
        <f t="shared" ref="M189:M207" si="15">+L189/J189-1</f>
        <v>0</v>
      </c>
    </row>
    <row r="190" spans="1:13" ht="15" x14ac:dyDescent="0.2">
      <c r="A190" s="14">
        <v>6030603</v>
      </c>
      <c r="B190" s="15" t="s">
        <v>252</v>
      </c>
      <c r="C190" s="16"/>
      <c r="D190" s="11"/>
      <c r="E190" s="11"/>
      <c r="F190" s="11"/>
      <c r="G190" s="11">
        <v>1053.7</v>
      </c>
      <c r="H190" s="3"/>
      <c r="I190" s="11"/>
      <c r="J190" s="11">
        <v>2500</v>
      </c>
      <c r="K190" s="3"/>
      <c r="L190" s="11">
        <v>5000</v>
      </c>
      <c r="M190" s="38">
        <f t="shared" si="15"/>
        <v>1</v>
      </c>
    </row>
    <row r="191" spans="1:13" ht="15" x14ac:dyDescent="0.2">
      <c r="A191" s="14">
        <v>6030605</v>
      </c>
      <c r="B191" s="15" t="s">
        <v>148</v>
      </c>
      <c r="C191" s="16"/>
      <c r="D191" s="11"/>
      <c r="E191" s="11"/>
      <c r="F191" s="11">
        <v>60.52</v>
      </c>
      <c r="G191" s="11">
        <v>298.3</v>
      </c>
      <c r="H191" s="3"/>
      <c r="I191" s="11"/>
      <c r="J191" s="11">
        <v>500</v>
      </c>
      <c r="K191" s="3"/>
      <c r="L191" s="11">
        <v>500</v>
      </c>
      <c r="M191" s="38">
        <f t="shared" si="15"/>
        <v>0</v>
      </c>
    </row>
    <row r="192" spans="1:13" ht="15" x14ac:dyDescent="0.2">
      <c r="A192" s="14" t="s">
        <v>253</v>
      </c>
      <c r="B192" s="15" t="s">
        <v>254</v>
      </c>
      <c r="C192" s="16">
        <v>34396</v>
      </c>
      <c r="D192" s="11">
        <v>27464.74</v>
      </c>
      <c r="E192" s="11">
        <v>37672.65</v>
      </c>
      <c r="F192" s="11">
        <v>37423.78</v>
      </c>
      <c r="G192" s="11">
        <v>30506.62</v>
      </c>
      <c r="H192" s="3"/>
      <c r="I192" s="11">
        <v>25000</v>
      </c>
      <c r="J192" s="11">
        <v>35000</v>
      </c>
      <c r="K192" s="3"/>
      <c r="L192" s="11">
        <v>30000</v>
      </c>
      <c r="M192" s="38">
        <f t="shared" si="15"/>
        <v>-0.1428571428571429</v>
      </c>
    </row>
    <row r="193" spans="1:13" ht="15" x14ac:dyDescent="0.2">
      <c r="A193" s="14" t="s">
        <v>255</v>
      </c>
      <c r="B193" s="15" t="s">
        <v>152</v>
      </c>
      <c r="C193" s="16">
        <v>10778</v>
      </c>
      <c r="D193" s="11">
        <v>10367.9</v>
      </c>
      <c r="E193" s="11">
        <v>12796.5</v>
      </c>
      <c r="F193" s="11">
        <v>5873</v>
      </c>
      <c r="G193" s="11">
        <v>2134</v>
      </c>
      <c r="H193" s="3"/>
      <c r="I193" s="11">
        <v>20000</v>
      </c>
      <c r="J193" s="11">
        <v>5000</v>
      </c>
      <c r="K193" s="3"/>
      <c r="L193" s="11">
        <v>5000</v>
      </c>
      <c r="M193" s="38">
        <f t="shared" si="15"/>
        <v>0</v>
      </c>
    </row>
    <row r="194" spans="1:13" ht="15" x14ac:dyDescent="0.2">
      <c r="A194" s="14">
        <v>6031125</v>
      </c>
      <c r="B194" s="15" t="s">
        <v>256</v>
      </c>
      <c r="C194" s="16"/>
      <c r="D194" s="11"/>
      <c r="E194" s="11"/>
      <c r="F194" s="11"/>
      <c r="G194" s="11"/>
      <c r="H194" s="3"/>
      <c r="I194" s="11"/>
      <c r="J194" s="11"/>
      <c r="K194" s="3"/>
      <c r="L194" s="11">
        <v>5000</v>
      </c>
    </row>
    <row r="195" spans="1:13" ht="15" x14ac:dyDescent="0.2">
      <c r="A195" s="14" t="s">
        <v>257</v>
      </c>
      <c r="B195" s="15" t="s">
        <v>154</v>
      </c>
      <c r="C195" s="16">
        <v>79702</v>
      </c>
      <c r="D195" s="11">
        <v>130573.42</v>
      </c>
      <c r="E195" s="11">
        <v>122123.95</v>
      </c>
      <c r="F195" s="11">
        <v>133717.14000000001</v>
      </c>
      <c r="G195" s="11">
        <v>93612.93</v>
      </c>
      <c r="H195" s="3"/>
      <c r="I195" s="11">
        <v>150000</v>
      </c>
      <c r="J195" s="11">
        <v>150000</v>
      </c>
      <c r="K195" s="3"/>
      <c r="L195" s="11">
        <v>150000</v>
      </c>
      <c r="M195" s="38">
        <f t="shared" si="15"/>
        <v>0</v>
      </c>
    </row>
    <row r="196" spans="1:13" ht="15" x14ac:dyDescent="0.2">
      <c r="A196" s="14" t="s">
        <v>258</v>
      </c>
      <c r="B196" s="15" t="s">
        <v>156</v>
      </c>
      <c r="C196" s="16">
        <v>1251</v>
      </c>
      <c r="D196" s="11">
        <v>1205.47</v>
      </c>
      <c r="E196" s="11">
        <v>676.74</v>
      </c>
      <c r="F196" s="11">
        <v>26669.61</v>
      </c>
      <c r="G196" s="11">
        <v>20247.98</v>
      </c>
      <c r="H196" s="3"/>
      <c r="I196" s="11">
        <v>1000</v>
      </c>
      <c r="J196" s="11">
        <v>25000</v>
      </c>
      <c r="K196" s="3"/>
      <c r="L196" s="11">
        <v>80000</v>
      </c>
      <c r="M196" s="38">
        <f t="shared" si="15"/>
        <v>2.2000000000000002</v>
      </c>
    </row>
    <row r="197" spans="1:13" ht="15" x14ac:dyDescent="0.2">
      <c r="A197" s="14" t="s">
        <v>259</v>
      </c>
      <c r="B197" s="15" t="s">
        <v>260</v>
      </c>
      <c r="C197" s="16">
        <v>12089</v>
      </c>
      <c r="D197" s="11">
        <v>7365.48</v>
      </c>
      <c r="E197" s="11">
        <v>12852.77</v>
      </c>
      <c r="F197" s="11">
        <v>30031.31</v>
      </c>
      <c r="G197" s="11">
        <v>7534.9</v>
      </c>
      <c r="H197" s="3"/>
      <c r="I197" s="11">
        <v>15000</v>
      </c>
      <c r="J197" s="11">
        <v>13000</v>
      </c>
      <c r="K197" s="3"/>
      <c r="L197" s="11">
        <v>20000</v>
      </c>
      <c r="M197" s="38">
        <f t="shared" si="15"/>
        <v>0.53846153846153855</v>
      </c>
    </row>
    <row r="198" spans="1:13" ht="15" x14ac:dyDescent="0.2">
      <c r="A198" s="14">
        <v>6031425</v>
      </c>
      <c r="B198" s="15" t="s">
        <v>261</v>
      </c>
      <c r="C198" s="16">
        <v>0</v>
      </c>
      <c r="D198" s="11"/>
      <c r="E198" s="11"/>
      <c r="F198" s="11">
        <v>95</v>
      </c>
      <c r="G198" s="11">
        <v>596.29999999999995</v>
      </c>
      <c r="H198" s="3"/>
      <c r="I198" s="11"/>
      <c r="J198" s="11">
        <v>1000</v>
      </c>
      <c r="K198" s="3"/>
      <c r="L198" s="11">
        <v>2500</v>
      </c>
      <c r="M198" s="38">
        <f t="shared" si="15"/>
        <v>1.5</v>
      </c>
    </row>
    <row r="199" spans="1:13" ht="15" x14ac:dyDescent="0.2">
      <c r="A199" s="14">
        <v>6031450</v>
      </c>
      <c r="B199" s="15" t="s">
        <v>262</v>
      </c>
      <c r="C199" s="16">
        <v>0</v>
      </c>
      <c r="D199" s="11"/>
      <c r="E199" s="11"/>
      <c r="F199" s="11">
        <v>3769.13</v>
      </c>
      <c r="G199" s="11">
        <v>950</v>
      </c>
      <c r="H199" s="3"/>
      <c r="I199" s="11"/>
      <c r="J199" s="11">
        <v>1000</v>
      </c>
      <c r="K199" s="3"/>
      <c r="L199" s="11">
        <v>2000</v>
      </c>
      <c r="M199" s="38">
        <f t="shared" si="15"/>
        <v>1</v>
      </c>
    </row>
    <row r="200" spans="1:13" ht="15" x14ac:dyDescent="0.2">
      <c r="A200" s="14">
        <v>6031475</v>
      </c>
      <c r="B200" s="15" t="s">
        <v>263</v>
      </c>
      <c r="C200" s="16">
        <v>0</v>
      </c>
      <c r="D200" s="11"/>
      <c r="E200" s="11"/>
      <c r="F200" s="11">
        <v>24300.38</v>
      </c>
      <c r="G200" s="11">
        <v>22633.52</v>
      </c>
      <c r="H200" s="3"/>
      <c r="I200" s="11">
        <v>14000</v>
      </c>
      <c r="J200" s="11">
        <v>25000</v>
      </c>
      <c r="K200" s="3"/>
      <c r="L200" s="11">
        <v>30000</v>
      </c>
      <c r="M200" s="38">
        <f t="shared" si="15"/>
        <v>0.19999999999999996</v>
      </c>
    </row>
    <row r="201" spans="1:13" ht="15" x14ac:dyDescent="0.2">
      <c r="A201" s="14" t="s">
        <v>264</v>
      </c>
      <c r="B201" s="15" t="s">
        <v>160</v>
      </c>
      <c r="C201" s="16">
        <v>3315</v>
      </c>
      <c r="D201" s="11">
        <v>12980.28</v>
      </c>
      <c r="E201" s="11">
        <v>9569.81</v>
      </c>
      <c r="F201" s="11">
        <v>30857.39</v>
      </c>
      <c r="G201" s="11">
        <v>13232.95</v>
      </c>
      <c r="H201" s="3"/>
      <c r="I201" s="11">
        <v>12000</v>
      </c>
      <c r="J201" s="11">
        <v>15000</v>
      </c>
      <c r="K201" s="3"/>
      <c r="L201" s="11">
        <v>15000</v>
      </c>
      <c r="M201" s="38">
        <f t="shared" si="15"/>
        <v>0</v>
      </c>
    </row>
    <row r="202" spans="1:13" ht="15" x14ac:dyDescent="0.2">
      <c r="A202" s="14">
        <v>6031550</v>
      </c>
      <c r="B202" s="15" t="s">
        <v>265</v>
      </c>
      <c r="C202" s="16">
        <v>0</v>
      </c>
      <c r="D202" s="11"/>
      <c r="E202" s="11"/>
      <c r="F202" s="11">
        <v>38652.86</v>
      </c>
      <c r="G202" s="11">
        <v>19372.22</v>
      </c>
      <c r="H202" s="3"/>
      <c r="I202" s="11">
        <v>8000</v>
      </c>
      <c r="J202" s="11">
        <v>20000</v>
      </c>
      <c r="K202" s="3"/>
      <c r="L202" s="11">
        <v>12000</v>
      </c>
      <c r="M202" s="38">
        <f t="shared" si="15"/>
        <v>-0.4</v>
      </c>
    </row>
    <row r="203" spans="1:13" ht="15" x14ac:dyDescent="0.2">
      <c r="A203" s="14">
        <v>6031600</v>
      </c>
      <c r="B203" s="15" t="s">
        <v>162</v>
      </c>
      <c r="C203" s="16">
        <v>0</v>
      </c>
      <c r="D203" s="11"/>
      <c r="E203" s="11"/>
      <c r="F203" s="11">
        <v>127.5</v>
      </c>
      <c r="G203" s="11">
        <v>0</v>
      </c>
      <c r="H203" s="3"/>
      <c r="I203" s="11"/>
      <c r="J203" s="11">
        <v>0</v>
      </c>
      <c r="K203" s="3"/>
      <c r="L203" s="11"/>
    </row>
    <row r="204" spans="1:13" ht="15" x14ac:dyDescent="0.2">
      <c r="A204" s="14" t="s">
        <v>266</v>
      </c>
      <c r="B204" s="15" t="s">
        <v>80</v>
      </c>
      <c r="C204" s="16">
        <v>7736</v>
      </c>
      <c r="D204" s="11">
        <v>5581.8</v>
      </c>
      <c r="E204" s="11">
        <v>2006.93</v>
      </c>
      <c r="F204" s="11">
        <v>9088.06</v>
      </c>
      <c r="G204" s="11">
        <v>10108.780000000001</v>
      </c>
      <c r="H204" s="3"/>
      <c r="I204" s="11">
        <v>5000</v>
      </c>
      <c r="J204" s="11">
        <v>11000</v>
      </c>
      <c r="K204" s="3"/>
      <c r="L204" s="11">
        <v>15100</v>
      </c>
      <c r="M204" s="38">
        <f t="shared" si="15"/>
        <v>0.3727272727272728</v>
      </c>
    </row>
    <row r="205" spans="1:13" ht="15" x14ac:dyDescent="0.2">
      <c r="A205" s="14" t="s">
        <v>267</v>
      </c>
      <c r="B205" s="15" t="s">
        <v>164</v>
      </c>
      <c r="C205" s="16">
        <v>22395</v>
      </c>
      <c r="D205" s="11">
        <v>13233.24</v>
      </c>
      <c r="E205" s="11">
        <v>6173.44</v>
      </c>
      <c r="F205" s="11">
        <v>18739.400000000001</v>
      </c>
      <c r="G205" s="11">
        <v>48228.57</v>
      </c>
      <c r="H205" s="3"/>
      <c r="I205" s="11">
        <v>10000</v>
      </c>
      <c r="J205" s="11">
        <v>50000</v>
      </c>
      <c r="K205" s="3"/>
      <c r="L205" s="11">
        <v>1000</v>
      </c>
      <c r="M205" s="38">
        <f t="shared" si="15"/>
        <v>-0.98</v>
      </c>
    </row>
    <row r="206" spans="1:13" ht="15" x14ac:dyDescent="0.2">
      <c r="A206" s="14" t="s">
        <v>268</v>
      </c>
      <c r="B206" s="15" t="s">
        <v>269</v>
      </c>
      <c r="C206" s="16">
        <v>0</v>
      </c>
      <c r="D206" s="11">
        <v>1016.49</v>
      </c>
      <c r="E206" s="11">
        <v>746.03</v>
      </c>
      <c r="F206" s="11">
        <v>3306.25</v>
      </c>
      <c r="G206" s="11">
        <v>1580.17</v>
      </c>
      <c r="H206" s="3"/>
      <c r="I206" s="11">
        <v>1000</v>
      </c>
      <c r="J206" s="11">
        <v>1000</v>
      </c>
      <c r="K206" s="3"/>
      <c r="L206" s="11">
        <v>1500</v>
      </c>
      <c r="M206" s="38">
        <f t="shared" si="15"/>
        <v>0.5</v>
      </c>
    </row>
    <row r="207" spans="1:13" ht="15" x14ac:dyDescent="0.2">
      <c r="A207" s="14" t="s">
        <v>270</v>
      </c>
      <c r="B207" s="15" t="s">
        <v>191</v>
      </c>
      <c r="C207" s="16">
        <v>69</v>
      </c>
      <c r="D207" s="11">
        <v>141252</v>
      </c>
      <c r="E207" s="11">
        <v>86987.44</v>
      </c>
      <c r="F207" s="11">
        <v>13770.45</v>
      </c>
      <c r="G207" s="11">
        <v>23304.49</v>
      </c>
      <c r="H207" s="3"/>
      <c r="I207" s="11">
        <v>0</v>
      </c>
      <c r="J207" s="11">
        <v>20000</v>
      </c>
      <c r="K207" s="3"/>
      <c r="L207" s="11">
        <v>10000</v>
      </c>
      <c r="M207" s="38">
        <f t="shared" si="15"/>
        <v>-0.5</v>
      </c>
    </row>
    <row r="208" spans="1:13" ht="15" x14ac:dyDescent="0.2">
      <c r="A208" s="21"/>
      <c r="B208" s="22"/>
      <c r="C208" s="16"/>
      <c r="D208" s="11"/>
      <c r="E208" s="11"/>
      <c r="F208" s="11"/>
      <c r="G208" s="11"/>
      <c r="H208" s="3"/>
      <c r="I208" s="11"/>
      <c r="J208" s="11"/>
      <c r="K208" s="3"/>
      <c r="L208" s="11"/>
    </row>
    <row r="209" spans="1:13" ht="15" x14ac:dyDescent="0.25">
      <c r="A209" s="17" t="s">
        <v>21</v>
      </c>
      <c r="B209" s="18" t="s">
        <v>271</v>
      </c>
      <c r="C209" s="19">
        <f>SUM(C168:C208)</f>
        <v>1579629</v>
      </c>
      <c r="D209" s="11">
        <f>SUM(D168:D208)</f>
        <v>1937252.9199999997</v>
      </c>
      <c r="E209" s="11">
        <f>SUM(E168:E208)</f>
        <v>1746817.6199999994</v>
      </c>
      <c r="F209" s="11">
        <f>SUM(F168:F208)</f>
        <v>2558523.8799999994</v>
      </c>
      <c r="G209" s="11">
        <f>SUM(G168:G208)</f>
        <v>2157668.6200000006</v>
      </c>
      <c r="H209" s="3"/>
      <c r="I209" s="11">
        <f>SUM(I168:I208)</f>
        <v>2840324.91</v>
      </c>
      <c r="J209" s="11">
        <f>SUM(J168:J208)</f>
        <v>3165204</v>
      </c>
      <c r="K209" s="3"/>
      <c r="L209" s="11">
        <f>SUM(L168:L208)</f>
        <v>3289277.1609702753</v>
      </c>
      <c r="M209" s="38">
        <f>+L209/J209-1</f>
        <v>3.919910406099425E-2</v>
      </c>
    </row>
    <row r="210" spans="1:13" ht="15" x14ac:dyDescent="0.2">
      <c r="D210" s="11"/>
      <c r="E210" s="11"/>
      <c r="F210" s="11"/>
      <c r="G210" s="11"/>
      <c r="H210" s="3"/>
      <c r="I210" s="11"/>
      <c r="J210" s="11"/>
      <c r="K210" s="3"/>
      <c r="L210" s="11"/>
    </row>
    <row r="211" spans="1:13" ht="15" x14ac:dyDescent="0.25">
      <c r="A211" s="9" t="s">
        <v>272</v>
      </c>
      <c r="B211" s="10" t="s">
        <v>273</v>
      </c>
      <c r="D211" s="11"/>
      <c r="E211" s="11"/>
      <c r="F211" s="11"/>
      <c r="G211" s="11"/>
      <c r="H211" s="3"/>
      <c r="I211" s="11"/>
      <c r="J211" s="11"/>
      <c r="K211" s="3"/>
      <c r="L211" s="11"/>
    </row>
    <row r="212" spans="1:13" ht="15" x14ac:dyDescent="0.25">
      <c r="A212" s="12" t="s">
        <v>9</v>
      </c>
      <c r="B212" s="13" t="s">
        <v>10</v>
      </c>
      <c r="D212" s="11"/>
      <c r="E212" s="11"/>
      <c r="F212" s="11"/>
      <c r="G212" s="11"/>
      <c r="H212" s="3"/>
      <c r="I212" s="11"/>
      <c r="J212" s="11"/>
      <c r="K212" s="3"/>
      <c r="L212" s="11"/>
    </row>
    <row r="213" spans="1:13" ht="15" x14ac:dyDescent="0.2">
      <c r="A213" s="14" t="s">
        <v>274</v>
      </c>
      <c r="B213" s="15" t="s">
        <v>275</v>
      </c>
      <c r="C213" s="16">
        <v>9277</v>
      </c>
      <c r="D213" s="11">
        <v>5577.97</v>
      </c>
      <c r="E213" s="11">
        <v>4875.72</v>
      </c>
      <c r="F213" s="11">
        <v>9487.18</v>
      </c>
      <c r="G213" s="11">
        <v>7207</v>
      </c>
      <c r="H213" s="3"/>
      <c r="I213" s="11">
        <v>7500</v>
      </c>
      <c r="J213" s="11">
        <v>7500</v>
      </c>
      <c r="K213" s="3"/>
      <c r="L213" s="11">
        <v>7500</v>
      </c>
      <c r="M213" s="38">
        <f t="shared" ref="M213:M218" si="16">+L213/J213-1</f>
        <v>0</v>
      </c>
    </row>
    <row r="214" spans="1:13" ht="15" x14ac:dyDescent="0.2">
      <c r="A214" s="14" t="s">
        <v>276</v>
      </c>
      <c r="B214" s="15" t="s">
        <v>277</v>
      </c>
      <c r="C214" s="16">
        <v>27128</v>
      </c>
      <c r="D214" s="11">
        <v>25347.39</v>
      </c>
      <c r="E214" s="11">
        <v>24004.85</v>
      </c>
      <c r="F214" s="11">
        <v>50514.7</v>
      </c>
      <c r="G214" s="11">
        <v>49979.66</v>
      </c>
      <c r="H214" s="3"/>
      <c r="I214" s="11">
        <v>70000</v>
      </c>
      <c r="J214" s="11">
        <v>70000</v>
      </c>
      <c r="K214" s="3"/>
      <c r="L214" s="11">
        <v>60000</v>
      </c>
      <c r="M214" s="38">
        <f t="shared" si="16"/>
        <v>-0.1428571428571429</v>
      </c>
    </row>
    <row r="215" spans="1:13" ht="15" x14ac:dyDescent="0.2">
      <c r="A215" s="14" t="s">
        <v>278</v>
      </c>
      <c r="B215" s="15" t="s">
        <v>279</v>
      </c>
      <c r="C215" s="16">
        <v>14531</v>
      </c>
      <c r="D215" s="11">
        <v>19867.900000000001</v>
      </c>
      <c r="E215" s="11">
        <v>39492.120000000003</v>
      </c>
      <c r="F215" s="11">
        <v>23190.560000000001</v>
      </c>
      <c r="G215" s="11">
        <v>10967.22</v>
      </c>
      <c r="H215" s="3"/>
      <c r="I215" s="11">
        <v>20000</v>
      </c>
      <c r="J215" s="11">
        <v>20000</v>
      </c>
      <c r="K215" s="3"/>
      <c r="L215" s="11">
        <v>20000</v>
      </c>
      <c r="M215" s="38">
        <f t="shared" si="16"/>
        <v>0</v>
      </c>
    </row>
    <row r="216" spans="1:13" ht="15" x14ac:dyDescent="0.2">
      <c r="A216" s="14" t="s">
        <v>280</v>
      </c>
      <c r="B216" s="15" t="s">
        <v>281</v>
      </c>
      <c r="C216" s="16">
        <v>11628</v>
      </c>
      <c r="D216" s="11">
        <v>14296.15</v>
      </c>
      <c r="E216" s="11">
        <v>7727.36</v>
      </c>
      <c r="F216" s="11">
        <v>8328.17</v>
      </c>
      <c r="G216" s="11">
        <v>9746.52</v>
      </c>
      <c r="H216" s="3"/>
      <c r="I216" s="11">
        <v>10000</v>
      </c>
      <c r="J216" s="11">
        <v>10000</v>
      </c>
      <c r="K216" s="3"/>
      <c r="L216" s="11">
        <v>10000</v>
      </c>
      <c r="M216" s="38">
        <f t="shared" si="16"/>
        <v>0</v>
      </c>
    </row>
    <row r="217" spans="1:13" ht="15" x14ac:dyDescent="0.2">
      <c r="A217" s="14" t="s">
        <v>282</v>
      </c>
      <c r="B217" s="15" t="s">
        <v>283</v>
      </c>
      <c r="C217" s="16">
        <v>0</v>
      </c>
      <c r="D217" s="11">
        <v>368.57</v>
      </c>
      <c r="E217" s="11">
        <v>0</v>
      </c>
      <c r="F217" s="11">
        <v>32.909999999999997</v>
      </c>
      <c r="G217" s="11">
        <v>0</v>
      </c>
      <c r="H217" s="3"/>
      <c r="I217" s="11"/>
      <c r="J217" s="11">
        <v>0</v>
      </c>
      <c r="K217" s="3"/>
      <c r="L217" s="11"/>
    </row>
    <row r="218" spans="1:13" ht="15" x14ac:dyDescent="0.2">
      <c r="A218" s="14" t="s">
        <v>284</v>
      </c>
      <c r="B218" s="15" t="s">
        <v>285</v>
      </c>
      <c r="C218" s="16">
        <v>758</v>
      </c>
      <c r="D218" s="11">
        <v>1656.96</v>
      </c>
      <c r="E218" s="11">
        <v>-2061</v>
      </c>
      <c r="F218" s="11">
        <v>16859.53</v>
      </c>
      <c r="G218" s="11">
        <v>1583.02</v>
      </c>
      <c r="H218" s="3"/>
      <c r="I218" s="11">
        <v>500</v>
      </c>
      <c r="J218" s="11">
        <v>1500</v>
      </c>
      <c r="K218" s="3"/>
      <c r="L218" s="11">
        <v>500</v>
      </c>
      <c r="M218" s="38">
        <f t="shared" si="16"/>
        <v>-0.66666666666666674</v>
      </c>
    </row>
    <row r="219" spans="1:13" ht="15" x14ac:dyDescent="0.2">
      <c r="A219" s="14"/>
      <c r="B219" s="15"/>
      <c r="C219" s="16"/>
      <c r="D219" s="11"/>
      <c r="E219" s="11"/>
      <c r="F219" s="11"/>
      <c r="G219" s="11"/>
      <c r="H219" s="3"/>
      <c r="I219" s="11"/>
      <c r="J219" s="11"/>
      <c r="K219" s="3"/>
      <c r="L219" s="11"/>
    </row>
    <row r="220" spans="1:13" ht="15" x14ac:dyDescent="0.25">
      <c r="A220" s="29"/>
      <c r="B220" s="30" t="s">
        <v>286</v>
      </c>
      <c r="C220" s="16">
        <f>SUM(C213:C218)</f>
        <v>63322</v>
      </c>
      <c r="D220" s="11">
        <f>SUM(D213:D218)</f>
        <v>67114.94</v>
      </c>
      <c r="E220" s="11">
        <f>SUM(E213:E218)</f>
        <v>74039.05</v>
      </c>
      <c r="F220" s="11">
        <f>SUM(F213:F218)</f>
        <v>108413.05</v>
      </c>
      <c r="G220" s="11">
        <f>SUM(G213:G218)</f>
        <v>79483.420000000013</v>
      </c>
      <c r="H220" s="3"/>
      <c r="I220" s="11">
        <f>SUM(I213:I218)</f>
        <v>108000</v>
      </c>
      <c r="J220" s="11">
        <f>SUM(J213:J218)</f>
        <v>109000</v>
      </c>
      <c r="K220" s="3"/>
      <c r="L220" s="11">
        <f>SUM(L213:L218)</f>
        <v>98000</v>
      </c>
      <c r="M220" s="38">
        <f>+L220/J220-1</f>
        <v>-0.1009174311926605</v>
      </c>
    </row>
    <row r="221" spans="1:13" ht="15" x14ac:dyDescent="0.25">
      <c r="A221" s="29"/>
      <c r="B221" s="30"/>
      <c r="C221" s="16"/>
      <c r="D221" s="11"/>
      <c r="E221" s="11"/>
      <c r="F221" s="11"/>
      <c r="G221" s="11"/>
      <c r="H221" s="3"/>
      <c r="I221" s="11"/>
      <c r="J221" s="11"/>
      <c r="K221" s="3"/>
      <c r="L221" s="11"/>
    </row>
    <row r="222" spans="1:13" ht="15" x14ac:dyDescent="0.2">
      <c r="A222" s="14" t="s">
        <v>287</v>
      </c>
      <c r="B222" s="15" t="s">
        <v>124</v>
      </c>
      <c r="C222" s="16">
        <v>48451</v>
      </c>
      <c r="D222" s="11">
        <v>88856.51</v>
      </c>
      <c r="E222" s="11">
        <v>74977.039999999994</v>
      </c>
      <c r="F222" s="11">
        <v>104204.26</v>
      </c>
      <c r="G222" s="11">
        <v>66398.89</v>
      </c>
      <c r="H222" s="3"/>
      <c r="I222" s="11">
        <v>103599</v>
      </c>
      <c r="J222" s="11">
        <v>103599</v>
      </c>
      <c r="K222" s="3"/>
      <c r="L222" s="11">
        <f>+'[1]Non-Union - 3.5%'!$I$32+'[1]Non-Union - 3.5%'!$V$32</f>
        <v>108255.20399999998</v>
      </c>
      <c r="M222" s="38">
        <f t="shared" ref="M222:M237" si="17">+L222/J222-1</f>
        <v>4.4944487881156903E-2</v>
      </c>
    </row>
    <row r="223" spans="1:13" ht="15" x14ac:dyDescent="0.2">
      <c r="A223" s="14" t="s">
        <v>288</v>
      </c>
      <c r="B223" s="15" t="s">
        <v>126</v>
      </c>
      <c r="C223" s="16">
        <v>3883</v>
      </c>
      <c r="D223" s="11">
        <v>7534.55</v>
      </c>
      <c r="E223" s="11">
        <v>6082.32</v>
      </c>
      <c r="F223" s="11">
        <v>9557.49</v>
      </c>
      <c r="G223" s="11">
        <v>5362.49</v>
      </c>
      <c r="H223" s="3"/>
      <c r="I223" s="11">
        <v>8288</v>
      </c>
      <c r="J223" s="11">
        <v>8288</v>
      </c>
      <c r="K223" s="3"/>
      <c r="L223" s="11">
        <f>+'[1]Non-Union - 3.5%'!$P$32+'[1]Non-Union - 3.5%'!$Z$32</f>
        <v>8660.4163200000003</v>
      </c>
      <c r="M223" s="38">
        <f t="shared" si="17"/>
        <v>4.4934401544401537E-2</v>
      </c>
    </row>
    <row r="224" spans="1:13" ht="15" x14ac:dyDescent="0.2">
      <c r="A224" s="14" t="s">
        <v>289</v>
      </c>
      <c r="B224" s="15" t="s">
        <v>128</v>
      </c>
      <c r="C224" s="16">
        <v>11397</v>
      </c>
      <c r="D224" s="11">
        <v>11398.2</v>
      </c>
      <c r="E224" s="11">
        <v>12847.24</v>
      </c>
      <c r="F224" s="11">
        <v>36232.839999999997</v>
      </c>
      <c r="G224" s="11">
        <v>43496.77</v>
      </c>
      <c r="H224" s="3"/>
      <c r="I224" s="11">
        <v>50740</v>
      </c>
      <c r="J224" s="11">
        <v>50740</v>
      </c>
      <c r="K224" s="3"/>
      <c r="L224" s="11">
        <f>+SUM('[1]Non-Union - 3.5%'!$K$32:$N$32)</f>
        <v>81043.34</v>
      </c>
      <c r="M224" s="38">
        <f t="shared" si="17"/>
        <v>0.59722782814347641</v>
      </c>
    </row>
    <row r="225" spans="1:13" ht="15" x14ac:dyDescent="0.2">
      <c r="A225" s="14" t="s">
        <v>290</v>
      </c>
      <c r="B225" s="15" t="s">
        <v>130</v>
      </c>
      <c r="C225" s="16">
        <v>1389</v>
      </c>
      <c r="D225" s="11">
        <v>1644.01</v>
      </c>
      <c r="E225" s="11">
        <v>2017.34</v>
      </c>
      <c r="F225" s="11">
        <v>1439.93</v>
      </c>
      <c r="G225" s="11">
        <v>1134.0999999999999</v>
      </c>
      <c r="H225" s="3"/>
      <c r="I225" s="11">
        <v>3108</v>
      </c>
      <c r="J225" s="11">
        <v>3108</v>
      </c>
      <c r="K225" s="3"/>
      <c r="L225" s="11">
        <f>+'[1]Non-Union - 3.5%'!$O$32+'[1]Non-Union - 3.5%'!$X$32</f>
        <v>1757.7979424999996</v>
      </c>
      <c r="M225" s="38">
        <f t="shared" si="17"/>
        <v>-0.43442794642857152</v>
      </c>
    </row>
    <row r="226" spans="1:13" ht="15" x14ac:dyDescent="0.2">
      <c r="A226" s="14" t="s">
        <v>291</v>
      </c>
      <c r="B226" s="15" t="s">
        <v>171</v>
      </c>
      <c r="C226" s="16">
        <v>619</v>
      </c>
      <c r="D226" s="11">
        <v>1144.03</v>
      </c>
      <c r="E226" s="11">
        <v>1059.58</v>
      </c>
      <c r="F226" s="11">
        <v>1475.13</v>
      </c>
      <c r="G226" s="11">
        <v>853.75</v>
      </c>
      <c r="H226" s="3"/>
      <c r="I226" s="11">
        <v>1000</v>
      </c>
      <c r="J226" s="11">
        <v>1000</v>
      </c>
      <c r="K226" s="3"/>
      <c r="L226" s="11">
        <v>1000</v>
      </c>
      <c r="M226" s="38">
        <f t="shared" si="17"/>
        <v>0</v>
      </c>
    </row>
    <row r="227" spans="1:13" ht="15" x14ac:dyDescent="0.2">
      <c r="A227" s="14" t="s">
        <v>292</v>
      </c>
      <c r="B227" s="15" t="s">
        <v>132</v>
      </c>
      <c r="C227" s="16">
        <v>2386</v>
      </c>
      <c r="D227" s="11">
        <v>1856.23</v>
      </c>
      <c r="E227" s="11">
        <v>1566.85</v>
      </c>
      <c r="F227" s="11">
        <v>1388.72</v>
      </c>
      <c r="G227" s="11">
        <v>2564.87</v>
      </c>
      <c r="H227" s="3"/>
      <c r="I227" s="11">
        <v>3191</v>
      </c>
      <c r="J227" s="11">
        <v>3191</v>
      </c>
      <c r="K227" s="3"/>
      <c r="L227" s="11">
        <f>+'[1]Non-Union - 3.5%'!$R$32+'[1]Non-Union - 3.5%'!$Y$32</f>
        <v>3334.2602831999998</v>
      </c>
      <c r="M227" s="38">
        <f t="shared" si="17"/>
        <v>4.4895105985584438E-2</v>
      </c>
    </row>
    <row r="228" spans="1:13" ht="15" x14ac:dyDescent="0.2">
      <c r="A228" s="14">
        <v>6040300</v>
      </c>
      <c r="B228" s="15" t="s">
        <v>134</v>
      </c>
      <c r="C228" s="16">
        <v>0</v>
      </c>
      <c r="D228" s="11">
        <v>0</v>
      </c>
      <c r="E228" s="11">
        <v>8572.33</v>
      </c>
      <c r="F228" s="11">
        <v>8903.25</v>
      </c>
      <c r="G228" s="11">
        <v>11898</v>
      </c>
      <c r="H228" s="3"/>
      <c r="I228" s="11">
        <v>10000</v>
      </c>
      <c r="J228" s="11">
        <v>10000</v>
      </c>
      <c r="K228" s="3"/>
      <c r="L228" s="11">
        <v>10000</v>
      </c>
      <c r="M228" s="38">
        <f t="shared" si="17"/>
        <v>0</v>
      </c>
    </row>
    <row r="229" spans="1:13" ht="15" x14ac:dyDescent="0.2">
      <c r="A229" s="14">
        <v>6040310</v>
      </c>
      <c r="B229" s="15" t="s">
        <v>136</v>
      </c>
      <c r="C229" s="16">
        <v>0</v>
      </c>
      <c r="D229" s="11">
        <v>0</v>
      </c>
      <c r="E229" s="11">
        <v>706.65</v>
      </c>
      <c r="F229" s="11">
        <v>830.74</v>
      </c>
      <c r="G229" s="11">
        <v>1017.92</v>
      </c>
      <c r="H229" s="3"/>
      <c r="I229" s="11">
        <v>900</v>
      </c>
      <c r="J229" s="11">
        <v>900</v>
      </c>
      <c r="K229" s="3"/>
      <c r="L229" s="11">
        <v>1000</v>
      </c>
      <c r="M229" s="38">
        <f t="shared" si="17"/>
        <v>0.11111111111111116</v>
      </c>
    </row>
    <row r="230" spans="1:13" ht="15" x14ac:dyDescent="0.2">
      <c r="A230" s="14">
        <v>6040350</v>
      </c>
      <c r="B230" s="15" t="s">
        <v>138</v>
      </c>
      <c r="C230" s="16"/>
      <c r="D230" s="11"/>
      <c r="E230" s="11"/>
      <c r="F230" s="11">
        <v>563.01</v>
      </c>
      <c r="G230" s="11">
        <v>227.32</v>
      </c>
      <c r="H230" s="3"/>
      <c r="I230" s="11"/>
      <c r="J230" s="11">
        <v>0</v>
      </c>
      <c r="K230" s="3"/>
      <c r="L230" s="11">
        <f>+L228*3.08/100</f>
        <v>308</v>
      </c>
    </row>
    <row r="231" spans="1:13" ht="15" x14ac:dyDescent="0.2">
      <c r="A231" s="14" t="s">
        <v>293</v>
      </c>
      <c r="B231" s="15" t="s">
        <v>140</v>
      </c>
      <c r="C231" s="16">
        <v>4014</v>
      </c>
      <c r="D231" s="11">
        <v>4235.8900000000003</v>
      </c>
      <c r="E231" s="11">
        <v>2757.43</v>
      </c>
      <c r="F231" s="11">
        <v>3496.7</v>
      </c>
      <c r="G231" s="11">
        <v>2711.72</v>
      </c>
      <c r="H231" s="3"/>
      <c r="I231" s="11">
        <v>2500</v>
      </c>
      <c r="J231" s="11">
        <v>2500</v>
      </c>
      <c r="K231" s="3"/>
      <c r="L231" s="11">
        <v>3000</v>
      </c>
      <c r="M231" s="38">
        <f t="shared" si="17"/>
        <v>0.19999999999999996</v>
      </c>
    </row>
    <row r="232" spans="1:13" ht="15" x14ac:dyDescent="0.2">
      <c r="A232" s="14" t="s">
        <v>294</v>
      </c>
      <c r="B232" s="15" t="s">
        <v>146</v>
      </c>
      <c r="C232" s="16">
        <v>473</v>
      </c>
      <c r="D232" s="11">
        <v>853.69</v>
      </c>
      <c r="E232" s="11">
        <v>16.989999999999998</v>
      </c>
      <c r="F232" s="11">
        <v>1099.22</v>
      </c>
      <c r="G232" s="11">
        <v>3000</v>
      </c>
      <c r="H232" s="3"/>
      <c r="I232" s="11">
        <v>1000</v>
      </c>
      <c r="J232" s="11">
        <v>1000</v>
      </c>
      <c r="K232" s="3"/>
      <c r="L232" s="11">
        <v>1500</v>
      </c>
      <c r="M232" s="38">
        <f t="shared" si="17"/>
        <v>0.5</v>
      </c>
    </row>
    <row r="233" spans="1:13" ht="15" x14ac:dyDescent="0.2">
      <c r="A233" s="14" t="s">
        <v>295</v>
      </c>
      <c r="B233" s="15" t="s">
        <v>182</v>
      </c>
      <c r="C233" s="16">
        <v>2193</v>
      </c>
      <c r="D233" s="11">
        <v>5278.05</v>
      </c>
      <c r="E233" s="11">
        <v>5053.07</v>
      </c>
      <c r="F233" s="11">
        <v>5451.43</v>
      </c>
      <c r="G233" s="11">
        <v>4691.25</v>
      </c>
      <c r="H233" s="3"/>
      <c r="I233" s="11">
        <v>8000</v>
      </c>
      <c r="J233" s="11">
        <v>8000</v>
      </c>
      <c r="K233" s="3"/>
      <c r="L233" s="11">
        <v>8000</v>
      </c>
      <c r="M233" s="38">
        <f t="shared" si="17"/>
        <v>0</v>
      </c>
    </row>
    <row r="234" spans="1:13" ht="15" x14ac:dyDescent="0.2">
      <c r="A234" s="14" t="s">
        <v>296</v>
      </c>
      <c r="B234" s="15" t="s">
        <v>254</v>
      </c>
      <c r="C234" s="16">
        <v>2199</v>
      </c>
      <c r="D234" s="11">
        <v>176.26</v>
      </c>
      <c r="E234" s="11">
        <v>2403.52</v>
      </c>
      <c r="F234" s="11">
        <v>2389.83</v>
      </c>
      <c r="G234" s="11">
        <v>332.52</v>
      </c>
      <c r="H234" s="3"/>
      <c r="I234" s="11">
        <v>2500</v>
      </c>
      <c r="J234" s="11">
        <v>2500</v>
      </c>
      <c r="K234" s="3"/>
      <c r="L234" s="11">
        <v>500</v>
      </c>
      <c r="M234" s="38">
        <f t="shared" si="17"/>
        <v>-0.8</v>
      </c>
    </row>
    <row r="235" spans="1:13" ht="15" x14ac:dyDescent="0.2">
      <c r="A235" s="14" t="s">
        <v>297</v>
      </c>
      <c r="B235" s="15" t="s">
        <v>160</v>
      </c>
      <c r="C235" s="16">
        <v>0</v>
      </c>
      <c r="D235" s="11">
        <v>6329.32</v>
      </c>
      <c r="E235" s="11">
        <v>4338.3</v>
      </c>
      <c r="F235" s="11">
        <v>6937.69</v>
      </c>
      <c r="G235" s="11">
        <v>2950.44</v>
      </c>
      <c r="H235" s="3"/>
      <c r="I235" s="11">
        <v>5000</v>
      </c>
      <c r="J235" s="11">
        <v>5000</v>
      </c>
      <c r="K235" s="3"/>
      <c r="L235" s="11">
        <v>5000</v>
      </c>
      <c r="M235" s="38">
        <f t="shared" si="17"/>
        <v>0</v>
      </c>
    </row>
    <row r="236" spans="1:13" ht="15" x14ac:dyDescent="0.2">
      <c r="A236" s="14" t="s">
        <v>298</v>
      </c>
      <c r="B236" s="15" t="s">
        <v>80</v>
      </c>
      <c r="C236" s="16">
        <v>2718</v>
      </c>
      <c r="D236" s="11">
        <v>177.96</v>
      </c>
      <c r="E236" s="11">
        <v>142.22999999999999</v>
      </c>
      <c r="F236" s="11">
        <v>521.03</v>
      </c>
      <c r="G236" s="11">
        <v>36.24</v>
      </c>
      <c r="H236" s="3"/>
      <c r="I236" s="11">
        <v>150</v>
      </c>
      <c r="J236" s="11">
        <v>150</v>
      </c>
      <c r="K236" s="3"/>
      <c r="L236" s="11">
        <v>150</v>
      </c>
      <c r="M236" s="38">
        <f t="shared" si="17"/>
        <v>0</v>
      </c>
    </row>
    <row r="237" spans="1:13" ht="15" x14ac:dyDescent="0.2">
      <c r="A237" s="14" t="s">
        <v>299</v>
      </c>
      <c r="B237" s="15" t="s">
        <v>164</v>
      </c>
      <c r="C237" s="16">
        <v>380</v>
      </c>
      <c r="D237" s="11">
        <v>75.31</v>
      </c>
      <c r="E237" s="11">
        <v>377.06</v>
      </c>
      <c r="F237" s="11">
        <v>117.86</v>
      </c>
      <c r="G237" s="11">
        <v>93.92</v>
      </c>
      <c r="H237" s="3"/>
      <c r="I237" s="11">
        <v>2500</v>
      </c>
      <c r="J237" s="11">
        <v>2500</v>
      </c>
      <c r="K237" s="3"/>
      <c r="L237" s="11">
        <v>2500</v>
      </c>
      <c r="M237" s="38">
        <f t="shared" si="17"/>
        <v>0</v>
      </c>
    </row>
    <row r="238" spans="1:13" ht="15" x14ac:dyDescent="0.2">
      <c r="A238" s="14">
        <v>6042000</v>
      </c>
      <c r="B238" s="15" t="s">
        <v>300</v>
      </c>
      <c r="C238" s="16">
        <v>3327</v>
      </c>
      <c r="D238" s="11">
        <v>9920</v>
      </c>
      <c r="E238" s="11">
        <v>35098.980000000003</v>
      </c>
      <c r="F238" s="11">
        <v>3079.11</v>
      </c>
      <c r="G238" s="11"/>
      <c r="H238" s="3"/>
      <c r="I238" s="11"/>
      <c r="J238" s="11"/>
      <c r="K238" s="3"/>
      <c r="L238" s="11">
        <v>5000</v>
      </c>
    </row>
    <row r="239" spans="1:13" ht="15" x14ac:dyDescent="0.2">
      <c r="A239" s="14"/>
      <c r="B239" s="15"/>
      <c r="C239" s="16"/>
      <c r="D239" s="11"/>
      <c r="E239" s="11"/>
      <c r="F239" s="11"/>
      <c r="G239" s="11"/>
      <c r="H239" s="3"/>
      <c r="I239" s="11"/>
      <c r="J239" s="11"/>
      <c r="K239" s="3"/>
      <c r="L239" s="11"/>
    </row>
    <row r="240" spans="1:13" ht="15" x14ac:dyDescent="0.25">
      <c r="A240" s="29"/>
      <c r="B240" s="30" t="s">
        <v>301</v>
      </c>
      <c r="C240" s="16">
        <f>SUM(C222:C238)</f>
        <v>83429</v>
      </c>
      <c r="D240" s="11">
        <f>SUM(D222:D238)</f>
        <v>139480.01</v>
      </c>
      <c r="E240" s="11">
        <f>SUM(E222:E238)</f>
        <v>158016.93</v>
      </c>
      <c r="F240" s="11">
        <f>SUM(F222:F238)</f>
        <v>187688.23999999996</v>
      </c>
      <c r="G240" s="11">
        <f>SUM(G222:G238)</f>
        <v>146770.20000000001</v>
      </c>
      <c r="H240" s="3"/>
      <c r="I240" s="11">
        <f>SUM(I222:I238)</f>
        <v>202476</v>
      </c>
      <c r="J240" s="11">
        <f>SUM(J222:J238)</f>
        <v>202476</v>
      </c>
      <c r="K240" s="3"/>
      <c r="L240" s="11">
        <f>SUM(L222:L238)</f>
        <v>241009.0185457</v>
      </c>
      <c r="M240" s="38">
        <f>+L240/J240-1</f>
        <v>0.19030906648541057</v>
      </c>
    </row>
    <row r="241" spans="1:13" ht="15" x14ac:dyDescent="0.25">
      <c r="A241" s="29"/>
      <c r="B241" s="30"/>
      <c r="C241" s="16"/>
      <c r="D241" s="11"/>
      <c r="E241" s="11"/>
      <c r="F241" s="11"/>
      <c r="G241" s="11"/>
      <c r="H241" s="3"/>
      <c r="I241" s="11"/>
      <c r="J241" s="11"/>
      <c r="K241" s="3"/>
      <c r="L241" s="11"/>
    </row>
    <row r="242" spans="1:13" ht="15" x14ac:dyDescent="0.25">
      <c r="A242" s="17" t="s">
        <v>21</v>
      </c>
      <c r="B242" s="18" t="s">
        <v>302</v>
      </c>
      <c r="C242" s="25">
        <f>+C240+C220</f>
        <v>146751</v>
      </c>
      <c r="D242" s="11">
        <f>+D240+D220</f>
        <v>206594.95</v>
      </c>
      <c r="E242" s="11">
        <f t="shared" ref="E242:J242" si="18">+E240+E220</f>
        <v>232055.97999999998</v>
      </c>
      <c r="F242" s="11">
        <f t="shared" si="18"/>
        <v>296101.28999999998</v>
      </c>
      <c r="G242" s="11">
        <f t="shared" si="18"/>
        <v>226253.62000000002</v>
      </c>
      <c r="H242" s="3"/>
      <c r="I242" s="11">
        <f t="shared" si="18"/>
        <v>310476</v>
      </c>
      <c r="J242" s="11">
        <f t="shared" si="18"/>
        <v>311476</v>
      </c>
      <c r="K242" s="3"/>
      <c r="L242" s="11">
        <f>+L240+L220</f>
        <v>339009.0185457</v>
      </c>
      <c r="M242" s="38">
        <f>+L242/J242-1</f>
        <v>8.839531310823312E-2</v>
      </c>
    </row>
    <row r="243" spans="1:13" ht="15" x14ac:dyDescent="0.2">
      <c r="D243" s="11"/>
      <c r="E243" s="11"/>
      <c r="F243" s="11"/>
      <c r="G243" s="11"/>
      <c r="H243" s="3"/>
      <c r="I243" s="11"/>
      <c r="J243" s="11"/>
      <c r="K243" s="3"/>
      <c r="L243" s="11"/>
    </row>
    <row r="244" spans="1:13" ht="15" x14ac:dyDescent="0.25">
      <c r="A244" s="9" t="s">
        <v>303</v>
      </c>
      <c r="B244" s="10" t="s">
        <v>304</v>
      </c>
      <c r="D244" s="11"/>
      <c r="E244" s="11"/>
      <c r="F244" s="11"/>
      <c r="G244" s="11"/>
      <c r="H244" s="3"/>
      <c r="I244" s="11"/>
      <c r="J244" s="11"/>
      <c r="K244" s="3"/>
      <c r="L244" s="11"/>
    </row>
    <row r="245" spans="1:13" ht="15" x14ac:dyDescent="0.25">
      <c r="A245" s="12" t="s">
        <v>9</v>
      </c>
      <c r="B245" s="13" t="s">
        <v>10</v>
      </c>
      <c r="D245" s="11"/>
      <c r="E245" s="11"/>
      <c r="F245" s="11"/>
      <c r="G245" s="11"/>
      <c r="H245" s="3"/>
      <c r="I245" s="11"/>
      <c r="J245" s="11"/>
      <c r="K245" s="3"/>
      <c r="L245" s="11"/>
    </row>
    <row r="246" spans="1:13" ht="15" x14ac:dyDescent="0.2">
      <c r="A246" s="14" t="s">
        <v>305</v>
      </c>
      <c r="B246" s="15" t="s">
        <v>124</v>
      </c>
      <c r="C246" s="16">
        <v>342053</v>
      </c>
      <c r="D246" s="11">
        <v>325114.84999999998</v>
      </c>
      <c r="E246" s="11">
        <v>17769.150000000001</v>
      </c>
      <c r="F246" s="11">
        <v>23319.919999999998</v>
      </c>
      <c r="G246" s="11">
        <v>16313.84</v>
      </c>
      <c r="H246" s="3"/>
      <c r="I246" s="11">
        <v>25000</v>
      </c>
      <c r="J246" s="11">
        <v>25000</v>
      </c>
      <c r="K246" s="3"/>
      <c r="L246" s="11">
        <v>25875</v>
      </c>
      <c r="M246" s="38">
        <f t="shared" ref="M246:M268" si="19">+L246/J246-1</f>
        <v>3.499999999999992E-2</v>
      </c>
    </row>
    <row r="247" spans="1:13" ht="15" x14ac:dyDescent="0.2">
      <c r="A247" s="14" t="s">
        <v>306</v>
      </c>
      <c r="B247" s="15" t="s">
        <v>126</v>
      </c>
      <c r="C247" s="16">
        <v>32251</v>
      </c>
      <c r="D247" s="11">
        <v>31248.5</v>
      </c>
      <c r="E247" s="11">
        <v>1603.74</v>
      </c>
      <c r="F247" s="11">
        <v>1976.08</v>
      </c>
      <c r="G247" s="11">
        <v>1306.32</v>
      </c>
      <c r="H247" s="3"/>
      <c r="I247" s="11">
        <v>2000</v>
      </c>
      <c r="J247" s="11">
        <v>2000</v>
      </c>
      <c r="K247" s="3"/>
      <c r="L247" s="11">
        <v>2070</v>
      </c>
      <c r="M247" s="38">
        <f t="shared" si="19"/>
        <v>3.499999999999992E-2</v>
      </c>
    </row>
    <row r="248" spans="1:13" ht="15" x14ac:dyDescent="0.2">
      <c r="A248" s="14" t="s">
        <v>307</v>
      </c>
      <c r="B248" s="15" t="s">
        <v>128</v>
      </c>
      <c r="C248" s="16">
        <v>490</v>
      </c>
      <c r="D248" s="11">
        <v>704.4</v>
      </c>
      <c r="E248" s="11">
        <v>587</v>
      </c>
      <c r="F248" s="11">
        <v>704.4</v>
      </c>
      <c r="G248" s="11">
        <v>469.6</v>
      </c>
      <c r="H248" s="3"/>
      <c r="I248" s="11">
        <v>704</v>
      </c>
      <c r="J248" s="11">
        <v>704</v>
      </c>
      <c r="K248" s="3"/>
      <c r="L248" s="11">
        <v>704</v>
      </c>
      <c r="M248" s="38">
        <f t="shared" si="19"/>
        <v>0</v>
      </c>
    </row>
    <row r="249" spans="1:13" ht="15" x14ac:dyDescent="0.2">
      <c r="A249" s="14" t="s">
        <v>308</v>
      </c>
      <c r="B249" s="15" t="s">
        <v>132</v>
      </c>
      <c r="C249" s="16">
        <v>13150</v>
      </c>
      <c r="D249" s="11">
        <v>11541.18</v>
      </c>
      <c r="E249" s="11">
        <v>782</v>
      </c>
      <c r="F249" s="11">
        <v>1295.52</v>
      </c>
      <c r="G249" s="11">
        <v>444.12</v>
      </c>
      <c r="H249" s="3"/>
      <c r="I249" s="11">
        <v>770</v>
      </c>
      <c r="J249" s="11">
        <v>770</v>
      </c>
      <c r="K249" s="3"/>
      <c r="L249" s="11">
        <v>797</v>
      </c>
      <c r="M249" s="38">
        <f t="shared" si="19"/>
        <v>3.5064935064935021E-2</v>
      </c>
    </row>
    <row r="250" spans="1:13" ht="15" x14ac:dyDescent="0.2">
      <c r="A250" s="14">
        <v>6080300</v>
      </c>
      <c r="B250" s="15" t="s">
        <v>134</v>
      </c>
      <c r="C250" s="16">
        <v>0</v>
      </c>
      <c r="D250" s="11">
        <v>0</v>
      </c>
      <c r="E250" s="11">
        <v>356886.9</v>
      </c>
      <c r="F250" s="11">
        <v>364909.6</v>
      </c>
      <c r="G250" s="11">
        <v>402072.36</v>
      </c>
      <c r="H250" s="3"/>
      <c r="I250" s="11">
        <v>401992.5</v>
      </c>
      <c r="J250" s="11">
        <v>401993</v>
      </c>
      <c r="K250" s="3"/>
      <c r="L250" s="11">
        <v>445434.38</v>
      </c>
      <c r="M250" s="38">
        <f t="shared" si="19"/>
        <v>0.10806501605749363</v>
      </c>
    </row>
    <row r="251" spans="1:13" ht="15" x14ac:dyDescent="0.2">
      <c r="A251" s="14">
        <v>6080310</v>
      </c>
      <c r="B251" s="15" t="s">
        <v>136</v>
      </c>
      <c r="C251" s="16">
        <v>0</v>
      </c>
      <c r="D251" s="11">
        <v>0</v>
      </c>
      <c r="E251" s="11">
        <f>33729.62+40.32</f>
        <v>33769.94</v>
      </c>
      <c r="F251" s="11">
        <v>32756.37</v>
      </c>
      <c r="G251" s="11">
        <v>36872.15</v>
      </c>
      <c r="H251" s="3"/>
      <c r="I251" s="11">
        <v>40199.25</v>
      </c>
      <c r="J251" s="11">
        <v>40199</v>
      </c>
      <c r="K251" s="3"/>
      <c r="L251" s="11">
        <v>40089.089999999997</v>
      </c>
      <c r="M251" s="38">
        <f t="shared" si="19"/>
        <v>-2.7341476156124145E-3</v>
      </c>
    </row>
    <row r="252" spans="1:13" ht="15" x14ac:dyDescent="0.2">
      <c r="A252" s="14">
        <v>6080320</v>
      </c>
      <c r="B252" s="15" t="s">
        <v>309</v>
      </c>
      <c r="C252" s="16">
        <v>0</v>
      </c>
      <c r="D252" s="11">
        <v>0</v>
      </c>
      <c r="E252" s="11">
        <v>0</v>
      </c>
      <c r="F252" s="11">
        <v>0</v>
      </c>
      <c r="G252" s="11">
        <v>0</v>
      </c>
      <c r="H252" s="3"/>
      <c r="I252" s="11">
        <v>1000</v>
      </c>
      <c r="J252" s="11">
        <v>1000</v>
      </c>
      <c r="K252" s="3"/>
      <c r="L252" s="11">
        <v>0</v>
      </c>
      <c r="M252" s="38">
        <f t="shared" si="19"/>
        <v>-1</v>
      </c>
    </row>
    <row r="253" spans="1:13" ht="15" x14ac:dyDescent="0.2">
      <c r="A253" s="14">
        <v>6080350</v>
      </c>
      <c r="B253" s="15" t="s">
        <v>176</v>
      </c>
      <c r="C253" s="16">
        <v>0</v>
      </c>
      <c r="D253" s="11">
        <v>6569</v>
      </c>
      <c r="E253" s="11">
        <v>4785.88</v>
      </c>
      <c r="F253" s="11">
        <v>12720.3</v>
      </c>
      <c r="G253" s="11">
        <v>5261.6</v>
      </c>
      <c r="H253" s="3"/>
      <c r="I253" s="11">
        <v>10000</v>
      </c>
      <c r="J253" s="11">
        <v>10000</v>
      </c>
      <c r="K253" s="3"/>
      <c r="L253" s="11">
        <v>10000</v>
      </c>
      <c r="M253" s="38">
        <f t="shared" si="19"/>
        <v>0</v>
      </c>
    </row>
    <row r="254" spans="1:13" ht="15" x14ac:dyDescent="0.2">
      <c r="A254" s="14">
        <v>6080360</v>
      </c>
      <c r="B254" s="15" t="s">
        <v>138</v>
      </c>
      <c r="C254" s="16">
        <v>0</v>
      </c>
      <c r="D254" s="11">
        <v>0</v>
      </c>
      <c r="E254" s="11">
        <v>7996.8</v>
      </c>
      <c r="F254" s="11">
        <v>31738.97</v>
      </c>
      <c r="G254" s="11">
        <v>-4259.54</v>
      </c>
      <c r="H254" s="3"/>
      <c r="I254" s="11">
        <v>12381.37</v>
      </c>
      <c r="J254" s="11">
        <v>12381</v>
      </c>
      <c r="K254" s="3"/>
      <c r="L254" s="11">
        <v>13719.368</v>
      </c>
      <c r="M254" s="38">
        <f t="shared" si="19"/>
        <v>0.10809853808254588</v>
      </c>
    </row>
    <row r="255" spans="1:13" ht="15" x14ac:dyDescent="0.2">
      <c r="A255" s="14" t="s">
        <v>310</v>
      </c>
      <c r="B255" s="15" t="s">
        <v>140</v>
      </c>
      <c r="C255" s="16">
        <v>7273</v>
      </c>
      <c r="D255" s="11">
        <v>6086.12</v>
      </c>
      <c r="E255" s="11">
        <v>5902.42</v>
      </c>
      <c r="F255" s="11">
        <v>7997.13</v>
      </c>
      <c r="G255" s="11">
        <v>5212.95</v>
      </c>
      <c r="H255" s="3"/>
      <c r="I255" s="11">
        <v>8000</v>
      </c>
      <c r="J255" s="11">
        <v>8000</v>
      </c>
      <c r="K255" s="3"/>
      <c r="L255" s="11">
        <v>8000</v>
      </c>
      <c r="M255" s="38">
        <f t="shared" si="19"/>
        <v>0</v>
      </c>
    </row>
    <row r="256" spans="1:13" ht="15" x14ac:dyDescent="0.2">
      <c r="A256" s="14" t="s">
        <v>311</v>
      </c>
      <c r="B256" s="15" t="s">
        <v>142</v>
      </c>
      <c r="C256" s="16">
        <v>1200</v>
      </c>
      <c r="D256" s="11">
        <v>1710</v>
      </c>
      <c r="E256" s="11">
        <v>1800</v>
      </c>
      <c r="F256" s="11">
        <v>3000</v>
      </c>
      <c r="G256" s="11">
        <v>1808</v>
      </c>
      <c r="H256" s="3"/>
      <c r="I256" s="11">
        <v>2340</v>
      </c>
      <c r="J256" s="11">
        <v>2340</v>
      </c>
      <c r="K256" s="3"/>
      <c r="L256" s="11">
        <v>3800</v>
      </c>
      <c r="M256" s="38">
        <f t="shared" si="19"/>
        <v>0.62393162393162394</v>
      </c>
    </row>
    <row r="257" spans="1:13" ht="15" x14ac:dyDescent="0.2">
      <c r="A257" s="14">
        <v>6080520</v>
      </c>
      <c r="B257" s="15" t="s">
        <v>144</v>
      </c>
      <c r="C257" s="16"/>
      <c r="D257" s="11"/>
      <c r="E257" s="11"/>
      <c r="F257" s="11">
        <v>0</v>
      </c>
      <c r="G257" s="11">
        <v>444</v>
      </c>
      <c r="H257" s="3"/>
      <c r="I257" s="11"/>
      <c r="J257" s="11"/>
      <c r="K257" s="3"/>
      <c r="L257" s="11">
        <v>500</v>
      </c>
    </row>
    <row r="258" spans="1:13" ht="15" x14ac:dyDescent="0.2">
      <c r="A258" s="14" t="s">
        <v>312</v>
      </c>
      <c r="B258" s="15" t="s">
        <v>146</v>
      </c>
      <c r="C258" s="16">
        <v>4475</v>
      </c>
      <c r="D258" s="11">
        <v>4265.8500000000004</v>
      </c>
      <c r="E258" s="11">
        <v>754.95</v>
      </c>
      <c r="F258" s="11">
        <v>12486.38</v>
      </c>
      <c r="G258" s="11">
        <v>1051.9100000000001</v>
      </c>
      <c r="H258" s="3"/>
      <c r="I258" s="11">
        <v>1500</v>
      </c>
      <c r="J258" s="11">
        <v>1500</v>
      </c>
      <c r="K258" s="3"/>
      <c r="L258" s="11">
        <v>1500</v>
      </c>
      <c r="M258" s="38">
        <f t="shared" si="19"/>
        <v>0</v>
      </c>
    </row>
    <row r="259" spans="1:13" ht="15" x14ac:dyDescent="0.2">
      <c r="A259" s="14" t="s">
        <v>313</v>
      </c>
      <c r="B259" s="15" t="s">
        <v>314</v>
      </c>
      <c r="C259" s="16">
        <v>0</v>
      </c>
      <c r="D259" s="11">
        <v>5</v>
      </c>
      <c r="E259" s="11">
        <v>0</v>
      </c>
      <c r="F259" s="11">
        <v>0</v>
      </c>
      <c r="G259" s="11">
        <v>0</v>
      </c>
      <c r="H259" s="3"/>
      <c r="I259" s="11"/>
      <c r="J259" s="11"/>
      <c r="K259" s="3"/>
      <c r="L259" s="11"/>
    </row>
    <row r="260" spans="1:13" ht="15" x14ac:dyDescent="0.2">
      <c r="A260" s="14" t="s">
        <v>315</v>
      </c>
      <c r="B260" s="15" t="s">
        <v>182</v>
      </c>
      <c r="C260" s="16">
        <v>386</v>
      </c>
      <c r="D260" s="11">
        <v>926.91</v>
      </c>
      <c r="E260" s="11">
        <v>988.02</v>
      </c>
      <c r="F260" s="11">
        <v>780.24</v>
      </c>
      <c r="G260" s="11">
        <v>782.45</v>
      </c>
      <c r="H260" s="3"/>
      <c r="I260" s="11">
        <v>1000</v>
      </c>
      <c r="J260" s="11">
        <v>1000</v>
      </c>
      <c r="K260" s="3"/>
      <c r="L260" s="11">
        <v>1000</v>
      </c>
      <c r="M260" s="38">
        <f t="shared" si="19"/>
        <v>0</v>
      </c>
    </row>
    <row r="261" spans="1:13" ht="15" x14ac:dyDescent="0.2">
      <c r="A261" s="14" t="s">
        <v>316</v>
      </c>
      <c r="B261" s="15" t="s">
        <v>184</v>
      </c>
      <c r="C261" s="16">
        <v>1368</v>
      </c>
      <c r="D261" s="11">
        <v>1940.01</v>
      </c>
      <c r="E261" s="11">
        <v>2239.4</v>
      </c>
      <c r="F261" s="11">
        <v>2928.07</v>
      </c>
      <c r="G261" s="11">
        <v>666.59</v>
      </c>
      <c r="H261" s="3"/>
      <c r="I261" s="11">
        <v>1500</v>
      </c>
      <c r="J261" s="11">
        <v>1500</v>
      </c>
      <c r="K261" s="3"/>
      <c r="L261" s="11">
        <v>1000</v>
      </c>
      <c r="M261" s="38">
        <f t="shared" si="19"/>
        <v>-0.33333333333333337</v>
      </c>
    </row>
    <row r="262" spans="1:13" ht="15" x14ac:dyDescent="0.2">
      <c r="A262" s="14" t="s">
        <v>317</v>
      </c>
      <c r="B262" s="15" t="s">
        <v>154</v>
      </c>
      <c r="C262" s="16">
        <v>995</v>
      </c>
      <c r="D262" s="11">
        <v>1017.96</v>
      </c>
      <c r="E262" s="11">
        <v>843.3</v>
      </c>
      <c r="F262" s="11">
        <v>1314.66</v>
      </c>
      <c r="G262" s="11">
        <v>975.36</v>
      </c>
      <c r="H262" s="3"/>
      <c r="I262" s="11">
        <v>750</v>
      </c>
      <c r="J262" s="11">
        <v>750</v>
      </c>
      <c r="K262" s="3"/>
      <c r="L262" s="11">
        <v>1000</v>
      </c>
      <c r="M262" s="38">
        <f t="shared" si="19"/>
        <v>0.33333333333333326</v>
      </c>
    </row>
    <row r="263" spans="1:13" ht="15" x14ac:dyDescent="0.2">
      <c r="A263" s="14" t="s">
        <v>318</v>
      </c>
      <c r="B263" s="15" t="s">
        <v>156</v>
      </c>
      <c r="C263" s="16">
        <v>500</v>
      </c>
      <c r="D263" s="11">
        <v>0</v>
      </c>
      <c r="E263" s="11">
        <v>0</v>
      </c>
      <c r="F263" s="11">
        <v>500</v>
      </c>
      <c r="G263" s="11">
        <v>0</v>
      </c>
      <c r="H263" s="3"/>
      <c r="I263" s="11">
        <v>500</v>
      </c>
      <c r="J263" s="11">
        <v>500</v>
      </c>
      <c r="K263" s="3"/>
      <c r="L263" s="11">
        <v>500</v>
      </c>
      <c r="M263" s="38">
        <f t="shared" si="19"/>
        <v>0</v>
      </c>
    </row>
    <row r="264" spans="1:13" ht="15" x14ac:dyDescent="0.2">
      <c r="A264" s="14" t="s">
        <v>319</v>
      </c>
      <c r="B264" s="15" t="s">
        <v>158</v>
      </c>
      <c r="C264" s="16">
        <v>10420</v>
      </c>
      <c r="D264" s="11">
        <v>9835.7000000000007</v>
      </c>
      <c r="E264" s="11">
        <v>7220</v>
      </c>
      <c r="F264" s="11">
        <v>5075</v>
      </c>
      <c r="G264" s="11">
        <v>9020</v>
      </c>
      <c r="H264" s="3"/>
      <c r="I264" s="11">
        <v>10000</v>
      </c>
      <c r="J264" s="11">
        <v>10000</v>
      </c>
      <c r="K264" s="3"/>
      <c r="L264" s="11">
        <v>10000</v>
      </c>
      <c r="M264" s="38">
        <f t="shared" si="19"/>
        <v>0</v>
      </c>
    </row>
    <row r="265" spans="1:13" ht="15" x14ac:dyDescent="0.2">
      <c r="A265" s="14" t="s">
        <v>320</v>
      </c>
      <c r="B265" s="15" t="s">
        <v>160</v>
      </c>
      <c r="C265" s="16">
        <v>1896</v>
      </c>
      <c r="D265" s="11">
        <v>6397.81</v>
      </c>
      <c r="E265" s="11">
        <v>4957.8999999999996</v>
      </c>
      <c r="F265" s="11">
        <v>4915.72</v>
      </c>
      <c r="G265" s="11">
        <v>2333.67</v>
      </c>
      <c r="H265" s="3"/>
      <c r="I265" s="11">
        <v>6000</v>
      </c>
      <c r="J265" s="11">
        <v>6000</v>
      </c>
      <c r="K265" s="3"/>
      <c r="L265" s="11">
        <v>5000</v>
      </c>
      <c r="M265" s="38">
        <f t="shared" si="19"/>
        <v>-0.16666666666666663</v>
      </c>
    </row>
    <row r="266" spans="1:13" ht="15" x14ac:dyDescent="0.2">
      <c r="A266" s="14" t="s">
        <v>321</v>
      </c>
      <c r="B266" s="15" t="s">
        <v>162</v>
      </c>
      <c r="C266" s="16">
        <v>811</v>
      </c>
      <c r="D266" s="11">
        <v>705.48</v>
      </c>
      <c r="E266" s="11">
        <v>1026.3399999999999</v>
      </c>
      <c r="F266" s="11">
        <v>0</v>
      </c>
      <c r="G266" s="11">
        <v>1248.79</v>
      </c>
      <c r="H266" s="3"/>
      <c r="I266" s="11"/>
      <c r="J266" s="11"/>
      <c r="K266" s="3"/>
      <c r="L266" s="11">
        <v>1500</v>
      </c>
    </row>
    <row r="267" spans="1:13" ht="15" x14ac:dyDescent="0.2">
      <c r="A267" s="14" t="s">
        <v>322</v>
      </c>
      <c r="B267" s="15" t="s">
        <v>80</v>
      </c>
      <c r="C267" s="16">
        <v>388</v>
      </c>
      <c r="D267" s="11">
        <v>703.29</v>
      </c>
      <c r="E267" s="11">
        <v>568.28</v>
      </c>
      <c r="F267" s="11">
        <v>779.64</v>
      </c>
      <c r="G267" s="11">
        <v>483.23</v>
      </c>
      <c r="H267" s="3"/>
      <c r="I267" s="11"/>
      <c r="J267" s="11"/>
      <c r="K267" s="3"/>
      <c r="L267" s="11">
        <v>500</v>
      </c>
    </row>
    <row r="268" spans="1:13" ht="15" x14ac:dyDescent="0.2">
      <c r="A268" s="14" t="s">
        <v>323</v>
      </c>
      <c r="B268" s="15" t="s">
        <v>164</v>
      </c>
      <c r="C268" s="16">
        <v>7135</v>
      </c>
      <c r="D268" s="11">
        <v>5008.47</v>
      </c>
      <c r="E268" s="11">
        <v>1193.99</v>
      </c>
      <c r="F268" s="11">
        <v>3410.95</v>
      </c>
      <c r="G268" s="11">
        <v>1638.72</v>
      </c>
      <c r="H268" s="3"/>
      <c r="I268" s="11">
        <v>2500</v>
      </c>
      <c r="J268" s="11">
        <v>2500</v>
      </c>
      <c r="K268" s="3"/>
      <c r="L268" s="11">
        <v>2500</v>
      </c>
      <c r="M268" s="38">
        <f t="shared" si="19"/>
        <v>0</v>
      </c>
    </row>
    <row r="269" spans="1:13" ht="15" x14ac:dyDescent="0.2">
      <c r="A269" s="14">
        <v>6082000</v>
      </c>
      <c r="B269" s="15" t="s">
        <v>191</v>
      </c>
      <c r="C269" s="16">
        <v>7039</v>
      </c>
      <c r="D269" s="11">
        <v>7670</v>
      </c>
      <c r="E269" s="11">
        <v>4505</v>
      </c>
      <c r="F269" s="11">
        <v>3557</v>
      </c>
      <c r="G269" s="11">
        <v>0</v>
      </c>
      <c r="H269" s="3"/>
      <c r="I269" s="11"/>
      <c r="J269" s="11"/>
      <c r="K269" s="3"/>
      <c r="L269" s="11"/>
    </row>
    <row r="270" spans="1:13" ht="15" x14ac:dyDescent="0.2">
      <c r="A270" s="21"/>
      <c r="B270" s="22"/>
      <c r="C270" s="16"/>
      <c r="D270" s="11"/>
      <c r="E270" s="11"/>
      <c r="F270" s="11"/>
      <c r="G270" s="11"/>
      <c r="H270" s="3"/>
      <c r="I270" s="11"/>
      <c r="J270" s="11"/>
      <c r="K270" s="3"/>
      <c r="L270" s="11"/>
    </row>
    <row r="271" spans="1:13" ht="15" x14ac:dyDescent="0.25">
      <c r="A271" s="17" t="s">
        <v>21</v>
      </c>
      <c r="B271" s="18" t="s">
        <v>324</v>
      </c>
      <c r="C271" s="19">
        <f>SUM(C246:C270)</f>
        <v>431830</v>
      </c>
      <c r="D271" s="11">
        <f>SUM(D246:D270)</f>
        <v>421450.52999999991</v>
      </c>
      <c r="E271" s="11">
        <f>SUM(E246:E270)</f>
        <v>456181.01000000013</v>
      </c>
      <c r="F271" s="11">
        <f>SUM(F246:F270)</f>
        <v>516165.9499999999</v>
      </c>
      <c r="G271" s="11">
        <f>SUM(G246:G270)</f>
        <v>484146.11999999994</v>
      </c>
      <c r="H271" s="3"/>
      <c r="I271" s="11">
        <f>SUM(I246:I270)</f>
        <v>528137.12</v>
      </c>
      <c r="J271" s="11">
        <f>SUM(J246:J270)</f>
        <v>528137</v>
      </c>
      <c r="K271" s="3"/>
      <c r="L271" s="11">
        <f>SUM(L246:L270)</f>
        <v>575488.83799999999</v>
      </c>
      <c r="M271" s="38">
        <f>+L271/J271-1</f>
        <v>8.9658247765257881E-2</v>
      </c>
    </row>
    <row r="272" spans="1:13" ht="15" x14ac:dyDescent="0.2">
      <c r="D272" s="11"/>
      <c r="E272" s="11"/>
      <c r="F272" s="11"/>
      <c r="G272" s="11"/>
      <c r="H272" s="3"/>
      <c r="I272" s="11"/>
      <c r="J272" s="11"/>
      <c r="K272" s="3"/>
      <c r="L272" s="11"/>
    </row>
    <row r="273" spans="1:16" ht="15" x14ac:dyDescent="0.25">
      <c r="A273" s="23" t="s">
        <v>86</v>
      </c>
      <c r="B273" s="24" t="s">
        <v>325</v>
      </c>
      <c r="C273" s="11">
        <f>+C271+C242+C209+C164</f>
        <v>3309823</v>
      </c>
      <c r="D273" s="11">
        <f>+D271+D242+D209+D164</f>
        <v>3906752.9799999995</v>
      </c>
      <c r="E273" s="11">
        <f>+E271+E242+E209+E164</f>
        <v>3631751.8499999996</v>
      </c>
      <c r="F273" s="11">
        <f>+F271+F242+F209+F164</f>
        <v>4897407.8759999992</v>
      </c>
      <c r="G273" s="11">
        <f>+G271+G242+G209+G164</f>
        <v>3948005.2700000005</v>
      </c>
      <c r="H273" s="3"/>
      <c r="I273" s="11">
        <f>+I271+I242+I209+I164</f>
        <v>5313036.33</v>
      </c>
      <c r="J273" s="11">
        <f>+J271+J242+J209+J164</f>
        <v>5613827</v>
      </c>
      <c r="K273" s="3"/>
      <c r="L273" s="11">
        <f>+L271+L242+L209+L164</f>
        <v>5863244.0945562609</v>
      </c>
      <c r="M273" s="38">
        <f>+L273/J273-1</f>
        <v>4.4429066758961522E-2</v>
      </c>
      <c r="P273" s="11">
        <f>+(L250+L251+L228+L229+L181+L182+L119+L120+L93+L94)/L273</f>
        <v>0.14030396939533493</v>
      </c>
    </row>
    <row r="274" spans="1:16" ht="15" x14ac:dyDescent="0.2">
      <c r="D274" s="11"/>
      <c r="E274" s="11"/>
      <c r="F274" s="11"/>
      <c r="G274" s="11"/>
      <c r="H274" s="3"/>
      <c r="I274" s="11"/>
      <c r="J274" s="11"/>
      <c r="K274" s="3"/>
      <c r="L274" s="11"/>
    </row>
    <row r="275" spans="1:16" ht="15" x14ac:dyDescent="0.2">
      <c r="D275" s="11"/>
      <c r="E275" s="11"/>
      <c r="F275" s="11"/>
      <c r="G275" s="11"/>
      <c r="H275" s="3"/>
      <c r="I275" s="11"/>
      <c r="J275" s="11"/>
      <c r="K275" s="3"/>
      <c r="L275" s="11"/>
    </row>
    <row r="276" spans="1:16" ht="15" x14ac:dyDescent="0.25">
      <c r="A276" s="31"/>
      <c r="B276" s="32" t="s">
        <v>326</v>
      </c>
      <c r="C276" s="11">
        <f>+C63-C273</f>
        <v>933839</v>
      </c>
      <c r="D276" s="11">
        <f>+D63-D273</f>
        <v>2023199.9200000009</v>
      </c>
      <c r="E276" s="11">
        <f>+E63-E273</f>
        <v>1136378.6200000001</v>
      </c>
      <c r="F276" s="11">
        <f>+F63-F273</f>
        <v>874954.35400000121</v>
      </c>
      <c r="G276" s="11">
        <f>+G63-G273</f>
        <v>1688182.71</v>
      </c>
      <c r="H276" s="3"/>
      <c r="I276" s="11">
        <f>+I63-I273</f>
        <v>500968.66999999993</v>
      </c>
      <c r="J276" s="11">
        <f>+J63-J273</f>
        <v>508173</v>
      </c>
      <c r="K276" s="3"/>
      <c r="L276" s="11">
        <f>+L63-L273</f>
        <v>81755.905443739146</v>
      </c>
      <c r="M276" s="38">
        <f>+L276/J276-1</f>
        <v>-0.83911796682677131</v>
      </c>
    </row>
    <row r="277" spans="1:16" ht="15.75" customHeight="1" x14ac:dyDescent="0.2">
      <c r="D277" s="11"/>
      <c r="E277" s="11"/>
      <c r="F277" s="11"/>
      <c r="G277" s="11"/>
      <c r="H277" s="11"/>
      <c r="I277" s="11"/>
      <c r="J277" s="11"/>
      <c r="K277" s="11"/>
      <c r="L277" s="11"/>
    </row>
    <row r="278" spans="1:16" ht="15.75" customHeight="1" x14ac:dyDescent="0.2">
      <c r="A278" s="33"/>
      <c r="B278" s="33"/>
      <c r="C278" s="33"/>
      <c r="D278" s="11"/>
      <c r="E278" s="11"/>
      <c r="F278" s="11"/>
      <c r="G278" s="11"/>
      <c r="H278" s="11"/>
      <c r="I278" s="11"/>
      <c r="J278" s="11"/>
      <c r="K278" s="11"/>
      <c r="L278" s="11"/>
    </row>
    <row r="279" spans="1:16" ht="15" customHeight="1" x14ac:dyDescent="0.2">
      <c r="A279" s="33"/>
      <c r="B279" s="33"/>
      <c r="C279" s="34"/>
      <c r="D279" s="11"/>
      <c r="E279" s="11"/>
      <c r="F279" s="11"/>
      <c r="G279" s="11" t="s">
        <v>343</v>
      </c>
      <c r="H279" s="11"/>
      <c r="I279" s="11">
        <v>-478871.1</v>
      </c>
      <c r="J279" s="11">
        <v>-455400</v>
      </c>
      <c r="K279" s="11"/>
      <c r="L279" s="11">
        <f>-SUM(O6:O23)</f>
        <v>-454750</v>
      </c>
      <c r="M279" s="38">
        <f>+L279/J279-1</f>
        <v>-1.4273166447079655E-3</v>
      </c>
    </row>
    <row r="280" spans="1:16" x14ac:dyDescent="0.2">
      <c r="A280" s="33"/>
      <c r="B280" s="33"/>
      <c r="C280" s="33"/>
      <c r="D280" s="35"/>
      <c r="E280" s="35"/>
      <c r="F280" s="35"/>
      <c r="G280" s="35"/>
      <c r="H280" s="11"/>
      <c r="I280" s="36"/>
      <c r="J280" s="36"/>
      <c r="K280" s="11"/>
      <c r="L280" s="36"/>
    </row>
    <row r="281" spans="1:16" x14ac:dyDescent="0.2">
      <c r="A281" s="33"/>
      <c r="B281" s="33"/>
      <c r="C281" s="33"/>
      <c r="D281" s="35"/>
      <c r="E281" s="35"/>
      <c r="F281" s="35"/>
      <c r="G281" s="35"/>
      <c r="H281" s="11"/>
      <c r="I281" s="35">
        <f>SUM(I276:I280)</f>
        <v>22097.569999999949</v>
      </c>
      <c r="J281" s="35">
        <f>SUM(J276:J280)</f>
        <v>52773</v>
      </c>
      <c r="K281" s="11"/>
      <c r="L281" s="35">
        <f>SUM(L276:L280)</f>
        <v>-372994.09455626085</v>
      </c>
      <c r="M281" s="38">
        <f>+L281/J281-1</f>
        <v>-8.0678963590521828</v>
      </c>
    </row>
    <row r="282" spans="1:16" x14ac:dyDescent="0.2">
      <c r="A282" s="33"/>
      <c r="B282" s="33"/>
      <c r="C282" s="33"/>
      <c r="D282" s="35"/>
      <c r="E282" s="35"/>
      <c r="F282" s="35"/>
      <c r="G282" s="35"/>
      <c r="H282" s="11"/>
      <c r="I282" s="35"/>
      <c r="J282" s="35"/>
      <c r="K282" s="11"/>
      <c r="L282" s="35"/>
    </row>
    <row r="283" spans="1:16" x14ac:dyDescent="0.2">
      <c r="A283" s="33"/>
      <c r="B283" s="33"/>
      <c r="C283" s="33"/>
      <c r="D283" s="35"/>
      <c r="E283" s="35"/>
      <c r="F283" s="35"/>
      <c r="G283" s="35"/>
      <c r="H283" s="11"/>
      <c r="I283" s="35"/>
      <c r="J283" s="35"/>
      <c r="K283" s="11"/>
      <c r="L283" s="35"/>
    </row>
    <row r="284" spans="1:16" x14ac:dyDescent="0.2">
      <c r="A284" s="33"/>
      <c r="B284" s="33"/>
      <c r="C284" s="33"/>
      <c r="D284" s="35"/>
      <c r="E284" s="35"/>
      <c r="F284" s="35"/>
      <c r="G284" s="35"/>
      <c r="H284" s="11"/>
      <c r="I284" s="35"/>
      <c r="J284" s="35"/>
      <c r="K284" s="11"/>
      <c r="L284" s="35"/>
    </row>
    <row r="285" spans="1:16" x14ac:dyDescent="0.2">
      <c r="A285" s="33"/>
      <c r="B285" s="33"/>
      <c r="C285" s="33"/>
      <c r="D285" s="35"/>
      <c r="E285" s="35"/>
      <c r="F285" s="35"/>
      <c r="G285" s="35"/>
      <c r="H285" s="11"/>
      <c r="I285" s="35"/>
      <c r="J285" s="35"/>
      <c r="K285" s="11"/>
      <c r="L285" s="35"/>
    </row>
    <row r="286" spans="1:16" x14ac:dyDescent="0.2">
      <c r="A286" s="33"/>
      <c r="B286" s="33"/>
      <c r="C286" s="33"/>
      <c r="D286" s="35"/>
      <c r="E286" s="35"/>
      <c r="F286" s="35"/>
      <c r="G286" s="35"/>
      <c r="H286" s="11"/>
      <c r="I286" s="35"/>
      <c r="J286" s="35"/>
      <c r="K286" s="11"/>
      <c r="L286" s="35"/>
    </row>
    <row r="287" spans="1:16" x14ac:dyDescent="0.2">
      <c r="A287" s="33"/>
      <c r="B287" s="33"/>
      <c r="C287" s="33"/>
      <c r="D287" s="35"/>
      <c r="E287" s="35"/>
      <c r="F287" s="35"/>
      <c r="G287" s="35"/>
      <c r="H287" s="11"/>
      <c r="I287" s="35"/>
      <c r="J287" s="35"/>
      <c r="K287" s="11"/>
      <c r="L287" s="35"/>
    </row>
    <row r="288" spans="1:16" x14ac:dyDescent="0.2">
      <c r="A288" s="33"/>
      <c r="B288" s="33"/>
      <c r="C288" s="33"/>
      <c r="D288" s="35"/>
      <c r="E288" s="35"/>
      <c r="F288" s="35"/>
      <c r="G288" s="35"/>
      <c r="H288" s="11"/>
      <c r="I288" s="35"/>
      <c r="J288" s="35"/>
      <c r="K288" s="11"/>
      <c r="L288" s="35"/>
    </row>
    <row r="289" spans="1:12" x14ac:dyDescent="0.2">
      <c r="A289" s="33"/>
      <c r="B289" s="33"/>
      <c r="C289" s="33"/>
      <c r="D289" s="35"/>
      <c r="E289" s="35"/>
      <c r="F289" s="35"/>
      <c r="G289" s="35"/>
      <c r="H289" s="11"/>
      <c r="I289" s="35"/>
      <c r="J289" s="35"/>
      <c r="K289" s="11"/>
      <c r="L289" s="35"/>
    </row>
    <row r="290" spans="1:12" x14ac:dyDescent="0.2">
      <c r="A290" s="33"/>
      <c r="B290" s="33"/>
      <c r="C290" s="33"/>
      <c r="D290" s="35"/>
      <c r="E290" s="35"/>
      <c r="F290" s="35"/>
      <c r="G290" s="35"/>
      <c r="H290" s="11"/>
      <c r="I290" s="35"/>
      <c r="J290" s="35"/>
      <c r="K290" s="11"/>
      <c r="L290" s="35"/>
    </row>
    <row r="291" spans="1:12" x14ac:dyDescent="0.2">
      <c r="A291" s="33"/>
      <c r="B291" s="33"/>
      <c r="C291" s="33"/>
      <c r="D291" s="35"/>
      <c r="E291" s="35"/>
      <c r="F291" s="35"/>
      <c r="G291" s="35"/>
      <c r="H291" s="11"/>
      <c r="I291" s="35"/>
      <c r="J291" s="35"/>
      <c r="K291" s="11"/>
      <c r="L291" s="35"/>
    </row>
    <row r="292" spans="1:12" x14ac:dyDescent="0.2">
      <c r="A292" s="33"/>
      <c r="B292" s="33"/>
      <c r="C292" s="33"/>
      <c r="D292" s="35"/>
      <c r="E292" s="35"/>
      <c r="F292" s="35"/>
      <c r="G292" s="35"/>
      <c r="H292" s="11"/>
      <c r="I292" s="35"/>
      <c r="J292" s="35"/>
      <c r="K292" s="11"/>
      <c r="L292" s="35"/>
    </row>
    <row r="293" spans="1:12" x14ac:dyDescent="0.2">
      <c r="A293" s="33"/>
      <c r="B293" s="33"/>
      <c r="C293" s="33"/>
      <c r="D293" s="35"/>
      <c r="E293" s="35"/>
      <c r="F293" s="35"/>
      <c r="G293" s="35"/>
      <c r="H293" s="11"/>
      <c r="I293" s="35"/>
      <c r="J293" s="35"/>
      <c r="K293" s="11"/>
      <c r="L293" s="35"/>
    </row>
    <row r="294" spans="1:12" x14ac:dyDescent="0.2">
      <c r="A294" s="33"/>
      <c r="B294" s="33"/>
      <c r="C294" s="33"/>
      <c r="D294" s="35"/>
      <c r="E294" s="35"/>
      <c r="F294" s="35"/>
      <c r="G294" s="35"/>
      <c r="H294" s="11"/>
      <c r="I294" s="35"/>
      <c r="J294" s="35"/>
      <c r="K294" s="11"/>
      <c r="L294" s="35"/>
    </row>
    <row r="295" spans="1:12" x14ac:dyDescent="0.2">
      <c r="A295" s="33"/>
      <c r="B295" s="33"/>
      <c r="C295" s="33"/>
      <c r="D295" s="35"/>
      <c r="E295" s="35"/>
      <c r="F295" s="35"/>
      <c r="G295" s="35"/>
      <c r="H295" s="11"/>
      <c r="I295" s="35"/>
      <c r="J295" s="35"/>
      <c r="K295" s="11"/>
      <c r="L295" s="35"/>
    </row>
    <row r="296" spans="1:12" x14ac:dyDescent="0.2">
      <c r="A296" s="33"/>
      <c r="B296" s="33"/>
      <c r="C296" s="33"/>
      <c r="D296" s="35"/>
      <c r="E296" s="35"/>
      <c r="F296" s="35"/>
      <c r="G296" s="35"/>
      <c r="H296" s="11"/>
      <c r="I296" s="35"/>
      <c r="J296" s="35"/>
      <c r="K296" s="11"/>
      <c r="L296" s="35"/>
    </row>
    <row r="297" spans="1:12" x14ac:dyDescent="0.2">
      <c r="A297" s="33"/>
      <c r="B297" s="33"/>
      <c r="C297" s="33"/>
      <c r="D297" s="35"/>
      <c r="E297" s="35"/>
      <c r="F297" s="35"/>
      <c r="G297" s="35"/>
      <c r="H297" s="11"/>
      <c r="I297" s="35"/>
      <c r="J297" s="35"/>
      <c r="K297" s="11"/>
      <c r="L297" s="35"/>
    </row>
    <row r="298" spans="1:12" x14ac:dyDescent="0.2">
      <c r="A298" s="33"/>
      <c r="B298" s="33"/>
      <c r="C298" s="33"/>
      <c r="D298" s="35"/>
      <c r="E298" s="35"/>
      <c r="F298" s="35"/>
      <c r="G298" s="35"/>
      <c r="H298" s="11"/>
      <c r="I298" s="35"/>
      <c r="J298" s="35"/>
      <c r="K298" s="11"/>
      <c r="L298" s="35"/>
    </row>
    <row r="299" spans="1:12" x14ac:dyDescent="0.2">
      <c r="A299" s="33"/>
      <c r="B299" s="33"/>
      <c r="C299" s="33"/>
      <c r="D299" s="35"/>
      <c r="E299" s="35"/>
      <c r="F299" s="35"/>
      <c r="G299" s="35"/>
      <c r="H299" s="11"/>
      <c r="I299" s="35"/>
      <c r="J299" s="35"/>
      <c r="K299" s="11"/>
      <c r="L299" s="35"/>
    </row>
    <row r="300" spans="1:12" x14ac:dyDescent="0.2">
      <c r="A300" s="33"/>
      <c r="B300" s="33"/>
      <c r="C300" s="33"/>
      <c r="D300" s="35"/>
      <c r="E300" s="35"/>
      <c r="F300" s="35"/>
      <c r="G300" s="35"/>
      <c r="H300" s="11"/>
      <c r="I300" s="35"/>
      <c r="J300" s="35"/>
      <c r="K300" s="11"/>
      <c r="L300" s="35"/>
    </row>
    <row r="301" spans="1:12" x14ac:dyDescent="0.2">
      <c r="A301" s="33"/>
      <c r="B301" s="33"/>
      <c r="C301" s="33"/>
      <c r="D301" s="35"/>
      <c r="E301" s="35"/>
      <c r="F301" s="35"/>
      <c r="G301" s="35"/>
      <c r="H301" s="11"/>
      <c r="I301" s="35"/>
      <c r="J301" s="35"/>
      <c r="K301" s="11"/>
      <c r="L301" s="35"/>
    </row>
    <row r="302" spans="1:12" x14ac:dyDescent="0.2">
      <c r="A302" s="33"/>
      <c r="B302" s="33"/>
      <c r="C302" s="33"/>
      <c r="D302" s="35"/>
      <c r="E302" s="35"/>
      <c r="F302" s="35"/>
      <c r="G302" s="35"/>
      <c r="H302" s="11"/>
      <c r="I302" s="35"/>
      <c r="J302" s="35"/>
      <c r="K302" s="11"/>
      <c r="L302" s="35"/>
    </row>
    <row r="303" spans="1:12" x14ac:dyDescent="0.2">
      <c r="A303" s="33"/>
      <c r="B303" s="33"/>
      <c r="C303" s="33"/>
      <c r="D303" s="35"/>
      <c r="E303" s="35"/>
      <c r="F303" s="35"/>
      <c r="G303" s="35"/>
      <c r="H303" s="11"/>
      <c r="I303" s="35"/>
      <c r="J303" s="35"/>
      <c r="K303" s="11"/>
      <c r="L303" s="35"/>
    </row>
    <row r="304" spans="1:12" x14ac:dyDescent="0.2">
      <c r="A304" s="33"/>
      <c r="B304" s="33"/>
      <c r="C304" s="33"/>
      <c r="D304" s="35"/>
      <c r="E304" s="35"/>
      <c r="F304" s="35"/>
      <c r="G304" s="35"/>
      <c r="H304" s="11"/>
      <c r="I304" s="35"/>
      <c r="J304" s="35"/>
      <c r="K304" s="11"/>
      <c r="L304" s="35"/>
    </row>
    <row r="305" spans="1:12" x14ac:dyDescent="0.2">
      <c r="A305" s="33"/>
      <c r="B305" s="33"/>
      <c r="C305" s="33"/>
      <c r="D305" s="35"/>
      <c r="E305" s="35"/>
      <c r="F305" s="35"/>
      <c r="G305" s="35"/>
      <c r="H305" s="11"/>
      <c r="I305" s="35"/>
      <c r="J305" s="35"/>
      <c r="K305" s="11"/>
      <c r="L305" s="35"/>
    </row>
    <row r="306" spans="1:12" x14ac:dyDescent="0.2">
      <c r="A306" s="33"/>
      <c r="B306" s="33"/>
      <c r="C306" s="33"/>
      <c r="D306" s="35"/>
      <c r="E306" s="35"/>
      <c r="F306" s="35"/>
      <c r="G306" s="35"/>
      <c r="H306" s="11"/>
      <c r="I306" s="35"/>
      <c r="J306" s="35"/>
      <c r="K306" s="11"/>
      <c r="L306" s="35"/>
    </row>
    <row r="307" spans="1:12" x14ac:dyDescent="0.2">
      <c r="A307" s="33"/>
      <c r="B307" s="33"/>
      <c r="C307" s="33"/>
      <c r="D307" s="35"/>
      <c r="E307" s="35"/>
      <c r="F307" s="35"/>
      <c r="G307" s="35"/>
      <c r="H307" s="11"/>
      <c r="I307" s="35"/>
      <c r="J307" s="35"/>
      <c r="K307" s="11"/>
      <c r="L307" s="35"/>
    </row>
    <row r="308" spans="1:12" x14ac:dyDescent="0.2">
      <c r="A308" s="33"/>
      <c r="B308" s="33"/>
      <c r="C308" s="33"/>
      <c r="D308" s="35"/>
      <c r="E308" s="35"/>
      <c r="F308" s="35"/>
      <c r="G308" s="35"/>
      <c r="H308" s="11"/>
      <c r="I308" s="35"/>
      <c r="J308" s="35"/>
      <c r="K308" s="11"/>
      <c r="L308" s="35"/>
    </row>
    <row r="309" spans="1:12" x14ac:dyDescent="0.2">
      <c r="A309" s="33"/>
      <c r="B309" s="33"/>
      <c r="C309" s="33"/>
      <c r="D309" s="35"/>
      <c r="E309" s="35"/>
      <c r="F309" s="35"/>
      <c r="G309" s="35"/>
      <c r="H309" s="11"/>
      <c r="I309" s="35"/>
      <c r="J309" s="35"/>
      <c r="K309" s="11"/>
      <c r="L309" s="35"/>
    </row>
    <row r="310" spans="1:12" x14ac:dyDescent="0.2">
      <c r="A310" s="33"/>
      <c r="B310" s="33"/>
      <c r="C310" s="33"/>
      <c r="D310" s="35"/>
      <c r="E310" s="35"/>
      <c r="F310" s="35"/>
      <c r="G310" s="35"/>
      <c r="H310" s="11"/>
      <c r="I310" s="35"/>
      <c r="J310" s="35"/>
      <c r="K310" s="11"/>
      <c r="L310" s="35"/>
    </row>
    <row r="311" spans="1:12" x14ac:dyDescent="0.2">
      <c r="A311" s="33"/>
      <c r="B311" s="33"/>
      <c r="C311" s="33"/>
      <c r="D311" s="35"/>
      <c r="E311" s="35"/>
      <c r="F311" s="35"/>
      <c r="G311" s="35"/>
      <c r="H311" s="11"/>
      <c r="I311" s="35"/>
      <c r="J311" s="35"/>
      <c r="K311" s="11"/>
      <c r="L311" s="35"/>
    </row>
    <row r="312" spans="1:12" x14ac:dyDescent="0.2">
      <c r="A312" s="33"/>
      <c r="B312" s="33"/>
      <c r="C312" s="33"/>
      <c r="D312" s="35"/>
      <c r="E312" s="35"/>
      <c r="F312" s="35"/>
      <c r="G312" s="35"/>
      <c r="H312" s="11"/>
      <c r="I312" s="35"/>
      <c r="J312" s="35"/>
      <c r="K312" s="11"/>
      <c r="L312" s="35"/>
    </row>
    <row r="313" spans="1:12" x14ac:dyDescent="0.2">
      <c r="A313" s="33"/>
      <c r="B313" s="33"/>
      <c r="C313" s="33"/>
      <c r="D313" s="35"/>
      <c r="E313" s="35"/>
      <c r="F313" s="35"/>
      <c r="G313" s="35"/>
      <c r="H313" s="11"/>
      <c r="I313" s="35"/>
      <c r="J313" s="35"/>
      <c r="K313" s="11"/>
      <c r="L313" s="35"/>
    </row>
    <row r="314" spans="1:12" x14ac:dyDescent="0.2">
      <c r="A314" s="33"/>
      <c r="B314" s="33"/>
      <c r="C314" s="33"/>
      <c r="D314" s="35"/>
      <c r="E314" s="35"/>
      <c r="F314" s="35"/>
      <c r="G314" s="35"/>
      <c r="H314" s="11"/>
      <c r="I314" s="35"/>
      <c r="J314" s="35"/>
      <c r="K314" s="11"/>
      <c r="L314" s="35"/>
    </row>
    <row r="315" spans="1:12" x14ac:dyDescent="0.2">
      <c r="A315" s="33"/>
      <c r="B315" s="33"/>
      <c r="C315" s="33"/>
      <c r="D315" s="35"/>
      <c r="E315" s="35"/>
      <c r="F315" s="35"/>
      <c r="G315" s="35"/>
      <c r="H315" s="11"/>
      <c r="I315" s="35"/>
      <c r="J315" s="35"/>
      <c r="K315" s="11"/>
      <c r="L315" s="35"/>
    </row>
    <row r="316" spans="1:12" x14ac:dyDescent="0.2">
      <c r="A316" s="33"/>
      <c r="B316" s="33"/>
      <c r="C316" s="33"/>
      <c r="D316" s="35"/>
      <c r="E316" s="35"/>
      <c r="F316" s="35"/>
      <c r="G316" s="35"/>
      <c r="H316" s="11"/>
      <c r="I316" s="35"/>
      <c r="J316" s="35"/>
      <c r="K316" s="11"/>
      <c r="L316" s="35"/>
    </row>
    <row r="317" spans="1:12" x14ac:dyDescent="0.2">
      <c r="A317" s="33"/>
      <c r="B317" s="33"/>
      <c r="C317" s="33"/>
      <c r="D317" s="35"/>
      <c r="E317" s="35"/>
      <c r="F317" s="35"/>
      <c r="G317" s="35"/>
      <c r="H317" s="11"/>
      <c r="I317" s="35"/>
      <c r="J317" s="35"/>
      <c r="K317" s="11"/>
      <c r="L317" s="35"/>
    </row>
    <row r="318" spans="1:12" x14ac:dyDescent="0.2">
      <c r="A318" s="33"/>
      <c r="B318" s="33"/>
      <c r="C318" s="33"/>
      <c r="D318" s="35"/>
      <c r="E318" s="35"/>
      <c r="F318" s="35"/>
      <c r="G318" s="35"/>
      <c r="H318" s="11"/>
      <c r="I318" s="35"/>
      <c r="J318" s="35"/>
      <c r="K318" s="11"/>
      <c r="L318" s="35"/>
    </row>
    <row r="319" spans="1:12" x14ac:dyDescent="0.2">
      <c r="A319" s="33"/>
      <c r="B319" s="33"/>
      <c r="C319" s="33"/>
      <c r="D319" s="35"/>
      <c r="E319" s="35"/>
      <c r="F319" s="35"/>
      <c r="G319" s="35"/>
      <c r="H319" s="11"/>
      <c r="I319" s="35"/>
      <c r="J319" s="35"/>
      <c r="K319" s="11"/>
      <c r="L319" s="35"/>
    </row>
    <row r="320" spans="1:12" x14ac:dyDescent="0.2">
      <c r="A320" s="33"/>
      <c r="B320" s="33"/>
      <c r="C320" s="33"/>
      <c r="D320" s="35"/>
      <c r="E320" s="35"/>
      <c r="F320" s="35"/>
      <c r="G320" s="35"/>
      <c r="H320" s="11"/>
      <c r="I320" s="35"/>
      <c r="J320" s="35"/>
      <c r="K320" s="11"/>
      <c r="L320" s="35"/>
    </row>
    <row r="321" spans="1:12" x14ac:dyDescent="0.2">
      <c r="A321" s="33"/>
      <c r="B321" s="33"/>
      <c r="C321" s="33"/>
      <c r="D321" s="35"/>
      <c r="E321" s="35"/>
      <c r="F321" s="35"/>
      <c r="G321" s="35"/>
      <c r="H321" s="11"/>
      <c r="I321" s="35"/>
      <c r="J321" s="35"/>
      <c r="K321" s="11"/>
      <c r="L321" s="35"/>
    </row>
    <row r="322" spans="1:12" x14ac:dyDescent="0.2">
      <c r="A322" s="33"/>
      <c r="B322" s="33"/>
      <c r="C322" s="33"/>
      <c r="D322" s="35"/>
      <c r="E322" s="35"/>
      <c r="F322" s="35"/>
      <c r="G322" s="35"/>
      <c r="H322" s="11"/>
      <c r="I322" s="35"/>
      <c r="J322" s="35"/>
      <c r="K322" s="11"/>
      <c r="L322" s="35"/>
    </row>
    <row r="323" spans="1:12" x14ac:dyDescent="0.2">
      <c r="A323" s="33"/>
      <c r="B323" s="33"/>
      <c r="C323" s="33"/>
      <c r="D323" s="35"/>
      <c r="E323" s="35"/>
      <c r="F323" s="35"/>
      <c r="G323" s="35"/>
      <c r="H323" s="11"/>
      <c r="I323" s="35"/>
      <c r="J323" s="35"/>
      <c r="K323" s="11"/>
      <c r="L323" s="35"/>
    </row>
    <row r="324" spans="1:12" x14ac:dyDescent="0.2">
      <c r="A324" s="33"/>
      <c r="B324" s="33"/>
      <c r="C324" s="33"/>
      <c r="D324" s="35"/>
      <c r="E324" s="35"/>
      <c r="F324" s="35"/>
      <c r="G324" s="35"/>
      <c r="H324" s="11"/>
      <c r="I324" s="35"/>
      <c r="J324" s="35"/>
      <c r="K324" s="11"/>
      <c r="L324" s="35"/>
    </row>
    <row r="325" spans="1:12" x14ac:dyDescent="0.2">
      <c r="A325" s="33"/>
      <c r="B325" s="33"/>
      <c r="C325" s="33"/>
      <c r="D325" s="35"/>
      <c r="E325" s="35"/>
      <c r="F325" s="35"/>
      <c r="G325" s="35"/>
      <c r="H325" s="11"/>
      <c r="I325" s="35"/>
      <c r="J325" s="35"/>
      <c r="K325" s="11"/>
      <c r="L325" s="35"/>
    </row>
    <row r="326" spans="1:12" x14ac:dyDescent="0.2">
      <c r="A326" s="33"/>
      <c r="B326" s="33"/>
      <c r="C326" s="33"/>
      <c r="D326" s="35"/>
      <c r="E326" s="35"/>
      <c r="F326" s="35"/>
      <c r="G326" s="35"/>
      <c r="H326" s="11"/>
      <c r="I326" s="35"/>
      <c r="J326" s="35"/>
      <c r="K326" s="11"/>
      <c r="L326" s="35"/>
    </row>
    <row r="327" spans="1:12" x14ac:dyDescent="0.2">
      <c r="A327" s="33"/>
      <c r="B327" s="33"/>
      <c r="C327" s="33"/>
      <c r="D327" s="35"/>
      <c r="E327" s="35"/>
      <c r="F327" s="35"/>
      <c r="G327" s="35"/>
      <c r="H327" s="11"/>
      <c r="I327" s="35"/>
      <c r="J327" s="35"/>
      <c r="K327" s="11"/>
      <c r="L327" s="35"/>
    </row>
    <row r="328" spans="1:12" x14ac:dyDescent="0.2">
      <c r="A328" s="33"/>
      <c r="B328" s="33"/>
      <c r="C328" s="33"/>
      <c r="D328" s="35"/>
      <c r="E328" s="35"/>
      <c r="F328" s="35"/>
      <c r="G328" s="35"/>
      <c r="H328" s="11"/>
      <c r="I328" s="35"/>
      <c r="J328" s="35"/>
      <c r="K328" s="11"/>
      <c r="L328" s="35"/>
    </row>
    <row r="329" spans="1:12" x14ac:dyDescent="0.2">
      <c r="A329" s="33"/>
      <c r="B329" s="33"/>
      <c r="C329" s="33"/>
      <c r="D329" s="35"/>
      <c r="E329" s="35"/>
      <c r="F329" s="35"/>
      <c r="G329" s="35"/>
      <c r="H329" s="11"/>
      <c r="I329" s="35"/>
      <c r="J329" s="35"/>
      <c r="K329" s="11"/>
      <c r="L329" s="35"/>
    </row>
    <row r="330" spans="1:12" x14ac:dyDescent="0.2">
      <c r="A330" s="33"/>
      <c r="B330" s="33"/>
      <c r="C330" s="33"/>
      <c r="D330" s="35"/>
      <c r="E330" s="35"/>
      <c r="F330" s="35"/>
      <c r="G330" s="35"/>
      <c r="H330" s="11"/>
      <c r="I330" s="35"/>
      <c r="J330" s="35"/>
      <c r="K330" s="11"/>
      <c r="L330" s="35"/>
    </row>
    <row r="331" spans="1:12" x14ac:dyDescent="0.2">
      <c r="A331" s="33"/>
      <c r="B331" s="33"/>
      <c r="C331" s="33"/>
      <c r="D331" s="35"/>
      <c r="E331" s="35"/>
      <c r="F331" s="35"/>
      <c r="G331" s="35"/>
      <c r="H331" s="11"/>
      <c r="I331" s="35"/>
      <c r="J331" s="35"/>
      <c r="K331" s="11"/>
      <c r="L331" s="35"/>
    </row>
    <row r="332" spans="1:12" x14ac:dyDescent="0.2">
      <c r="A332" s="33"/>
      <c r="B332" s="33"/>
      <c r="C332" s="33"/>
      <c r="D332" s="35"/>
      <c r="E332" s="35"/>
      <c r="F332" s="35"/>
      <c r="G332" s="35"/>
      <c r="H332" s="11"/>
      <c r="I332" s="35"/>
      <c r="J332" s="35"/>
      <c r="K332" s="11"/>
      <c r="L332" s="35"/>
    </row>
    <row r="333" spans="1:12" x14ac:dyDescent="0.2">
      <c r="A333" s="33"/>
      <c r="B333" s="33"/>
      <c r="C333" s="33"/>
      <c r="D333" s="35"/>
      <c r="E333" s="35"/>
      <c r="F333" s="35"/>
      <c r="G333" s="35"/>
      <c r="H333" s="11"/>
      <c r="I333" s="35"/>
      <c r="J333" s="35"/>
      <c r="K333" s="11"/>
      <c r="L333" s="35"/>
    </row>
    <row r="334" spans="1:12" x14ac:dyDescent="0.2">
      <c r="A334" s="33"/>
      <c r="B334" s="33"/>
      <c r="C334" s="33"/>
      <c r="D334" s="35"/>
      <c r="E334" s="35"/>
      <c r="F334" s="35"/>
      <c r="G334" s="35"/>
      <c r="H334" s="11"/>
      <c r="I334" s="35"/>
      <c r="J334" s="35"/>
      <c r="K334" s="11"/>
      <c r="L334" s="35"/>
    </row>
    <row r="335" spans="1:12" x14ac:dyDescent="0.2">
      <c r="A335" s="33"/>
      <c r="B335" s="33"/>
      <c r="C335" s="33"/>
      <c r="D335" s="35"/>
      <c r="E335" s="35"/>
      <c r="F335" s="35"/>
      <c r="G335" s="35"/>
      <c r="H335" s="11"/>
      <c r="I335" s="35"/>
      <c r="J335" s="35"/>
      <c r="K335" s="11"/>
      <c r="L335" s="35"/>
    </row>
    <row r="336" spans="1:12" x14ac:dyDescent="0.2">
      <c r="A336" s="33"/>
      <c r="B336" s="33"/>
      <c r="C336" s="33"/>
      <c r="D336" s="35"/>
      <c r="E336" s="35"/>
      <c r="F336" s="35"/>
      <c r="G336" s="35"/>
      <c r="H336" s="11"/>
      <c r="I336" s="35"/>
      <c r="J336" s="35"/>
      <c r="K336" s="11"/>
      <c r="L336" s="35"/>
    </row>
    <row r="337" spans="1:12" x14ac:dyDescent="0.2">
      <c r="A337" s="33"/>
      <c r="B337" s="33"/>
      <c r="C337" s="33"/>
      <c r="D337" s="35"/>
      <c r="E337" s="35"/>
      <c r="F337" s="35"/>
      <c r="G337" s="35"/>
      <c r="H337" s="11"/>
      <c r="I337" s="35"/>
      <c r="J337" s="35"/>
      <c r="K337" s="11"/>
      <c r="L337" s="35"/>
    </row>
    <row r="338" spans="1:12" x14ac:dyDescent="0.2">
      <c r="A338" s="33"/>
      <c r="B338" s="33"/>
      <c r="C338" s="33"/>
      <c r="D338" s="35"/>
      <c r="E338" s="35"/>
      <c r="F338" s="35"/>
      <c r="G338" s="35"/>
      <c r="H338" s="11"/>
      <c r="I338" s="35"/>
      <c r="J338" s="35"/>
      <c r="K338" s="11"/>
      <c r="L338" s="35"/>
    </row>
    <row r="339" spans="1:12" x14ac:dyDescent="0.2">
      <c r="A339" s="33"/>
      <c r="B339" s="33"/>
      <c r="C339" s="33"/>
      <c r="D339" s="35"/>
      <c r="E339" s="35"/>
      <c r="F339" s="35"/>
      <c r="G339" s="35"/>
      <c r="H339" s="11"/>
      <c r="I339" s="35"/>
      <c r="J339" s="35"/>
      <c r="K339" s="11"/>
      <c r="L339" s="35"/>
    </row>
    <row r="340" spans="1:12" x14ac:dyDescent="0.2">
      <c r="A340" s="33"/>
      <c r="B340" s="33"/>
      <c r="C340" s="33"/>
      <c r="D340" s="35"/>
      <c r="E340" s="35"/>
      <c r="F340" s="35"/>
      <c r="G340" s="35"/>
      <c r="H340" s="11"/>
      <c r="I340" s="35"/>
      <c r="J340" s="35"/>
      <c r="K340" s="11"/>
      <c r="L340" s="35"/>
    </row>
    <row r="341" spans="1:12" x14ac:dyDescent="0.2">
      <c r="A341" s="33"/>
      <c r="B341" s="33"/>
      <c r="C341" s="33"/>
      <c r="D341" s="35"/>
      <c r="E341" s="35"/>
      <c r="F341" s="35"/>
      <c r="G341" s="35"/>
      <c r="H341" s="11"/>
      <c r="I341" s="35"/>
      <c r="J341" s="35"/>
      <c r="K341" s="11"/>
      <c r="L341" s="35"/>
    </row>
    <row r="342" spans="1:12" x14ac:dyDescent="0.2">
      <c r="A342" s="33"/>
      <c r="B342" s="33"/>
      <c r="C342" s="33"/>
      <c r="D342" s="35"/>
      <c r="E342" s="35"/>
      <c r="F342" s="35"/>
      <c r="G342" s="35"/>
      <c r="H342" s="11"/>
      <c r="I342" s="35"/>
      <c r="J342" s="35"/>
      <c r="K342" s="11"/>
      <c r="L342" s="35"/>
    </row>
    <row r="343" spans="1:12" x14ac:dyDescent="0.2">
      <c r="A343" s="33"/>
      <c r="B343" s="33"/>
      <c r="C343" s="33"/>
      <c r="D343" s="35"/>
      <c r="E343" s="35"/>
      <c r="F343" s="35"/>
      <c r="G343" s="35"/>
      <c r="H343" s="11"/>
      <c r="I343" s="35"/>
      <c r="J343" s="35"/>
      <c r="K343" s="11"/>
      <c r="L343" s="35"/>
    </row>
    <row r="344" spans="1:12" x14ac:dyDescent="0.2">
      <c r="A344" s="33"/>
      <c r="B344" s="33"/>
      <c r="C344" s="33"/>
      <c r="D344" s="35"/>
      <c r="E344" s="35"/>
      <c r="F344" s="35"/>
      <c r="G344" s="35"/>
      <c r="H344" s="11"/>
      <c r="I344" s="35"/>
      <c r="J344" s="35"/>
      <c r="K344" s="11"/>
      <c r="L344" s="35"/>
    </row>
    <row r="345" spans="1:12" x14ac:dyDescent="0.2">
      <c r="A345" s="33"/>
      <c r="B345" s="33"/>
      <c r="C345" s="33"/>
      <c r="D345" s="35"/>
      <c r="E345" s="35"/>
      <c r="F345" s="35"/>
      <c r="G345" s="35"/>
      <c r="H345" s="11"/>
      <c r="I345" s="35"/>
      <c r="J345" s="35"/>
      <c r="K345" s="11"/>
      <c r="L345" s="35"/>
    </row>
    <row r="346" spans="1:12" x14ac:dyDescent="0.2">
      <c r="A346" s="33"/>
      <c r="B346" s="33"/>
      <c r="C346" s="33"/>
      <c r="D346" s="35"/>
      <c r="E346" s="35"/>
      <c r="F346" s="35"/>
      <c r="G346" s="35"/>
      <c r="H346" s="11"/>
      <c r="I346" s="35"/>
      <c r="J346" s="35"/>
      <c r="K346" s="11"/>
      <c r="L346" s="35"/>
    </row>
    <row r="347" spans="1:12" x14ac:dyDescent="0.2">
      <c r="A347" s="33"/>
      <c r="B347" s="33"/>
      <c r="C347" s="33"/>
      <c r="D347" s="35"/>
      <c r="E347" s="35"/>
      <c r="F347" s="35"/>
      <c r="G347" s="35"/>
      <c r="H347" s="11"/>
      <c r="I347" s="35"/>
      <c r="J347" s="35"/>
      <c r="K347" s="11"/>
      <c r="L347" s="35"/>
    </row>
    <row r="348" spans="1:12" x14ac:dyDescent="0.2">
      <c r="A348" s="33"/>
      <c r="B348" s="33"/>
      <c r="C348" s="33"/>
      <c r="D348" s="35"/>
      <c r="E348" s="35"/>
      <c r="F348" s="35"/>
      <c r="G348" s="35"/>
      <c r="H348" s="11"/>
      <c r="I348" s="35"/>
      <c r="J348" s="35"/>
      <c r="K348" s="11"/>
      <c r="L348" s="35"/>
    </row>
    <row r="349" spans="1:12" x14ac:dyDescent="0.2">
      <c r="A349" s="33"/>
      <c r="B349" s="33"/>
      <c r="C349" s="33"/>
      <c r="D349" s="35"/>
      <c r="E349" s="35"/>
      <c r="F349" s="35"/>
      <c r="G349" s="35"/>
      <c r="H349" s="11"/>
      <c r="I349" s="35"/>
      <c r="J349" s="35"/>
      <c r="K349" s="11"/>
      <c r="L349" s="35"/>
    </row>
    <row r="350" spans="1:12" x14ac:dyDescent="0.2">
      <c r="A350" s="33"/>
      <c r="B350" s="33"/>
      <c r="C350" s="33"/>
      <c r="D350" s="35"/>
      <c r="E350" s="35"/>
      <c r="F350" s="35"/>
      <c r="G350" s="35"/>
      <c r="H350" s="11"/>
      <c r="I350" s="35"/>
      <c r="J350" s="35"/>
      <c r="K350" s="11"/>
      <c r="L350" s="35"/>
    </row>
    <row r="351" spans="1:12" x14ac:dyDescent="0.2">
      <c r="A351" s="33"/>
      <c r="B351" s="33"/>
      <c r="C351" s="33"/>
      <c r="D351" s="35"/>
      <c r="E351" s="35"/>
      <c r="F351" s="35"/>
      <c r="G351" s="35"/>
      <c r="H351" s="11"/>
      <c r="I351" s="35"/>
      <c r="J351" s="35"/>
      <c r="K351" s="11"/>
      <c r="L351" s="35"/>
    </row>
    <row r="352" spans="1:12" x14ac:dyDescent="0.2">
      <c r="A352" s="33"/>
      <c r="B352" s="33"/>
      <c r="C352" s="33"/>
      <c r="D352" s="35"/>
      <c r="E352" s="35"/>
      <c r="F352" s="35"/>
      <c r="G352" s="35"/>
      <c r="H352" s="11"/>
      <c r="I352" s="35"/>
      <c r="J352" s="35"/>
      <c r="K352" s="11"/>
      <c r="L352" s="35"/>
    </row>
    <row r="353" spans="1:12" x14ac:dyDescent="0.2">
      <c r="A353" s="33"/>
      <c r="B353" s="33"/>
      <c r="C353" s="33"/>
      <c r="D353" s="35"/>
      <c r="E353" s="35"/>
      <c r="F353" s="35"/>
      <c r="G353" s="35"/>
      <c r="H353" s="11"/>
      <c r="I353" s="35"/>
      <c r="J353" s="35"/>
      <c r="K353" s="11"/>
      <c r="L353" s="35"/>
    </row>
    <row r="354" spans="1:12" x14ac:dyDescent="0.2">
      <c r="A354" s="33"/>
      <c r="B354" s="33"/>
      <c r="C354" s="33"/>
      <c r="D354" s="35"/>
      <c r="E354" s="35"/>
      <c r="F354" s="35"/>
      <c r="G354" s="35"/>
      <c r="H354" s="11"/>
      <c r="I354" s="35"/>
      <c r="J354" s="35"/>
      <c r="K354" s="11"/>
      <c r="L354" s="35"/>
    </row>
    <row r="355" spans="1:12" x14ac:dyDescent="0.2">
      <c r="A355" s="33"/>
      <c r="B355" s="33"/>
      <c r="C355" s="33"/>
      <c r="D355" s="35"/>
      <c r="E355" s="35"/>
      <c r="F355" s="35"/>
      <c r="G355" s="35"/>
      <c r="H355" s="11"/>
      <c r="I355" s="35"/>
      <c r="J355" s="35"/>
      <c r="K355" s="11"/>
      <c r="L355" s="35"/>
    </row>
    <row r="356" spans="1:12" x14ac:dyDescent="0.2">
      <c r="A356" s="33"/>
      <c r="B356" s="33"/>
      <c r="C356" s="33"/>
      <c r="D356" s="35"/>
      <c r="E356" s="35"/>
      <c r="F356" s="35"/>
      <c r="G356" s="35"/>
      <c r="H356" s="11"/>
      <c r="I356" s="35"/>
      <c r="J356" s="35"/>
      <c r="K356" s="11"/>
      <c r="L356" s="35"/>
    </row>
    <row r="357" spans="1:12" x14ac:dyDescent="0.2">
      <c r="A357" s="33"/>
      <c r="B357" s="33"/>
      <c r="C357" s="33"/>
      <c r="D357" s="35"/>
      <c r="E357" s="35"/>
      <c r="F357" s="35"/>
      <c r="G357" s="35"/>
      <c r="H357" s="11"/>
      <c r="I357" s="35"/>
      <c r="J357" s="35"/>
      <c r="K357" s="11"/>
      <c r="L357" s="35"/>
    </row>
    <row r="358" spans="1:12" x14ac:dyDescent="0.2">
      <c r="D358" s="11"/>
      <c r="E358" s="11"/>
      <c r="F358" s="11"/>
      <c r="G358" s="11"/>
      <c r="H358" s="11"/>
      <c r="I358" s="11"/>
      <c r="J358" s="11"/>
      <c r="K358" s="11"/>
      <c r="L358" s="11"/>
    </row>
    <row r="359" spans="1:12" x14ac:dyDescent="0.2">
      <c r="D359" s="11"/>
      <c r="E359" s="11"/>
      <c r="F359" s="11"/>
      <c r="G359" s="11"/>
      <c r="H359" s="11"/>
      <c r="I359" s="11"/>
      <c r="J359" s="11"/>
      <c r="K359" s="11"/>
      <c r="L359" s="11"/>
    </row>
    <row r="360" spans="1:12" x14ac:dyDescent="0.2">
      <c r="D360" s="11"/>
      <c r="E360" s="11"/>
      <c r="F360" s="11"/>
      <c r="G360" s="11"/>
      <c r="H360" s="11"/>
      <c r="I360" s="11"/>
      <c r="J360" s="11"/>
      <c r="K360" s="11"/>
      <c r="L360" s="11"/>
    </row>
    <row r="361" spans="1:12" x14ac:dyDescent="0.2">
      <c r="D361" s="11"/>
      <c r="E361" s="11"/>
      <c r="F361" s="11"/>
      <c r="G361" s="11"/>
      <c r="H361" s="11"/>
      <c r="I361" s="11"/>
      <c r="J361" s="11"/>
      <c r="K361" s="11"/>
      <c r="L361" s="11"/>
    </row>
    <row r="362" spans="1:12" x14ac:dyDescent="0.2">
      <c r="D362" s="11"/>
      <c r="E362" s="11"/>
      <c r="F362" s="11"/>
      <c r="G362" s="11"/>
      <c r="H362" s="11"/>
      <c r="I362" s="11"/>
      <c r="J362" s="11"/>
      <c r="K362" s="11"/>
      <c r="L362" s="11"/>
    </row>
    <row r="363" spans="1:12" x14ac:dyDescent="0.2">
      <c r="D363" s="11"/>
      <c r="E363" s="11"/>
      <c r="F363" s="11"/>
      <c r="G363" s="11"/>
      <c r="H363" s="11"/>
      <c r="I363" s="11"/>
      <c r="J363" s="11"/>
      <c r="K363" s="11"/>
      <c r="L363" s="11"/>
    </row>
    <row r="364" spans="1:12" x14ac:dyDescent="0.2">
      <c r="D364" s="11"/>
      <c r="E364" s="11"/>
      <c r="F364" s="11"/>
      <c r="G364" s="11"/>
      <c r="H364" s="11"/>
      <c r="I364" s="11"/>
      <c r="J364" s="11"/>
      <c r="K364" s="11"/>
      <c r="L364" s="11"/>
    </row>
    <row r="365" spans="1:12" x14ac:dyDescent="0.2">
      <c r="D365" s="11"/>
      <c r="E365" s="11"/>
      <c r="F365" s="11"/>
      <c r="G365" s="11"/>
      <c r="H365" s="11"/>
      <c r="I365" s="11"/>
      <c r="J365" s="11"/>
      <c r="K365" s="11"/>
      <c r="L365" s="11"/>
    </row>
    <row r="366" spans="1:12" x14ac:dyDescent="0.2">
      <c r="D366" s="11"/>
      <c r="E366" s="11"/>
      <c r="F366" s="11"/>
      <c r="G366" s="11"/>
      <c r="H366" s="11"/>
      <c r="I366" s="11"/>
      <c r="J366" s="11"/>
      <c r="K366" s="11"/>
      <c r="L366" s="11"/>
    </row>
    <row r="367" spans="1:12" x14ac:dyDescent="0.2">
      <c r="D367" s="11"/>
      <c r="E367" s="11"/>
      <c r="F367" s="11"/>
      <c r="G367" s="11"/>
      <c r="H367" s="11"/>
      <c r="I367" s="11"/>
      <c r="J367" s="11"/>
      <c r="K367" s="11"/>
      <c r="L367" s="11"/>
    </row>
    <row r="368" spans="1:12" x14ac:dyDescent="0.2">
      <c r="D368" s="11"/>
      <c r="E368" s="11"/>
      <c r="F368" s="11"/>
      <c r="G368" s="11"/>
      <c r="H368" s="11"/>
      <c r="I368" s="11"/>
      <c r="J368" s="11"/>
      <c r="K368" s="11"/>
      <c r="L368" s="11"/>
    </row>
    <row r="369" spans="4:12" x14ac:dyDescent="0.2">
      <c r="D369" s="11"/>
      <c r="E369" s="11"/>
      <c r="F369" s="11"/>
      <c r="G369" s="11"/>
      <c r="H369" s="11"/>
      <c r="I369" s="11"/>
      <c r="J369" s="11"/>
      <c r="K369" s="11"/>
      <c r="L369" s="11"/>
    </row>
    <row r="370" spans="4:12" x14ac:dyDescent="0.2">
      <c r="D370" s="11"/>
      <c r="E370" s="11"/>
      <c r="F370" s="11"/>
      <c r="G370" s="11"/>
      <c r="H370" s="11"/>
      <c r="I370" s="11"/>
      <c r="J370" s="11"/>
      <c r="K370" s="11"/>
      <c r="L370" s="11"/>
    </row>
    <row r="371" spans="4:12" x14ac:dyDescent="0.2">
      <c r="D371" s="11"/>
      <c r="E371" s="11"/>
      <c r="F371" s="11"/>
      <c r="G371" s="11"/>
      <c r="H371" s="11"/>
      <c r="I371" s="11"/>
      <c r="J371" s="11"/>
      <c r="K371" s="11"/>
      <c r="L371" s="11"/>
    </row>
    <row r="372" spans="4:12" x14ac:dyDescent="0.2">
      <c r="D372" s="11"/>
      <c r="E372" s="11"/>
      <c r="F372" s="11"/>
      <c r="G372" s="11"/>
      <c r="H372" s="11"/>
      <c r="I372" s="11"/>
      <c r="J372" s="11"/>
      <c r="K372" s="11"/>
      <c r="L372" s="11"/>
    </row>
    <row r="373" spans="4:12" x14ac:dyDescent="0.2">
      <c r="D373" s="11"/>
      <c r="E373" s="11"/>
      <c r="F373" s="11"/>
      <c r="G373" s="11"/>
      <c r="H373" s="11"/>
      <c r="I373" s="11"/>
      <c r="J373" s="11"/>
      <c r="K373" s="11"/>
      <c r="L373" s="11"/>
    </row>
    <row r="374" spans="4:12" x14ac:dyDescent="0.2">
      <c r="D374" s="11"/>
      <c r="E374" s="11"/>
      <c r="F374" s="11"/>
      <c r="G374" s="11"/>
      <c r="H374" s="11"/>
      <c r="I374" s="11"/>
      <c r="J374" s="11"/>
      <c r="K374" s="11"/>
      <c r="L374" s="11"/>
    </row>
    <row r="375" spans="4:12" x14ac:dyDescent="0.2">
      <c r="D375" s="11"/>
      <c r="E375" s="11"/>
      <c r="F375" s="11"/>
      <c r="G375" s="11"/>
      <c r="H375" s="11"/>
      <c r="I375" s="11"/>
      <c r="J375" s="11"/>
      <c r="K375" s="11"/>
      <c r="L375" s="11"/>
    </row>
    <row r="376" spans="4:12" x14ac:dyDescent="0.2">
      <c r="D376" s="11"/>
      <c r="E376" s="11"/>
      <c r="F376" s="11"/>
      <c r="G376" s="11"/>
      <c r="H376" s="11"/>
      <c r="I376" s="11"/>
      <c r="J376" s="11"/>
      <c r="K376" s="11"/>
      <c r="L376" s="11"/>
    </row>
    <row r="377" spans="4:12" x14ac:dyDescent="0.2">
      <c r="D377" s="11"/>
      <c r="E377" s="11"/>
      <c r="F377" s="11"/>
      <c r="G377" s="11"/>
      <c r="H377" s="11"/>
      <c r="I377" s="11"/>
      <c r="J377" s="11"/>
      <c r="K377" s="11"/>
      <c r="L377" s="11"/>
    </row>
    <row r="378" spans="4:12" x14ac:dyDescent="0.2">
      <c r="D378" s="11"/>
      <c r="E378" s="11"/>
      <c r="F378" s="11"/>
      <c r="G378" s="11"/>
      <c r="H378" s="11"/>
      <c r="I378" s="11"/>
      <c r="J378" s="11"/>
      <c r="K378" s="11"/>
      <c r="L378" s="11"/>
    </row>
    <row r="379" spans="4:12" x14ac:dyDescent="0.2">
      <c r="D379" s="11"/>
      <c r="E379" s="11"/>
      <c r="F379" s="11"/>
      <c r="G379" s="11"/>
      <c r="H379" s="11"/>
      <c r="I379" s="11"/>
      <c r="J379" s="11"/>
      <c r="K379" s="11"/>
      <c r="L379" s="11"/>
    </row>
    <row r="380" spans="4:12" x14ac:dyDescent="0.2">
      <c r="D380" s="11"/>
      <c r="E380" s="11"/>
      <c r="F380" s="11"/>
      <c r="G380" s="11"/>
      <c r="H380" s="11"/>
      <c r="I380" s="11"/>
      <c r="J380" s="11"/>
      <c r="K380" s="11"/>
      <c r="L380" s="11"/>
    </row>
    <row r="381" spans="4:12" x14ac:dyDescent="0.2">
      <c r="D381" s="11"/>
      <c r="E381" s="11"/>
      <c r="F381" s="11"/>
      <c r="G381" s="11"/>
      <c r="H381" s="11"/>
      <c r="I381" s="11"/>
      <c r="J381" s="11"/>
      <c r="K381" s="11"/>
      <c r="L381" s="11"/>
    </row>
    <row r="382" spans="4:12" x14ac:dyDescent="0.2">
      <c r="D382" s="11"/>
      <c r="E382" s="11"/>
      <c r="F382" s="11"/>
      <c r="G382" s="11"/>
      <c r="H382" s="11"/>
      <c r="I382" s="11"/>
      <c r="J382" s="11"/>
      <c r="K382" s="11"/>
      <c r="L382" s="11"/>
    </row>
    <row r="383" spans="4:12" x14ac:dyDescent="0.2">
      <c r="D383" s="11"/>
      <c r="E383" s="11"/>
      <c r="F383" s="11"/>
      <c r="G383" s="11"/>
      <c r="H383" s="11"/>
      <c r="I383" s="11"/>
      <c r="J383" s="11"/>
      <c r="K383" s="11"/>
      <c r="L383" s="11"/>
    </row>
    <row r="384" spans="4:12" x14ac:dyDescent="0.2">
      <c r="D384" s="11"/>
      <c r="E384" s="11"/>
      <c r="F384" s="11"/>
      <c r="G384" s="11"/>
      <c r="H384" s="11"/>
      <c r="I384" s="11"/>
      <c r="J384" s="11"/>
      <c r="K384" s="11"/>
      <c r="L384" s="11"/>
    </row>
    <row r="385" spans="4:12" x14ac:dyDescent="0.2">
      <c r="D385" s="11"/>
      <c r="E385" s="11"/>
      <c r="F385" s="11"/>
      <c r="G385" s="11"/>
      <c r="H385" s="11"/>
      <c r="I385" s="11"/>
      <c r="J385" s="11"/>
      <c r="K385" s="11"/>
      <c r="L385" s="11"/>
    </row>
    <row r="386" spans="4:12" x14ac:dyDescent="0.2">
      <c r="D386" s="11"/>
      <c r="E386" s="11"/>
      <c r="F386" s="11"/>
      <c r="G386" s="11"/>
      <c r="H386" s="11"/>
      <c r="I386" s="11"/>
      <c r="J386" s="11"/>
      <c r="K386" s="11"/>
      <c r="L386" s="11"/>
    </row>
    <row r="387" spans="4:12" x14ac:dyDescent="0.2">
      <c r="D387" s="11"/>
      <c r="E387" s="11"/>
      <c r="F387" s="11"/>
      <c r="G387" s="11"/>
      <c r="H387" s="11"/>
      <c r="I387" s="11"/>
      <c r="J387" s="11"/>
      <c r="K387" s="11"/>
      <c r="L387" s="11"/>
    </row>
    <row r="388" spans="4:12" x14ac:dyDescent="0.2">
      <c r="D388" s="11"/>
      <c r="E388" s="11"/>
      <c r="F388" s="11"/>
      <c r="G388" s="11"/>
      <c r="H388" s="11"/>
      <c r="I388" s="11"/>
      <c r="J388" s="11"/>
      <c r="K388" s="11"/>
      <c r="L388" s="11"/>
    </row>
    <row r="389" spans="4:12" x14ac:dyDescent="0.2">
      <c r="D389" s="11"/>
      <c r="E389" s="11"/>
      <c r="F389" s="11"/>
      <c r="G389" s="11"/>
      <c r="H389" s="11"/>
      <c r="I389" s="11"/>
      <c r="J389" s="11"/>
      <c r="K389" s="11"/>
      <c r="L389" s="11"/>
    </row>
    <row r="390" spans="4:12" x14ac:dyDescent="0.2">
      <c r="D390" s="11"/>
      <c r="E390" s="11"/>
      <c r="F390" s="11"/>
      <c r="G390" s="11"/>
      <c r="H390" s="11"/>
      <c r="I390" s="11"/>
      <c r="J390" s="11"/>
      <c r="K390" s="11"/>
      <c r="L390" s="11"/>
    </row>
    <row r="391" spans="4:12" x14ac:dyDescent="0.2">
      <c r="D391" s="11"/>
      <c r="E391" s="11"/>
      <c r="F391" s="11"/>
      <c r="G391" s="11"/>
      <c r="H391" s="11"/>
      <c r="I391" s="11"/>
      <c r="J391" s="11"/>
      <c r="K391" s="11"/>
      <c r="L391" s="11"/>
    </row>
    <row r="392" spans="4:12" x14ac:dyDescent="0.2">
      <c r="D392" s="11"/>
      <c r="E392" s="11"/>
      <c r="F392" s="11"/>
      <c r="G392" s="11"/>
      <c r="H392" s="11"/>
      <c r="I392" s="11"/>
      <c r="J392" s="11"/>
      <c r="K392" s="11"/>
      <c r="L392" s="11"/>
    </row>
    <row r="393" spans="4:12" x14ac:dyDescent="0.2">
      <c r="D393" s="11"/>
      <c r="E393" s="11"/>
      <c r="F393" s="11"/>
      <c r="G393" s="11"/>
      <c r="H393" s="11"/>
      <c r="I393" s="11"/>
      <c r="J393" s="11"/>
      <c r="K393" s="11"/>
      <c r="L393" s="11"/>
    </row>
    <row r="394" spans="4:12" x14ac:dyDescent="0.2">
      <c r="D394" s="11"/>
      <c r="E394" s="11"/>
      <c r="F394" s="11"/>
      <c r="G394" s="11"/>
      <c r="H394" s="11"/>
      <c r="I394" s="11"/>
      <c r="J394" s="11"/>
      <c r="K394" s="11"/>
      <c r="L394" s="11"/>
    </row>
    <row r="395" spans="4:12" x14ac:dyDescent="0.2">
      <c r="D395" s="11"/>
      <c r="E395" s="11"/>
      <c r="F395" s="11"/>
      <c r="G395" s="11"/>
      <c r="H395" s="11"/>
      <c r="I395" s="11"/>
      <c r="J395" s="11"/>
      <c r="K395" s="11"/>
      <c r="L395" s="11"/>
    </row>
    <row r="396" spans="4:12" x14ac:dyDescent="0.2">
      <c r="D396" s="11"/>
      <c r="E396" s="11"/>
      <c r="F396" s="11"/>
      <c r="G396" s="11"/>
      <c r="H396" s="11"/>
      <c r="I396" s="11"/>
      <c r="J396" s="11"/>
      <c r="K396" s="11"/>
      <c r="L396" s="11"/>
    </row>
    <row r="397" spans="4:12" x14ac:dyDescent="0.2">
      <c r="D397" s="11"/>
      <c r="E397" s="11"/>
      <c r="F397" s="11"/>
      <c r="G397" s="11"/>
      <c r="H397" s="11"/>
      <c r="I397" s="11"/>
      <c r="J397" s="11"/>
      <c r="K397" s="11"/>
      <c r="L397" s="11"/>
    </row>
    <row r="398" spans="4:12" x14ac:dyDescent="0.2">
      <c r="D398" s="11"/>
      <c r="E398" s="11"/>
      <c r="F398" s="11"/>
      <c r="G398" s="11"/>
      <c r="H398" s="11"/>
      <c r="I398" s="11"/>
      <c r="J398" s="11"/>
      <c r="K398" s="11"/>
      <c r="L398" s="11"/>
    </row>
    <row r="399" spans="4:12" x14ac:dyDescent="0.2">
      <c r="D399" s="11"/>
      <c r="E399" s="11"/>
      <c r="F399" s="11"/>
      <c r="G399" s="11"/>
      <c r="H399" s="11"/>
      <c r="I399" s="11"/>
      <c r="J399" s="11"/>
      <c r="K399" s="11"/>
      <c r="L399" s="11"/>
    </row>
    <row r="400" spans="4:12" x14ac:dyDescent="0.2">
      <c r="D400" s="11"/>
      <c r="E400" s="11"/>
      <c r="F400" s="11"/>
      <c r="G400" s="11"/>
      <c r="H400" s="11"/>
      <c r="I400" s="11"/>
      <c r="J400" s="11"/>
      <c r="K400" s="11"/>
      <c r="L400" s="11"/>
    </row>
    <row r="401" spans="4:12" x14ac:dyDescent="0.2">
      <c r="D401" s="11"/>
      <c r="E401" s="11"/>
      <c r="F401" s="11"/>
      <c r="G401" s="11"/>
      <c r="H401" s="11"/>
      <c r="I401" s="11"/>
      <c r="J401" s="11"/>
      <c r="K401" s="11"/>
      <c r="L401" s="11"/>
    </row>
    <row r="402" spans="4:12" x14ac:dyDescent="0.2">
      <c r="D402" s="11"/>
      <c r="E402" s="11"/>
      <c r="F402" s="11"/>
      <c r="G402" s="11"/>
      <c r="H402" s="11"/>
      <c r="I402" s="11"/>
      <c r="J402" s="11"/>
      <c r="K402" s="11"/>
      <c r="L402" s="11"/>
    </row>
    <row r="403" spans="4:12" x14ac:dyDescent="0.2">
      <c r="D403" s="11"/>
      <c r="E403" s="11"/>
      <c r="F403" s="11"/>
      <c r="G403" s="11"/>
      <c r="H403" s="11"/>
      <c r="I403" s="11"/>
      <c r="J403" s="11"/>
      <c r="K403" s="11"/>
      <c r="L403" s="11"/>
    </row>
    <row r="404" spans="4:12" x14ac:dyDescent="0.2">
      <c r="D404" s="11"/>
      <c r="E404" s="11"/>
      <c r="F404" s="11"/>
      <c r="G404" s="11"/>
      <c r="H404" s="11"/>
      <c r="I404" s="11"/>
      <c r="J404" s="11"/>
      <c r="K404" s="11"/>
      <c r="L404" s="11"/>
    </row>
    <row r="405" spans="4:12" x14ac:dyDescent="0.2">
      <c r="D405" s="11"/>
      <c r="E405" s="11"/>
      <c r="F405" s="11"/>
      <c r="G405" s="11"/>
      <c r="H405" s="11"/>
      <c r="I405" s="11"/>
      <c r="J405" s="11"/>
      <c r="K405" s="11"/>
      <c r="L405" s="11"/>
    </row>
    <row r="406" spans="4:12" x14ac:dyDescent="0.2">
      <c r="D406" s="11"/>
      <c r="E406" s="11"/>
      <c r="F406" s="11"/>
      <c r="G406" s="11"/>
      <c r="H406" s="11"/>
      <c r="I406" s="11"/>
      <c r="J406" s="11"/>
      <c r="K406" s="11"/>
      <c r="L406" s="11"/>
    </row>
    <row r="407" spans="4:12" x14ac:dyDescent="0.2">
      <c r="D407" s="11"/>
      <c r="E407" s="11"/>
      <c r="F407" s="11"/>
      <c r="G407" s="11"/>
      <c r="H407" s="11"/>
      <c r="I407" s="11"/>
      <c r="J407" s="11"/>
      <c r="K407" s="11"/>
      <c r="L407" s="11"/>
    </row>
    <row r="408" spans="4:12" x14ac:dyDescent="0.2">
      <c r="D408" s="11"/>
      <c r="E408" s="11"/>
      <c r="F408" s="11"/>
      <c r="G408" s="11"/>
      <c r="H408" s="11"/>
      <c r="I408" s="11"/>
      <c r="J408" s="11"/>
      <c r="K408" s="11"/>
      <c r="L408" s="11"/>
    </row>
    <row r="409" spans="4:12" x14ac:dyDescent="0.2">
      <c r="D409" s="11"/>
      <c r="E409" s="11"/>
      <c r="F409" s="11"/>
      <c r="G409" s="11"/>
      <c r="H409" s="11"/>
      <c r="I409" s="11"/>
      <c r="J409" s="11"/>
      <c r="K409" s="11"/>
      <c r="L409" s="11"/>
    </row>
    <row r="410" spans="4:12" x14ac:dyDescent="0.2">
      <c r="D410" s="11"/>
      <c r="E410" s="11"/>
      <c r="F410" s="11"/>
      <c r="G410" s="11"/>
      <c r="H410" s="11"/>
      <c r="I410" s="11"/>
      <c r="J410" s="11"/>
      <c r="K410" s="11"/>
      <c r="L410" s="11"/>
    </row>
    <row r="411" spans="4:12" x14ac:dyDescent="0.2">
      <c r="D411" s="11"/>
      <c r="E411" s="11"/>
      <c r="F411" s="11"/>
      <c r="G411" s="11"/>
      <c r="H411" s="11"/>
      <c r="I411" s="11"/>
      <c r="J411" s="11"/>
      <c r="K411" s="11"/>
      <c r="L411" s="11"/>
    </row>
    <row r="412" spans="4:12" x14ac:dyDescent="0.2">
      <c r="D412" s="11"/>
      <c r="E412" s="11"/>
      <c r="F412" s="11"/>
      <c r="G412" s="11"/>
      <c r="H412" s="11"/>
      <c r="I412" s="11"/>
      <c r="J412" s="11"/>
      <c r="K412" s="11"/>
      <c r="L412" s="11"/>
    </row>
    <row r="413" spans="4:12" x14ac:dyDescent="0.2">
      <c r="D413" s="11"/>
      <c r="E413" s="11"/>
      <c r="F413" s="11"/>
      <c r="G413" s="11"/>
      <c r="H413" s="11"/>
      <c r="I413" s="11"/>
      <c r="J413" s="11"/>
      <c r="K413" s="11"/>
      <c r="L413" s="11"/>
    </row>
    <row r="414" spans="4:12" x14ac:dyDescent="0.2">
      <c r="D414" s="11"/>
      <c r="E414" s="11"/>
      <c r="F414" s="11"/>
      <c r="G414" s="11"/>
      <c r="H414" s="11"/>
      <c r="I414" s="11"/>
      <c r="J414" s="11"/>
      <c r="K414" s="11"/>
      <c r="L414" s="11"/>
    </row>
    <row r="415" spans="4:12" x14ac:dyDescent="0.2">
      <c r="D415" s="11"/>
      <c r="E415" s="11"/>
      <c r="F415" s="11"/>
      <c r="G415" s="11"/>
      <c r="H415" s="11"/>
      <c r="I415" s="11"/>
      <c r="J415" s="11"/>
      <c r="K415" s="11"/>
      <c r="L415" s="11"/>
    </row>
    <row r="416" spans="4:12" x14ac:dyDescent="0.2">
      <c r="D416" s="11"/>
      <c r="E416" s="11"/>
      <c r="F416" s="11"/>
      <c r="G416" s="11"/>
      <c r="H416" s="11"/>
      <c r="I416" s="11"/>
      <c r="J416" s="11"/>
      <c r="K416" s="11"/>
      <c r="L416" s="11"/>
    </row>
    <row r="417" spans="4:12" x14ac:dyDescent="0.2">
      <c r="D417" s="11"/>
      <c r="E417" s="11"/>
      <c r="F417" s="11"/>
      <c r="G417" s="11"/>
      <c r="H417" s="11"/>
      <c r="I417" s="11"/>
      <c r="J417" s="11"/>
      <c r="K417" s="11"/>
      <c r="L417" s="11"/>
    </row>
    <row r="418" spans="4:12" x14ac:dyDescent="0.2">
      <c r="D418" s="11"/>
      <c r="E418" s="11"/>
      <c r="F418" s="11"/>
      <c r="G418" s="11"/>
      <c r="H418" s="11"/>
      <c r="I418" s="11"/>
      <c r="J418" s="11"/>
      <c r="K418" s="11"/>
      <c r="L418" s="11"/>
    </row>
    <row r="419" spans="4:12" x14ac:dyDescent="0.2">
      <c r="D419" s="11"/>
      <c r="E419" s="11"/>
      <c r="F419" s="11"/>
      <c r="G419" s="11"/>
      <c r="H419" s="11"/>
      <c r="I419" s="11"/>
      <c r="J419" s="11"/>
      <c r="K419" s="11"/>
      <c r="L419" s="11"/>
    </row>
    <row r="420" spans="4:12" x14ac:dyDescent="0.2">
      <c r="D420" s="11"/>
      <c r="E420" s="11"/>
      <c r="F420" s="11"/>
      <c r="G420" s="11"/>
      <c r="H420" s="11"/>
      <c r="I420" s="11"/>
      <c r="J420" s="11"/>
      <c r="K420" s="11"/>
      <c r="L420" s="11"/>
    </row>
    <row r="421" spans="4:12" x14ac:dyDescent="0.2">
      <c r="D421" s="11"/>
      <c r="E421" s="11"/>
      <c r="F421" s="11"/>
      <c r="G421" s="11"/>
      <c r="H421" s="11"/>
      <c r="I421" s="11"/>
      <c r="J421" s="11"/>
      <c r="K421" s="11"/>
      <c r="L421" s="11"/>
    </row>
    <row r="422" spans="4:12" x14ac:dyDescent="0.2">
      <c r="D422" s="11"/>
      <c r="E422" s="11"/>
      <c r="F422" s="11"/>
      <c r="G422" s="11"/>
      <c r="H422" s="11"/>
      <c r="I422" s="11"/>
      <c r="J422" s="11"/>
      <c r="K422" s="11"/>
      <c r="L422" s="11"/>
    </row>
    <row r="423" spans="4:12" x14ac:dyDescent="0.2">
      <c r="D423" s="11"/>
      <c r="E423" s="11"/>
      <c r="F423" s="11"/>
      <c r="G423" s="11"/>
      <c r="H423" s="11"/>
      <c r="I423" s="11"/>
      <c r="J423" s="11"/>
      <c r="K423" s="11"/>
      <c r="L423" s="11"/>
    </row>
    <row r="424" spans="4:12" x14ac:dyDescent="0.2">
      <c r="D424" s="11"/>
      <c r="E424" s="11"/>
      <c r="F424" s="11"/>
      <c r="G424" s="11"/>
      <c r="H424" s="11"/>
      <c r="I424" s="11"/>
      <c r="J424" s="11"/>
      <c r="K424" s="11"/>
      <c r="L424" s="11"/>
    </row>
    <row r="425" spans="4:12" x14ac:dyDescent="0.2">
      <c r="D425" s="11"/>
      <c r="E425" s="11"/>
      <c r="F425" s="11"/>
      <c r="G425" s="11"/>
      <c r="H425" s="11"/>
      <c r="I425" s="11"/>
      <c r="J425" s="11"/>
      <c r="K425" s="11"/>
      <c r="L425" s="11"/>
    </row>
    <row r="426" spans="4:12" x14ac:dyDescent="0.2">
      <c r="D426" s="11"/>
      <c r="E426" s="11"/>
      <c r="F426" s="11"/>
      <c r="G426" s="11"/>
      <c r="H426" s="11"/>
      <c r="I426" s="11"/>
      <c r="J426" s="11"/>
      <c r="K426" s="11"/>
      <c r="L426" s="11"/>
    </row>
    <row r="427" spans="4:12" x14ac:dyDescent="0.2">
      <c r="D427" s="11"/>
      <c r="E427" s="11"/>
      <c r="F427" s="11"/>
      <c r="G427" s="11"/>
      <c r="H427" s="11"/>
      <c r="I427" s="11"/>
      <c r="J427" s="11"/>
      <c r="K427" s="11"/>
      <c r="L427" s="11"/>
    </row>
    <row r="428" spans="4:12" x14ac:dyDescent="0.2">
      <c r="D428" s="11"/>
      <c r="E428" s="11"/>
      <c r="F428" s="11"/>
      <c r="G428" s="11"/>
      <c r="H428" s="11"/>
      <c r="I428" s="11"/>
      <c r="J428" s="11"/>
      <c r="K428" s="11"/>
      <c r="L428" s="11"/>
    </row>
    <row r="429" spans="4:12" x14ac:dyDescent="0.2">
      <c r="D429" s="11"/>
      <c r="E429" s="11"/>
      <c r="F429" s="11"/>
      <c r="G429" s="11"/>
      <c r="H429" s="11"/>
      <c r="I429" s="11"/>
      <c r="J429" s="11"/>
      <c r="K429" s="11"/>
      <c r="L429" s="11"/>
    </row>
    <row r="430" spans="4:12" x14ac:dyDescent="0.2">
      <c r="D430" s="11"/>
      <c r="E430" s="11"/>
      <c r="F430" s="11"/>
      <c r="G430" s="11"/>
      <c r="H430" s="11"/>
      <c r="I430" s="11"/>
      <c r="J430" s="11"/>
      <c r="K430" s="11"/>
      <c r="L430" s="11"/>
    </row>
    <row r="431" spans="4:12" x14ac:dyDescent="0.2">
      <c r="D431" s="11"/>
      <c r="E431" s="11"/>
      <c r="F431" s="11"/>
      <c r="G431" s="11"/>
      <c r="H431" s="11"/>
      <c r="I431" s="11"/>
      <c r="J431" s="11"/>
      <c r="K431" s="11"/>
      <c r="L431" s="11"/>
    </row>
    <row r="432" spans="4:12" x14ac:dyDescent="0.2">
      <c r="D432" s="11"/>
      <c r="E432" s="11"/>
      <c r="F432" s="11"/>
      <c r="G432" s="11"/>
      <c r="H432" s="11"/>
      <c r="I432" s="11"/>
      <c r="J432" s="11"/>
      <c r="K432" s="11"/>
      <c r="L432" s="11"/>
    </row>
    <row r="433" spans="4:12" x14ac:dyDescent="0.2">
      <c r="D433" s="11"/>
      <c r="E433" s="11"/>
      <c r="F433" s="11"/>
      <c r="G433" s="11"/>
      <c r="H433" s="11"/>
      <c r="I433" s="11"/>
      <c r="J433" s="11"/>
      <c r="K433" s="11"/>
      <c r="L433" s="11"/>
    </row>
    <row r="434" spans="4:12" x14ac:dyDescent="0.2">
      <c r="D434" s="11"/>
      <c r="E434" s="11"/>
      <c r="F434" s="11"/>
      <c r="G434" s="11"/>
      <c r="H434" s="11"/>
      <c r="I434" s="11"/>
      <c r="J434" s="11"/>
      <c r="K434" s="11"/>
      <c r="L434" s="11"/>
    </row>
    <row r="435" spans="4:12" x14ac:dyDescent="0.2">
      <c r="D435" s="11"/>
      <c r="E435" s="11"/>
      <c r="F435" s="11"/>
      <c r="G435" s="11"/>
      <c r="H435" s="11"/>
      <c r="I435" s="11"/>
      <c r="J435" s="11"/>
      <c r="K435" s="11"/>
      <c r="L435" s="11"/>
    </row>
    <row r="436" spans="4:12" x14ac:dyDescent="0.2">
      <c r="D436" s="11"/>
      <c r="E436" s="11"/>
      <c r="F436" s="11"/>
      <c r="G436" s="11"/>
      <c r="H436" s="11"/>
      <c r="I436" s="11"/>
      <c r="J436" s="11"/>
      <c r="K436" s="11"/>
      <c r="L436" s="11"/>
    </row>
    <row r="437" spans="4:12" x14ac:dyDescent="0.2">
      <c r="D437" s="11"/>
      <c r="E437" s="11"/>
      <c r="F437" s="11"/>
      <c r="G437" s="11"/>
      <c r="H437" s="11"/>
      <c r="I437" s="11"/>
      <c r="J437" s="11"/>
      <c r="K437" s="11"/>
      <c r="L437" s="11"/>
    </row>
    <row r="438" spans="4:12" x14ac:dyDescent="0.2">
      <c r="D438" s="11"/>
      <c r="E438" s="11"/>
      <c r="F438" s="11"/>
      <c r="G438" s="11"/>
      <c r="H438" s="11"/>
      <c r="I438" s="11"/>
      <c r="J438" s="11"/>
      <c r="K438" s="11"/>
      <c r="L438" s="11"/>
    </row>
    <row r="439" spans="4:12" x14ac:dyDescent="0.2">
      <c r="D439" s="11"/>
      <c r="E439" s="11"/>
      <c r="F439" s="11"/>
      <c r="G439" s="11"/>
      <c r="H439" s="11"/>
      <c r="I439" s="11"/>
      <c r="J439" s="11"/>
      <c r="K439" s="11"/>
      <c r="L439" s="11"/>
    </row>
    <row r="440" spans="4:12" x14ac:dyDescent="0.2">
      <c r="D440" s="11"/>
      <c r="E440" s="11"/>
      <c r="F440" s="11"/>
      <c r="G440" s="11"/>
      <c r="H440" s="11"/>
      <c r="I440" s="11"/>
      <c r="J440" s="11"/>
      <c r="K440" s="11"/>
      <c r="L440" s="11"/>
    </row>
    <row r="441" spans="4:12" x14ac:dyDescent="0.2">
      <c r="D441" s="11"/>
      <c r="E441" s="11"/>
      <c r="F441" s="11"/>
      <c r="G441" s="11"/>
      <c r="H441" s="11"/>
      <c r="I441" s="11"/>
      <c r="J441" s="11"/>
      <c r="K441" s="11"/>
      <c r="L441" s="11"/>
    </row>
    <row r="442" spans="4:12" x14ac:dyDescent="0.2">
      <c r="D442" s="11"/>
      <c r="E442" s="11"/>
      <c r="F442" s="11"/>
      <c r="G442" s="11"/>
      <c r="H442" s="11"/>
      <c r="I442" s="11"/>
      <c r="J442" s="11"/>
      <c r="K442" s="11"/>
      <c r="L442" s="11"/>
    </row>
    <row r="443" spans="4:12" x14ac:dyDescent="0.2">
      <c r="D443" s="11"/>
      <c r="E443" s="11"/>
      <c r="F443" s="11"/>
      <c r="G443" s="11"/>
      <c r="H443" s="11"/>
      <c r="I443" s="11"/>
      <c r="J443" s="11"/>
      <c r="K443" s="11"/>
      <c r="L443" s="11"/>
    </row>
    <row r="444" spans="4:12" x14ac:dyDescent="0.2">
      <c r="D444" s="11"/>
      <c r="E444" s="11"/>
      <c r="F444" s="11"/>
      <c r="G444" s="11"/>
      <c r="H444" s="11"/>
      <c r="I444" s="11"/>
      <c r="J444" s="11"/>
      <c r="K444" s="11"/>
      <c r="L444" s="11"/>
    </row>
    <row r="445" spans="4:12" x14ac:dyDescent="0.2">
      <c r="D445" s="11"/>
      <c r="E445" s="11"/>
      <c r="F445" s="11"/>
      <c r="G445" s="11"/>
      <c r="H445" s="11"/>
      <c r="I445" s="11"/>
      <c r="J445" s="11"/>
      <c r="K445" s="11"/>
      <c r="L445" s="11"/>
    </row>
    <row r="446" spans="4:12" x14ac:dyDescent="0.2">
      <c r="D446" s="11"/>
      <c r="E446" s="11"/>
      <c r="F446" s="11"/>
      <c r="G446" s="11"/>
      <c r="H446" s="11"/>
      <c r="I446" s="11"/>
      <c r="J446" s="11"/>
      <c r="K446" s="11"/>
      <c r="L446" s="11"/>
    </row>
    <row r="447" spans="4:12" x14ac:dyDescent="0.2">
      <c r="D447" s="11"/>
      <c r="E447" s="11"/>
      <c r="F447" s="11"/>
      <c r="G447" s="11"/>
      <c r="H447" s="11"/>
      <c r="I447" s="11"/>
      <c r="J447" s="11"/>
      <c r="K447" s="11"/>
      <c r="L447" s="11"/>
    </row>
    <row r="448" spans="4:12" x14ac:dyDescent="0.2">
      <c r="D448" s="11"/>
      <c r="E448" s="11"/>
      <c r="F448" s="11"/>
      <c r="G448" s="11"/>
      <c r="H448" s="11"/>
      <c r="I448" s="11"/>
      <c r="J448" s="11"/>
      <c r="K448" s="11"/>
      <c r="L448" s="11"/>
    </row>
    <row r="449" spans="4:12" x14ac:dyDescent="0.2">
      <c r="D449" s="11"/>
      <c r="E449" s="11"/>
      <c r="F449" s="11"/>
      <c r="G449" s="11"/>
      <c r="H449" s="11"/>
      <c r="I449" s="11"/>
      <c r="J449" s="11"/>
      <c r="K449" s="11"/>
      <c r="L449" s="11"/>
    </row>
    <row r="450" spans="4:12" x14ac:dyDescent="0.2">
      <c r="D450" s="11"/>
      <c r="E450" s="11"/>
      <c r="F450" s="11"/>
      <c r="G450" s="11"/>
      <c r="H450" s="11"/>
      <c r="I450" s="11"/>
      <c r="J450" s="11"/>
      <c r="K450" s="11"/>
      <c r="L450" s="11"/>
    </row>
    <row r="451" spans="4:12" x14ac:dyDescent="0.2">
      <c r="D451" s="11"/>
      <c r="E451" s="11"/>
      <c r="F451" s="11"/>
      <c r="G451" s="11"/>
      <c r="H451" s="11"/>
      <c r="I451" s="11"/>
      <c r="J451" s="11"/>
      <c r="K451" s="11"/>
      <c r="L451" s="11"/>
    </row>
    <row r="452" spans="4:12" x14ac:dyDescent="0.2">
      <c r="D452" s="11"/>
      <c r="E452" s="11"/>
      <c r="F452" s="11"/>
      <c r="G452" s="11"/>
      <c r="H452" s="11"/>
      <c r="I452" s="11"/>
      <c r="J452" s="11"/>
      <c r="K452" s="11"/>
      <c r="L452" s="11"/>
    </row>
    <row r="453" spans="4:12" x14ac:dyDescent="0.2">
      <c r="D453" s="11"/>
      <c r="E453" s="11"/>
      <c r="F453" s="11"/>
      <c r="G453" s="11"/>
      <c r="H453" s="11"/>
      <c r="I453" s="11"/>
      <c r="J453" s="11"/>
      <c r="K453" s="11"/>
      <c r="L453" s="11"/>
    </row>
    <row r="454" spans="4:12" x14ac:dyDescent="0.2">
      <c r="D454" s="11"/>
      <c r="E454" s="11"/>
      <c r="F454" s="11"/>
      <c r="G454" s="11"/>
      <c r="H454" s="11"/>
      <c r="I454" s="11"/>
      <c r="J454" s="11"/>
      <c r="K454" s="11"/>
      <c r="L454" s="11"/>
    </row>
    <row r="455" spans="4:12" x14ac:dyDescent="0.2">
      <c r="D455" s="11"/>
      <c r="E455" s="11"/>
      <c r="F455" s="11"/>
      <c r="G455" s="11"/>
      <c r="H455" s="11"/>
      <c r="I455" s="11"/>
      <c r="J455" s="11"/>
      <c r="K455" s="11"/>
      <c r="L455" s="11"/>
    </row>
    <row r="456" spans="4:12" x14ac:dyDescent="0.2">
      <c r="D456" s="11"/>
      <c r="E456" s="11"/>
      <c r="F456" s="11"/>
      <c r="G456" s="11"/>
      <c r="H456" s="11"/>
      <c r="I456" s="11"/>
      <c r="J456" s="11"/>
      <c r="K456" s="11"/>
      <c r="L456" s="11"/>
    </row>
    <row r="457" spans="4:12" x14ac:dyDescent="0.2">
      <c r="D457" s="11"/>
      <c r="E457" s="11"/>
      <c r="F457" s="11"/>
      <c r="G457" s="11"/>
      <c r="H457" s="11"/>
      <c r="I457" s="11"/>
      <c r="J457" s="11"/>
      <c r="K457" s="11"/>
      <c r="L457" s="11"/>
    </row>
    <row r="458" spans="4:12" x14ac:dyDescent="0.2">
      <c r="D458" s="11"/>
      <c r="E458" s="11"/>
      <c r="F458" s="11"/>
      <c r="G458" s="11"/>
      <c r="H458" s="11"/>
      <c r="I458" s="11"/>
      <c r="J458" s="11"/>
      <c r="K458" s="11"/>
      <c r="L458" s="11"/>
    </row>
    <row r="459" spans="4:12" x14ac:dyDescent="0.2">
      <c r="D459" s="11"/>
      <c r="E459" s="11"/>
      <c r="F459" s="11"/>
      <c r="G459" s="11"/>
      <c r="H459" s="11"/>
      <c r="I459" s="11"/>
      <c r="J459" s="11"/>
      <c r="K459" s="11"/>
      <c r="L459" s="11"/>
    </row>
    <row r="460" spans="4:12" x14ac:dyDescent="0.2">
      <c r="D460" s="11"/>
      <c r="E460" s="11"/>
      <c r="F460" s="11"/>
      <c r="G460" s="11"/>
      <c r="H460" s="11"/>
      <c r="I460" s="11"/>
      <c r="J460" s="11"/>
      <c r="K460" s="11"/>
      <c r="L460" s="11"/>
    </row>
    <row r="461" spans="4:12" x14ac:dyDescent="0.2">
      <c r="D461" s="11"/>
      <c r="E461" s="11"/>
      <c r="F461" s="11"/>
      <c r="G461" s="11"/>
      <c r="H461" s="11"/>
      <c r="I461" s="11"/>
      <c r="J461" s="11"/>
      <c r="K461" s="11"/>
      <c r="L461" s="11"/>
    </row>
    <row r="462" spans="4:12" x14ac:dyDescent="0.2">
      <c r="D462" s="11"/>
      <c r="E462" s="11"/>
      <c r="F462" s="11"/>
      <c r="G462" s="11"/>
      <c r="H462" s="11"/>
      <c r="I462" s="11"/>
      <c r="J462" s="11"/>
      <c r="K462" s="11"/>
      <c r="L462" s="11"/>
    </row>
    <row r="463" spans="4:12" x14ac:dyDescent="0.2">
      <c r="D463" s="11"/>
      <c r="E463" s="11"/>
      <c r="F463" s="11"/>
      <c r="G463" s="11"/>
      <c r="H463" s="11"/>
      <c r="I463" s="11"/>
      <c r="J463" s="11"/>
      <c r="K463" s="11"/>
      <c r="L463" s="11"/>
    </row>
    <row r="464" spans="4:12" x14ac:dyDescent="0.2">
      <c r="D464" s="11"/>
      <c r="E464" s="11"/>
      <c r="F464" s="11"/>
      <c r="G464" s="11"/>
      <c r="H464" s="11"/>
      <c r="I464" s="11"/>
      <c r="J464" s="11"/>
      <c r="K464" s="11"/>
      <c r="L464" s="11"/>
    </row>
    <row r="465" spans="4:12" x14ac:dyDescent="0.2">
      <c r="D465" s="11"/>
      <c r="E465" s="11"/>
      <c r="F465" s="11"/>
      <c r="G465" s="11"/>
      <c r="H465" s="11"/>
      <c r="I465" s="11"/>
      <c r="J465" s="11"/>
      <c r="K465" s="11"/>
      <c r="L465" s="11"/>
    </row>
    <row r="466" spans="4:12" x14ac:dyDescent="0.2">
      <c r="D466" s="11"/>
      <c r="E466" s="11"/>
      <c r="F466" s="11"/>
      <c r="G466" s="11"/>
      <c r="H466" s="11"/>
      <c r="I466" s="11"/>
      <c r="J466" s="11"/>
      <c r="K466" s="11"/>
      <c r="L466" s="11"/>
    </row>
    <row r="467" spans="4:12" x14ac:dyDescent="0.2">
      <c r="D467" s="11"/>
      <c r="E467" s="11"/>
      <c r="F467" s="11"/>
      <c r="G467" s="11"/>
      <c r="H467" s="11"/>
      <c r="I467" s="11"/>
      <c r="J467" s="11"/>
      <c r="K467" s="11"/>
      <c r="L467" s="11"/>
    </row>
    <row r="468" spans="4:12" x14ac:dyDescent="0.2">
      <c r="D468" s="11"/>
      <c r="E468" s="11"/>
      <c r="F468" s="11"/>
      <c r="G468" s="11"/>
      <c r="H468" s="11"/>
      <c r="I468" s="11"/>
      <c r="J468" s="11"/>
      <c r="K468" s="11"/>
      <c r="L468" s="11"/>
    </row>
    <row r="469" spans="4:12" x14ac:dyDescent="0.2">
      <c r="D469" s="11"/>
      <c r="E469" s="11"/>
      <c r="F469" s="11"/>
      <c r="G469" s="11"/>
      <c r="H469" s="11"/>
      <c r="I469" s="11"/>
      <c r="J469" s="11"/>
      <c r="K469" s="11"/>
      <c r="L469" s="11"/>
    </row>
    <row r="470" spans="4:12" x14ac:dyDescent="0.2">
      <c r="D470" s="11"/>
      <c r="E470" s="11"/>
      <c r="F470" s="11"/>
      <c r="G470" s="11"/>
      <c r="H470" s="11"/>
      <c r="I470" s="11"/>
      <c r="J470" s="11"/>
      <c r="K470" s="11"/>
      <c r="L470" s="11"/>
    </row>
    <row r="471" spans="4:12" x14ac:dyDescent="0.2">
      <c r="D471" s="11"/>
      <c r="E471" s="11"/>
      <c r="F471" s="11"/>
      <c r="G471" s="11"/>
      <c r="H471" s="11"/>
      <c r="I471" s="11"/>
      <c r="J471" s="11"/>
      <c r="K471" s="11"/>
      <c r="L471" s="11"/>
    </row>
    <row r="472" spans="4:12" x14ac:dyDescent="0.2">
      <c r="D472" s="11"/>
      <c r="E472" s="11"/>
      <c r="F472" s="11"/>
      <c r="G472" s="11"/>
      <c r="H472" s="11"/>
      <c r="I472" s="11"/>
      <c r="J472" s="11"/>
      <c r="K472" s="11"/>
      <c r="L472" s="11"/>
    </row>
    <row r="473" spans="4:12" x14ac:dyDescent="0.2">
      <c r="D473" s="11"/>
      <c r="E473" s="11"/>
      <c r="F473" s="11"/>
      <c r="G473" s="11"/>
      <c r="H473" s="11"/>
      <c r="I473" s="11"/>
      <c r="J473" s="11"/>
      <c r="K473" s="11"/>
      <c r="L473" s="11"/>
    </row>
    <row r="474" spans="4:12" x14ac:dyDescent="0.2">
      <c r="D474" s="11"/>
      <c r="E474" s="11"/>
      <c r="F474" s="11"/>
      <c r="G474" s="11"/>
      <c r="H474" s="11"/>
      <c r="I474" s="11"/>
      <c r="J474" s="11"/>
      <c r="K474" s="11"/>
      <c r="L474" s="11"/>
    </row>
    <row r="475" spans="4:12" x14ac:dyDescent="0.2">
      <c r="D475" s="11"/>
      <c r="E475" s="11"/>
      <c r="F475" s="11"/>
      <c r="G475" s="11"/>
      <c r="H475" s="11"/>
      <c r="I475" s="11"/>
      <c r="J475" s="11"/>
      <c r="K475" s="11"/>
      <c r="L475" s="11"/>
    </row>
    <row r="476" spans="4:12" x14ac:dyDescent="0.2">
      <c r="D476" s="11"/>
      <c r="E476" s="11"/>
      <c r="F476" s="11"/>
      <c r="G476" s="11"/>
      <c r="H476" s="11"/>
      <c r="I476" s="11"/>
      <c r="J476" s="11"/>
      <c r="K476" s="11"/>
      <c r="L476" s="11"/>
    </row>
    <row r="477" spans="4:12" x14ac:dyDescent="0.2">
      <c r="D477" s="11"/>
      <c r="E477" s="11"/>
      <c r="F477" s="11"/>
      <c r="G477" s="11"/>
      <c r="H477" s="11"/>
      <c r="I477" s="11"/>
      <c r="J477" s="11"/>
      <c r="K477" s="11"/>
      <c r="L477" s="11"/>
    </row>
    <row r="478" spans="4:12" x14ac:dyDescent="0.2">
      <c r="D478" s="11"/>
      <c r="E478" s="11"/>
      <c r="F478" s="11"/>
      <c r="G478" s="11"/>
      <c r="H478" s="11"/>
      <c r="I478" s="11"/>
      <c r="J478" s="11"/>
      <c r="K478" s="11"/>
      <c r="L478" s="11"/>
    </row>
    <row r="479" spans="4:12" x14ac:dyDescent="0.2">
      <c r="D479" s="11"/>
      <c r="E479" s="11"/>
      <c r="F479" s="11"/>
      <c r="G479" s="11"/>
      <c r="H479" s="11"/>
      <c r="I479" s="11"/>
      <c r="J479" s="11"/>
      <c r="K479" s="11"/>
      <c r="L479" s="11"/>
    </row>
    <row r="480" spans="4:12" x14ac:dyDescent="0.2">
      <c r="D480" s="11"/>
      <c r="E480" s="11"/>
      <c r="F480" s="11"/>
      <c r="G480" s="11"/>
      <c r="H480" s="11"/>
      <c r="I480" s="11"/>
      <c r="J480" s="11"/>
      <c r="K480" s="11"/>
      <c r="L480" s="11"/>
    </row>
    <row r="481" spans="4:12" x14ac:dyDescent="0.2">
      <c r="D481" s="11"/>
      <c r="E481" s="11"/>
      <c r="F481" s="11"/>
      <c r="G481" s="11"/>
      <c r="H481" s="11"/>
      <c r="I481" s="11"/>
      <c r="J481" s="11"/>
      <c r="K481" s="11"/>
      <c r="L481" s="11"/>
    </row>
    <row r="482" spans="4:12" x14ac:dyDescent="0.2">
      <c r="D482" s="11"/>
      <c r="E482" s="11"/>
      <c r="F482" s="11"/>
      <c r="G482" s="11"/>
      <c r="H482" s="11"/>
      <c r="I482" s="11"/>
      <c r="J482" s="11"/>
      <c r="K482" s="11"/>
      <c r="L482" s="11"/>
    </row>
    <row r="483" spans="4:12" x14ac:dyDescent="0.2">
      <c r="D483" s="11"/>
      <c r="E483" s="11"/>
      <c r="F483" s="11"/>
      <c r="G483" s="11"/>
      <c r="H483" s="11"/>
      <c r="I483" s="11"/>
      <c r="J483" s="11"/>
      <c r="K483" s="11"/>
      <c r="L483" s="11"/>
    </row>
    <row r="484" spans="4:12" x14ac:dyDescent="0.2">
      <c r="D484" s="11"/>
      <c r="E484" s="11"/>
      <c r="F484" s="11"/>
      <c r="G484" s="11"/>
      <c r="H484" s="11"/>
      <c r="I484" s="11"/>
      <c r="J484" s="11"/>
      <c r="K484" s="11"/>
      <c r="L484" s="11"/>
    </row>
    <row r="485" spans="4:12" x14ac:dyDescent="0.2">
      <c r="D485" s="11"/>
      <c r="E485" s="11"/>
      <c r="F485" s="11"/>
      <c r="G485" s="11"/>
      <c r="H485" s="11"/>
      <c r="I485" s="11"/>
      <c r="J485" s="11"/>
      <c r="K485" s="11"/>
      <c r="L485" s="11"/>
    </row>
    <row r="486" spans="4:12" x14ac:dyDescent="0.2">
      <c r="D486" s="11"/>
      <c r="E486" s="11"/>
      <c r="F486" s="11"/>
      <c r="G486" s="11"/>
      <c r="H486" s="11"/>
      <c r="I486" s="11"/>
      <c r="J486" s="11"/>
      <c r="K486" s="11"/>
      <c r="L486" s="11"/>
    </row>
    <row r="487" spans="4:12" x14ac:dyDescent="0.2">
      <c r="D487" s="11"/>
      <c r="E487" s="11"/>
      <c r="F487" s="11"/>
      <c r="G487" s="11"/>
      <c r="H487" s="11"/>
      <c r="I487" s="11"/>
      <c r="J487" s="11"/>
      <c r="K487" s="11"/>
      <c r="L487" s="11"/>
    </row>
    <row r="488" spans="4:12" x14ac:dyDescent="0.2">
      <c r="D488" s="11"/>
      <c r="E488" s="11"/>
      <c r="F488" s="11"/>
      <c r="G488" s="11"/>
      <c r="H488" s="11"/>
      <c r="I488" s="11"/>
      <c r="J488" s="11"/>
      <c r="K488" s="11"/>
      <c r="L488" s="11"/>
    </row>
    <row r="489" spans="4:12" x14ac:dyDescent="0.2">
      <c r="D489" s="11"/>
      <c r="E489" s="11"/>
      <c r="F489" s="11"/>
      <c r="G489" s="11"/>
      <c r="H489" s="11"/>
      <c r="I489" s="11"/>
      <c r="J489" s="11"/>
      <c r="K489" s="11"/>
      <c r="L489" s="11"/>
    </row>
    <row r="490" spans="4:12" x14ac:dyDescent="0.2">
      <c r="D490" s="11"/>
      <c r="E490" s="11"/>
      <c r="F490" s="11"/>
      <c r="G490" s="11"/>
      <c r="H490" s="11"/>
      <c r="I490" s="11"/>
      <c r="J490" s="11"/>
      <c r="K490" s="11"/>
      <c r="L490" s="11"/>
    </row>
    <row r="491" spans="4:12" x14ac:dyDescent="0.2">
      <c r="D491" s="11"/>
      <c r="E491" s="11"/>
      <c r="F491" s="11"/>
      <c r="G491" s="11"/>
      <c r="H491" s="11"/>
      <c r="I491" s="11"/>
      <c r="J491" s="11"/>
      <c r="K491" s="11"/>
      <c r="L491" s="11"/>
    </row>
    <row r="492" spans="4:12" x14ac:dyDescent="0.2">
      <c r="D492" s="11"/>
      <c r="E492" s="11"/>
      <c r="F492" s="11"/>
      <c r="G492" s="11"/>
      <c r="H492" s="11"/>
      <c r="I492" s="11"/>
      <c r="J492" s="11"/>
      <c r="K492" s="11"/>
      <c r="L492" s="11"/>
    </row>
    <row r="493" spans="4:12" x14ac:dyDescent="0.2">
      <c r="D493" s="11"/>
      <c r="E493" s="11"/>
      <c r="F493" s="11"/>
      <c r="G493" s="11"/>
      <c r="H493" s="11"/>
      <c r="I493" s="11"/>
      <c r="J493" s="11"/>
      <c r="K493" s="11"/>
      <c r="L493" s="11"/>
    </row>
    <row r="494" spans="4:12" x14ac:dyDescent="0.2">
      <c r="D494" s="11"/>
      <c r="E494" s="11"/>
      <c r="F494" s="11"/>
      <c r="G494" s="11"/>
      <c r="H494" s="11"/>
      <c r="I494" s="11"/>
      <c r="J494" s="11"/>
      <c r="K494" s="11"/>
      <c r="L494" s="11"/>
    </row>
    <row r="495" spans="4:12" x14ac:dyDescent="0.2">
      <c r="D495" s="11"/>
      <c r="E495" s="11"/>
      <c r="F495" s="11"/>
      <c r="G495" s="11"/>
      <c r="H495" s="11"/>
      <c r="I495" s="11"/>
      <c r="J495" s="11"/>
      <c r="K495" s="11"/>
      <c r="L495" s="11"/>
    </row>
    <row r="496" spans="4:12" x14ac:dyDescent="0.2">
      <c r="D496" s="11"/>
      <c r="E496" s="11"/>
      <c r="F496" s="11"/>
      <c r="G496" s="11"/>
      <c r="H496" s="11"/>
      <c r="I496" s="11"/>
      <c r="J496" s="11"/>
      <c r="K496" s="11"/>
      <c r="L496" s="11"/>
    </row>
    <row r="497" spans="4:12" x14ac:dyDescent="0.2">
      <c r="D497" s="11"/>
      <c r="E497" s="11"/>
      <c r="F497" s="11"/>
      <c r="G497" s="11"/>
      <c r="H497" s="11"/>
      <c r="I497" s="11"/>
      <c r="J497" s="11"/>
      <c r="K497" s="11"/>
      <c r="L497" s="11"/>
    </row>
    <row r="498" spans="4:12" x14ac:dyDescent="0.2">
      <c r="D498" s="11"/>
      <c r="E498" s="11"/>
      <c r="F498" s="11"/>
      <c r="G498" s="11"/>
      <c r="H498" s="11"/>
      <c r="I498" s="11"/>
      <c r="J498" s="11"/>
      <c r="K498" s="11"/>
      <c r="L498" s="11"/>
    </row>
    <row r="499" spans="4:12" x14ac:dyDescent="0.2">
      <c r="D499" s="11"/>
      <c r="E499" s="11"/>
      <c r="F499" s="11"/>
      <c r="G499" s="11"/>
      <c r="H499" s="11"/>
      <c r="I499" s="11"/>
      <c r="J499" s="11"/>
      <c r="K499" s="11"/>
      <c r="L499" s="11"/>
    </row>
    <row r="500" spans="4:12" x14ac:dyDescent="0.2">
      <c r="D500" s="11"/>
      <c r="E500" s="11"/>
      <c r="F500" s="11"/>
      <c r="G500" s="11"/>
      <c r="H500" s="11"/>
      <c r="I500" s="11"/>
      <c r="J500" s="11"/>
      <c r="K500" s="11"/>
      <c r="L500" s="11"/>
    </row>
    <row r="501" spans="4:12" x14ac:dyDescent="0.2">
      <c r="D501" s="11"/>
      <c r="E501" s="11"/>
      <c r="F501" s="11"/>
      <c r="G501" s="11"/>
      <c r="H501" s="11"/>
      <c r="I501" s="11"/>
      <c r="J501" s="11"/>
      <c r="K501" s="11"/>
      <c r="L501" s="11"/>
    </row>
    <row r="502" spans="4:12" x14ac:dyDescent="0.2">
      <c r="D502" s="11"/>
      <c r="E502" s="11"/>
      <c r="F502" s="11"/>
      <c r="G502" s="11"/>
      <c r="H502" s="11"/>
      <c r="I502" s="11"/>
      <c r="J502" s="11"/>
      <c r="K502" s="11"/>
      <c r="L502" s="11"/>
    </row>
    <row r="503" spans="4:12" x14ac:dyDescent="0.2">
      <c r="D503" s="11"/>
      <c r="E503" s="11"/>
      <c r="F503" s="11"/>
      <c r="G503" s="11"/>
      <c r="H503" s="11"/>
      <c r="I503" s="11"/>
      <c r="J503" s="11"/>
      <c r="K503" s="11"/>
      <c r="L503" s="11"/>
    </row>
    <row r="504" spans="4:12" x14ac:dyDescent="0.2">
      <c r="D504" s="11"/>
      <c r="E504" s="11"/>
      <c r="F504" s="11"/>
      <c r="G504" s="11"/>
      <c r="H504" s="11"/>
      <c r="I504" s="11"/>
      <c r="J504" s="11"/>
      <c r="K504" s="11"/>
      <c r="L504" s="11"/>
    </row>
    <row r="505" spans="4:12" x14ac:dyDescent="0.2">
      <c r="D505" s="11"/>
      <c r="E505" s="11"/>
      <c r="F505" s="11"/>
      <c r="G505" s="11"/>
      <c r="H505" s="11"/>
      <c r="I505" s="11"/>
      <c r="J505" s="11"/>
      <c r="K505" s="11"/>
      <c r="L505" s="11"/>
    </row>
    <row r="506" spans="4:12" x14ac:dyDescent="0.2">
      <c r="D506" s="11"/>
      <c r="E506" s="11"/>
      <c r="F506" s="11"/>
      <c r="G506" s="11"/>
      <c r="H506" s="11"/>
      <c r="I506" s="11"/>
      <c r="J506" s="11"/>
      <c r="K506" s="11"/>
      <c r="L506" s="11"/>
    </row>
    <row r="507" spans="4:12" x14ac:dyDescent="0.2">
      <c r="D507" s="11"/>
      <c r="E507" s="11"/>
      <c r="F507" s="11"/>
      <c r="G507" s="11"/>
      <c r="H507" s="11"/>
      <c r="I507" s="11"/>
      <c r="J507" s="11"/>
      <c r="K507" s="11"/>
      <c r="L507" s="11"/>
    </row>
    <row r="508" spans="4:12" x14ac:dyDescent="0.2">
      <c r="D508" s="11"/>
      <c r="E508" s="11"/>
      <c r="F508" s="11"/>
      <c r="G508" s="11"/>
      <c r="H508" s="11"/>
      <c r="I508" s="11"/>
      <c r="J508" s="11"/>
      <c r="K508" s="11"/>
      <c r="L508" s="11"/>
    </row>
    <row r="509" spans="4:12" x14ac:dyDescent="0.2">
      <c r="D509" s="11"/>
      <c r="E509" s="11"/>
      <c r="F509" s="11"/>
      <c r="G509" s="11"/>
      <c r="H509" s="11"/>
      <c r="I509" s="11"/>
      <c r="J509" s="11"/>
      <c r="K509" s="11"/>
      <c r="L509" s="11"/>
    </row>
    <row r="510" spans="4:12" x14ac:dyDescent="0.2">
      <c r="D510" s="11"/>
      <c r="E510" s="11"/>
      <c r="F510" s="11"/>
      <c r="G510" s="11"/>
      <c r="H510" s="11"/>
      <c r="I510" s="11"/>
      <c r="J510" s="11"/>
      <c r="K510" s="11"/>
      <c r="L510" s="11"/>
    </row>
    <row r="511" spans="4:12" x14ac:dyDescent="0.2">
      <c r="D511" s="11"/>
      <c r="E511" s="11"/>
      <c r="F511" s="11"/>
      <c r="G511" s="11"/>
      <c r="H511" s="11"/>
      <c r="I511" s="11"/>
      <c r="J511" s="11"/>
      <c r="K511" s="11"/>
      <c r="L511" s="11"/>
    </row>
    <row r="512" spans="4:12" x14ac:dyDescent="0.2">
      <c r="D512" s="11"/>
      <c r="E512" s="11"/>
      <c r="F512" s="11"/>
      <c r="G512" s="11"/>
      <c r="H512" s="11"/>
      <c r="I512" s="11"/>
      <c r="J512" s="11"/>
      <c r="K512" s="11"/>
      <c r="L512" s="11"/>
    </row>
    <row r="513" spans="4:12" x14ac:dyDescent="0.2">
      <c r="D513" s="11"/>
      <c r="E513" s="11"/>
      <c r="F513" s="11"/>
      <c r="G513" s="11"/>
      <c r="H513" s="11"/>
      <c r="I513" s="11"/>
      <c r="J513" s="11"/>
      <c r="K513" s="11"/>
      <c r="L513" s="11"/>
    </row>
    <row r="514" spans="4:12" x14ac:dyDescent="0.2">
      <c r="D514" s="11"/>
      <c r="E514" s="11"/>
      <c r="F514" s="11"/>
      <c r="G514" s="11"/>
      <c r="H514" s="11"/>
      <c r="I514" s="11"/>
      <c r="J514" s="11"/>
      <c r="K514" s="11"/>
      <c r="L514" s="11"/>
    </row>
    <row r="515" spans="4:12" x14ac:dyDescent="0.2">
      <c r="D515" s="11"/>
      <c r="E515" s="11"/>
      <c r="F515" s="11"/>
      <c r="G515" s="11"/>
      <c r="H515" s="11"/>
      <c r="I515" s="11"/>
      <c r="J515" s="11"/>
      <c r="K515" s="11"/>
      <c r="L515" s="11"/>
    </row>
    <row r="516" spans="4:12" x14ac:dyDescent="0.2">
      <c r="D516" s="11"/>
      <c r="E516" s="11"/>
      <c r="F516" s="11"/>
      <c r="G516" s="11"/>
      <c r="H516" s="11"/>
      <c r="I516" s="11"/>
      <c r="J516" s="11"/>
      <c r="K516" s="11"/>
      <c r="L516" s="11"/>
    </row>
    <row r="517" spans="4:12" x14ac:dyDescent="0.2">
      <c r="D517" s="11"/>
      <c r="E517" s="11"/>
      <c r="F517" s="11"/>
      <c r="G517" s="11"/>
      <c r="H517" s="11"/>
      <c r="I517" s="11"/>
      <c r="J517" s="11"/>
      <c r="K517" s="11"/>
      <c r="L517" s="11"/>
    </row>
    <row r="518" spans="4:12" x14ac:dyDescent="0.2">
      <c r="D518" s="11"/>
      <c r="E518" s="11"/>
      <c r="F518" s="11"/>
      <c r="G518" s="11"/>
      <c r="H518" s="11"/>
      <c r="I518" s="11"/>
      <c r="J518" s="11"/>
      <c r="K518" s="11"/>
      <c r="L518" s="11"/>
    </row>
    <row r="519" spans="4:12" x14ac:dyDescent="0.2">
      <c r="D519" s="11"/>
      <c r="E519" s="11"/>
      <c r="F519" s="11"/>
      <c r="G519" s="11"/>
      <c r="H519" s="11"/>
      <c r="I519" s="11"/>
      <c r="J519" s="11"/>
      <c r="K519" s="11"/>
      <c r="L519" s="11"/>
    </row>
    <row r="520" spans="4:12" x14ac:dyDescent="0.2">
      <c r="D520" s="11"/>
      <c r="E520" s="11"/>
      <c r="F520" s="11"/>
      <c r="G520" s="11"/>
      <c r="H520" s="11"/>
      <c r="I520" s="11"/>
      <c r="J520" s="11"/>
      <c r="K520" s="11"/>
      <c r="L520" s="11"/>
    </row>
    <row r="521" spans="4:12" x14ac:dyDescent="0.2">
      <c r="D521" s="11"/>
      <c r="E521" s="11"/>
      <c r="F521" s="11"/>
      <c r="G521" s="11"/>
      <c r="H521" s="11"/>
      <c r="I521" s="11"/>
      <c r="J521" s="11"/>
      <c r="K521" s="11"/>
      <c r="L521" s="11"/>
    </row>
    <row r="522" spans="4:12" x14ac:dyDescent="0.2">
      <c r="D522" s="11"/>
      <c r="E522" s="11"/>
      <c r="F522" s="11"/>
      <c r="G522" s="11"/>
      <c r="H522" s="11"/>
      <c r="I522" s="11"/>
      <c r="J522" s="11"/>
      <c r="K522" s="11"/>
      <c r="L522" s="11"/>
    </row>
    <row r="523" spans="4:12" x14ac:dyDescent="0.2">
      <c r="D523" s="11"/>
      <c r="E523" s="11"/>
      <c r="F523" s="11"/>
      <c r="G523" s="11"/>
      <c r="H523" s="11"/>
      <c r="I523" s="11"/>
      <c r="J523" s="11"/>
      <c r="K523" s="11"/>
      <c r="L523" s="11"/>
    </row>
    <row r="524" spans="4:12" x14ac:dyDescent="0.2">
      <c r="D524" s="11"/>
      <c r="E524" s="11"/>
      <c r="F524" s="11"/>
      <c r="G524" s="11"/>
      <c r="H524" s="11"/>
      <c r="I524" s="11"/>
      <c r="J524" s="11"/>
      <c r="K524" s="11"/>
      <c r="L524" s="11"/>
    </row>
    <row r="525" spans="4:12" x14ac:dyDescent="0.2">
      <c r="D525" s="11"/>
      <c r="E525" s="11"/>
      <c r="F525" s="11"/>
      <c r="G525" s="11"/>
      <c r="H525" s="11"/>
      <c r="I525" s="11"/>
      <c r="J525" s="11"/>
      <c r="K525" s="11"/>
      <c r="L525" s="11"/>
    </row>
    <row r="526" spans="4:12" x14ac:dyDescent="0.2">
      <c r="D526" s="11"/>
      <c r="E526" s="11"/>
      <c r="F526" s="11"/>
      <c r="G526" s="11"/>
      <c r="H526" s="11"/>
      <c r="I526" s="11"/>
      <c r="J526" s="11"/>
      <c r="K526" s="11"/>
      <c r="L526" s="11"/>
    </row>
    <row r="527" spans="4:12" x14ac:dyDescent="0.2">
      <c r="D527" s="11"/>
      <c r="E527" s="11"/>
      <c r="F527" s="11"/>
      <c r="G527" s="11"/>
      <c r="H527" s="11"/>
      <c r="I527" s="11"/>
      <c r="J527" s="11"/>
      <c r="K527" s="11"/>
      <c r="L527" s="11"/>
    </row>
    <row r="528" spans="4:12" x14ac:dyDescent="0.2">
      <c r="D528" s="11"/>
      <c r="E528" s="11"/>
      <c r="F528" s="11"/>
      <c r="G528" s="11"/>
      <c r="H528" s="11"/>
      <c r="I528" s="11"/>
      <c r="J528" s="11"/>
      <c r="K528" s="11"/>
      <c r="L528" s="11"/>
    </row>
    <row r="529" spans="4:12" x14ac:dyDescent="0.2">
      <c r="D529" s="11"/>
      <c r="E529" s="11"/>
      <c r="F529" s="11"/>
      <c r="G529" s="11"/>
      <c r="H529" s="11"/>
      <c r="I529" s="11"/>
      <c r="J529" s="11"/>
      <c r="K529" s="11"/>
      <c r="L529" s="11"/>
    </row>
    <row r="530" spans="4:12" x14ac:dyDescent="0.2">
      <c r="D530" s="11"/>
      <c r="E530" s="11"/>
      <c r="F530" s="11"/>
      <c r="G530" s="11"/>
      <c r="H530" s="11"/>
      <c r="I530" s="11"/>
      <c r="J530" s="11"/>
      <c r="K530" s="11"/>
      <c r="L530" s="11"/>
    </row>
    <row r="531" spans="4:12" x14ac:dyDescent="0.2">
      <c r="D531" s="11"/>
      <c r="E531" s="11"/>
      <c r="F531" s="11"/>
      <c r="G531" s="11"/>
      <c r="H531" s="11"/>
      <c r="I531" s="11"/>
      <c r="J531" s="11"/>
      <c r="K531" s="11"/>
      <c r="L531" s="11"/>
    </row>
    <row r="532" spans="4:12" x14ac:dyDescent="0.2">
      <c r="D532" s="11"/>
      <c r="E532" s="11"/>
      <c r="F532" s="11"/>
      <c r="G532" s="11"/>
      <c r="H532" s="11"/>
      <c r="I532" s="11"/>
      <c r="J532" s="11"/>
      <c r="K532" s="11"/>
      <c r="L532" s="11"/>
    </row>
    <row r="533" spans="4:12" x14ac:dyDescent="0.2">
      <c r="D533" s="11"/>
      <c r="E533" s="11"/>
      <c r="F533" s="11"/>
      <c r="G533" s="11"/>
      <c r="H533" s="11"/>
      <c r="I533" s="11"/>
      <c r="J533" s="11"/>
      <c r="K533" s="11"/>
      <c r="L533" s="11"/>
    </row>
    <row r="534" spans="4:12" x14ac:dyDescent="0.2">
      <c r="D534" s="11"/>
      <c r="E534" s="11"/>
      <c r="F534" s="11"/>
      <c r="G534" s="11"/>
      <c r="H534" s="11"/>
      <c r="I534" s="11"/>
      <c r="J534" s="11"/>
      <c r="K534" s="11"/>
      <c r="L534" s="11"/>
    </row>
    <row r="535" spans="4:12" x14ac:dyDescent="0.2">
      <c r="D535" s="11"/>
      <c r="E535" s="11"/>
      <c r="F535" s="11"/>
      <c r="G535" s="11"/>
      <c r="H535" s="11"/>
      <c r="I535" s="11"/>
      <c r="J535" s="11"/>
      <c r="K535" s="11"/>
      <c r="L535" s="11"/>
    </row>
    <row r="536" spans="4:12" x14ac:dyDescent="0.2">
      <c r="D536" s="11"/>
      <c r="E536" s="11"/>
      <c r="F536" s="11"/>
      <c r="G536" s="11"/>
      <c r="H536" s="11"/>
      <c r="I536" s="11"/>
      <c r="J536" s="11"/>
      <c r="K536" s="11"/>
      <c r="L536" s="11"/>
    </row>
    <row r="537" spans="4:12" x14ac:dyDescent="0.2">
      <c r="D537" s="11"/>
      <c r="E537" s="11"/>
      <c r="F537" s="11"/>
      <c r="G537" s="11"/>
      <c r="H537" s="11"/>
      <c r="I537" s="11"/>
      <c r="J537" s="11"/>
      <c r="K537" s="11"/>
      <c r="L537" s="11"/>
    </row>
    <row r="538" spans="4:12" x14ac:dyDescent="0.2">
      <c r="D538" s="11"/>
      <c r="E538" s="11"/>
      <c r="F538" s="11"/>
      <c r="G538" s="11"/>
      <c r="H538" s="11"/>
      <c r="I538" s="11"/>
      <c r="J538" s="11"/>
      <c r="K538" s="11"/>
      <c r="L538" s="11"/>
    </row>
    <row r="539" spans="4:12" x14ac:dyDescent="0.2">
      <c r="D539" s="11"/>
      <c r="E539" s="11"/>
      <c r="F539" s="11"/>
      <c r="G539" s="11"/>
      <c r="H539" s="11"/>
      <c r="I539" s="11"/>
      <c r="J539" s="11"/>
      <c r="K539" s="11"/>
      <c r="L539" s="11"/>
    </row>
    <row r="540" spans="4:12" x14ac:dyDescent="0.2">
      <c r="D540" s="11"/>
      <c r="E540" s="11"/>
      <c r="F540" s="11"/>
      <c r="G540" s="11"/>
      <c r="H540" s="11"/>
      <c r="I540" s="11"/>
      <c r="J540" s="11"/>
      <c r="K540" s="11"/>
      <c r="L540" s="11"/>
    </row>
    <row r="541" spans="4:12" x14ac:dyDescent="0.2">
      <c r="D541" s="11"/>
      <c r="E541" s="11"/>
      <c r="F541" s="11"/>
      <c r="G541" s="11"/>
      <c r="H541" s="11"/>
      <c r="I541" s="11"/>
      <c r="J541" s="11"/>
      <c r="K541" s="11"/>
      <c r="L541" s="11"/>
    </row>
    <row r="542" spans="4:12" x14ac:dyDescent="0.2">
      <c r="D542" s="11"/>
      <c r="E542" s="11"/>
      <c r="F542" s="11"/>
      <c r="G542" s="11"/>
      <c r="H542" s="11"/>
      <c r="I542" s="11"/>
      <c r="J542" s="11"/>
      <c r="K542" s="11"/>
      <c r="L542" s="11"/>
    </row>
    <row r="543" spans="4:12" x14ac:dyDescent="0.2">
      <c r="D543" s="11"/>
      <c r="E543" s="11"/>
      <c r="F543" s="11"/>
      <c r="G543" s="11"/>
      <c r="H543" s="11"/>
      <c r="I543" s="11"/>
      <c r="J543" s="11"/>
      <c r="K543" s="11"/>
      <c r="L543" s="11"/>
    </row>
    <row r="544" spans="4:12" x14ac:dyDescent="0.2">
      <c r="D544" s="11"/>
      <c r="E544" s="11"/>
      <c r="F544" s="11"/>
      <c r="G544" s="11"/>
      <c r="H544" s="11"/>
      <c r="I544" s="11"/>
      <c r="J544" s="11"/>
      <c r="K544" s="11"/>
      <c r="L544" s="11"/>
    </row>
    <row r="545" spans="4:12" x14ac:dyDescent="0.2">
      <c r="D545" s="11"/>
      <c r="E545" s="11"/>
      <c r="F545" s="11"/>
      <c r="G545" s="11"/>
      <c r="H545" s="11"/>
      <c r="I545" s="11"/>
      <c r="J545" s="11"/>
      <c r="K545" s="11"/>
      <c r="L545" s="11"/>
    </row>
    <row r="546" spans="4:12" x14ac:dyDescent="0.2">
      <c r="D546" s="11"/>
      <c r="E546" s="11"/>
      <c r="F546" s="11"/>
      <c r="G546" s="11"/>
      <c r="H546" s="11"/>
      <c r="I546" s="11"/>
      <c r="J546" s="11"/>
      <c r="K546" s="11"/>
      <c r="L546" s="11"/>
    </row>
    <row r="547" spans="4:12" x14ac:dyDescent="0.2">
      <c r="D547" s="11"/>
      <c r="E547" s="11"/>
      <c r="F547" s="11"/>
      <c r="G547" s="11"/>
      <c r="H547" s="11"/>
      <c r="I547" s="11"/>
      <c r="J547" s="11"/>
      <c r="K547" s="11"/>
      <c r="L547" s="11"/>
    </row>
    <row r="548" spans="4:12" x14ac:dyDescent="0.2">
      <c r="D548" s="11"/>
      <c r="E548" s="11"/>
      <c r="F548" s="11"/>
      <c r="G548" s="11"/>
      <c r="H548" s="11"/>
      <c r="I548" s="11"/>
      <c r="J548" s="11"/>
      <c r="K548" s="11"/>
      <c r="L548" s="11"/>
    </row>
    <row r="549" spans="4:12" x14ac:dyDescent="0.2">
      <c r="D549" s="11"/>
      <c r="E549" s="11"/>
      <c r="F549" s="11"/>
      <c r="G549" s="11"/>
      <c r="H549" s="11"/>
      <c r="I549" s="11"/>
      <c r="J549" s="11"/>
      <c r="K549" s="11"/>
      <c r="L549" s="11"/>
    </row>
    <row r="550" spans="4:12" x14ac:dyDescent="0.2">
      <c r="D550" s="11"/>
      <c r="E550" s="11"/>
      <c r="F550" s="11"/>
      <c r="G550" s="11"/>
      <c r="H550" s="11"/>
      <c r="I550" s="11"/>
      <c r="J550" s="11"/>
      <c r="K550" s="11"/>
      <c r="L550" s="11"/>
    </row>
    <row r="551" spans="4:12" x14ac:dyDescent="0.2">
      <c r="D551" s="11"/>
      <c r="E551" s="11"/>
      <c r="F551" s="11"/>
      <c r="G551" s="11"/>
      <c r="H551" s="11"/>
      <c r="I551" s="11"/>
      <c r="J551" s="11"/>
      <c r="K551" s="11"/>
      <c r="L551" s="11"/>
    </row>
    <row r="552" spans="4:12" x14ac:dyDescent="0.2">
      <c r="D552" s="11"/>
      <c r="E552" s="11"/>
      <c r="F552" s="11"/>
      <c r="G552" s="11"/>
      <c r="H552" s="11"/>
      <c r="I552" s="11"/>
      <c r="J552" s="11"/>
      <c r="K552" s="11"/>
      <c r="L552" s="11"/>
    </row>
    <row r="553" spans="4:12" x14ac:dyDescent="0.2">
      <c r="D553" s="11"/>
      <c r="E553" s="11"/>
      <c r="F553" s="11"/>
      <c r="G553" s="11"/>
      <c r="H553" s="11"/>
      <c r="I553" s="11"/>
      <c r="J553" s="11"/>
      <c r="K553" s="11"/>
      <c r="L553" s="11"/>
    </row>
    <row r="554" spans="4:12" x14ac:dyDescent="0.2">
      <c r="D554" s="11"/>
      <c r="E554" s="11"/>
      <c r="F554" s="11"/>
      <c r="G554" s="11"/>
      <c r="H554" s="11"/>
      <c r="I554" s="11"/>
      <c r="J554" s="11"/>
      <c r="K554" s="11"/>
      <c r="L554" s="11"/>
    </row>
    <row r="555" spans="4:12" x14ac:dyDescent="0.2">
      <c r="D555" s="11"/>
      <c r="E555" s="11"/>
      <c r="F555" s="11"/>
      <c r="G555" s="11"/>
      <c r="H555" s="11"/>
      <c r="I555" s="11"/>
      <c r="J555" s="11"/>
      <c r="K555" s="11"/>
      <c r="L555" s="11"/>
    </row>
    <row r="556" spans="4:12" x14ac:dyDescent="0.2">
      <c r="D556" s="11"/>
      <c r="E556" s="11"/>
      <c r="F556" s="11"/>
      <c r="G556" s="11"/>
      <c r="H556" s="11"/>
      <c r="I556" s="11"/>
      <c r="J556" s="11"/>
      <c r="K556" s="11"/>
      <c r="L556" s="11"/>
    </row>
    <row r="557" spans="4:12" x14ac:dyDescent="0.2">
      <c r="D557" s="11"/>
      <c r="E557" s="11"/>
      <c r="F557" s="11"/>
      <c r="G557" s="11"/>
      <c r="H557" s="11"/>
      <c r="I557" s="11"/>
      <c r="J557" s="11"/>
      <c r="K557" s="11"/>
      <c r="L557" s="11"/>
    </row>
    <row r="558" spans="4:12" x14ac:dyDescent="0.2">
      <c r="D558" s="11"/>
      <c r="E558" s="11"/>
      <c r="F558" s="11"/>
      <c r="G558" s="11"/>
      <c r="H558" s="11"/>
      <c r="I558" s="11"/>
      <c r="J558" s="11"/>
      <c r="K558" s="11"/>
      <c r="L558" s="11"/>
    </row>
    <row r="559" spans="4:12" x14ac:dyDescent="0.2">
      <c r="D559" s="11"/>
      <c r="E559" s="11"/>
      <c r="F559" s="11"/>
      <c r="G559" s="11"/>
      <c r="H559" s="11"/>
      <c r="I559" s="11"/>
      <c r="J559" s="11"/>
      <c r="K559" s="11"/>
      <c r="L559" s="11"/>
    </row>
    <row r="560" spans="4:12" x14ac:dyDescent="0.2">
      <c r="D560" s="11"/>
      <c r="E560" s="11"/>
      <c r="F560" s="11"/>
      <c r="G560" s="11"/>
      <c r="H560" s="11"/>
      <c r="I560" s="11"/>
      <c r="J560" s="11"/>
      <c r="K560" s="11"/>
      <c r="L560" s="11"/>
    </row>
    <row r="561" spans="4:12" x14ac:dyDescent="0.2">
      <c r="D561" s="11"/>
      <c r="E561" s="11"/>
      <c r="F561" s="11"/>
      <c r="G561" s="11"/>
      <c r="H561" s="11"/>
      <c r="I561" s="11"/>
      <c r="J561" s="11"/>
      <c r="K561" s="11"/>
      <c r="L561" s="11"/>
    </row>
    <row r="562" spans="4:12" x14ac:dyDescent="0.2">
      <c r="D562" s="11"/>
      <c r="E562" s="11"/>
      <c r="F562" s="11"/>
      <c r="G562" s="11"/>
      <c r="H562" s="11"/>
      <c r="I562" s="11"/>
      <c r="J562" s="11"/>
      <c r="K562" s="11"/>
      <c r="L562" s="11"/>
    </row>
    <row r="563" spans="4:12" x14ac:dyDescent="0.2">
      <c r="D563" s="11"/>
      <c r="E563" s="11"/>
      <c r="F563" s="11"/>
      <c r="G563" s="11"/>
      <c r="H563" s="11"/>
      <c r="I563" s="11"/>
      <c r="J563" s="11"/>
      <c r="K563" s="11"/>
      <c r="L563" s="11"/>
    </row>
    <row r="564" spans="4:12" x14ac:dyDescent="0.2">
      <c r="D564" s="11"/>
      <c r="E564" s="11"/>
      <c r="F564" s="11"/>
      <c r="G564" s="11"/>
      <c r="H564" s="11"/>
      <c r="I564" s="11"/>
      <c r="J564" s="11"/>
      <c r="K564" s="11"/>
      <c r="L564" s="11"/>
    </row>
    <row r="565" spans="4:12" x14ac:dyDescent="0.2">
      <c r="D565" s="11"/>
      <c r="E565" s="11"/>
      <c r="F565" s="11"/>
      <c r="G565" s="11"/>
      <c r="H565" s="11"/>
      <c r="I565" s="11"/>
      <c r="J565" s="11"/>
      <c r="K565" s="11"/>
      <c r="L565" s="11"/>
    </row>
    <row r="566" spans="4:12" x14ac:dyDescent="0.2">
      <c r="D566" s="11"/>
      <c r="E566" s="11"/>
      <c r="F566" s="11"/>
      <c r="G566" s="11"/>
      <c r="H566" s="11"/>
      <c r="I566" s="11"/>
      <c r="J566" s="11"/>
      <c r="K566" s="11"/>
      <c r="L566" s="11"/>
    </row>
    <row r="567" spans="4:12" x14ac:dyDescent="0.2">
      <c r="D567" s="11"/>
      <c r="E567" s="11"/>
      <c r="F567" s="11"/>
      <c r="G567" s="11"/>
      <c r="H567" s="11"/>
      <c r="I567" s="11"/>
      <c r="J567" s="11"/>
      <c r="K567" s="11"/>
      <c r="L567" s="11"/>
    </row>
    <row r="568" spans="4:12" x14ac:dyDescent="0.2">
      <c r="D568" s="11"/>
      <c r="E568" s="11"/>
      <c r="F568" s="11"/>
      <c r="G568" s="11"/>
      <c r="H568" s="11"/>
      <c r="I568" s="11"/>
      <c r="J568" s="11"/>
      <c r="K568" s="11"/>
      <c r="L568" s="11"/>
    </row>
    <row r="569" spans="4:12" x14ac:dyDescent="0.2">
      <c r="D569" s="11"/>
      <c r="E569" s="11"/>
      <c r="F569" s="11"/>
      <c r="G569" s="11"/>
      <c r="H569" s="11"/>
      <c r="I569" s="11"/>
      <c r="J569" s="11"/>
      <c r="K569" s="11"/>
      <c r="L569" s="11"/>
    </row>
    <row r="570" spans="4:12" x14ac:dyDescent="0.2">
      <c r="D570" s="11"/>
      <c r="E570" s="11"/>
      <c r="F570" s="11"/>
      <c r="G570" s="11"/>
      <c r="H570" s="11"/>
      <c r="I570" s="11"/>
      <c r="J570" s="11"/>
      <c r="K570" s="11"/>
      <c r="L570" s="11"/>
    </row>
    <row r="571" spans="4:12" x14ac:dyDescent="0.2">
      <c r="D571" s="11"/>
      <c r="E571" s="11"/>
      <c r="F571" s="11"/>
      <c r="G571" s="11"/>
      <c r="H571" s="11"/>
      <c r="I571" s="11"/>
      <c r="J571" s="11"/>
      <c r="K571" s="11"/>
      <c r="L571" s="11"/>
    </row>
    <row r="572" spans="4:12" x14ac:dyDescent="0.2">
      <c r="D572" s="11"/>
      <c r="E572" s="11"/>
      <c r="F572" s="11"/>
      <c r="G572" s="11"/>
      <c r="H572" s="11"/>
      <c r="I572" s="11"/>
      <c r="J572" s="11"/>
      <c r="K572" s="11"/>
      <c r="L572" s="11"/>
    </row>
    <row r="573" spans="4:12" x14ac:dyDescent="0.2">
      <c r="D573" s="11"/>
      <c r="E573" s="11"/>
      <c r="F573" s="11"/>
      <c r="G573" s="11"/>
      <c r="H573" s="11"/>
      <c r="I573" s="11"/>
      <c r="J573" s="11"/>
      <c r="K573" s="11"/>
      <c r="L573" s="11"/>
    </row>
    <row r="574" spans="4:12" x14ac:dyDescent="0.2">
      <c r="D574" s="11"/>
      <c r="E574" s="11"/>
      <c r="F574" s="11"/>
      <c r="G574" s="11"/>
      <c r="H574" s="11"/>
      <c r="I574" s="11"/>
      <c r="J574" s="11"/>
      <c r="K574" s="11"/>
      <c r="L574" s="11"/>
    </row>
    <row r="575" spans="4:12" x14ac:dyDescent="0.2">
      <c r="D575" s="11"/>
      <c r="E575" s="11"/>
      <c r="F575" s="11"/>
      <c r="G575" s="11"/>
      <c r="H575" s="11"/>
      <c r="I575" s="11"/>
      <c r="J575" s="11"/>
      <c r="K575" s="11"/>
      <c r="L575" s="11"/>
    </row>
    <row r="576" spans="4:12" x14ac:dyDescent="0.2">
      <c r="D576" s="11"/>
      <c r="E576" s="11"/>
      <c r="F576" s="11"/>
      <c r="G576" s="11"/>
      <c r="H576" s="11"/>
      <c r="I576" s="11"/>
      <c r="J576" s="11"/>
      <c r="K576" s="11"/>
      <c r="L576" s="11"/>
    </row>
    <row r="577" spans="4:12" x14ac:dyDescent="0.2">
      <c r="D577" s="11"/>
      <c r="E577" s="11"/>
      <c r="F577" s="11"/>
      <c r="G577" s="11"/>
      <c r="H577" s="11"/>
      <c r="I577" s="11"/>
      <c r="J577" s="11"/>
      <c r="K577" s="11"/>
      <c r="L577" s="11"/>
    </row>
    <row r="578" spans="4:12" x14ac:dyDescent="0.2">
      <c r="D578" s="11"/>
      <c r="E578" s="11"/>
      <c r="F578" s="11"/>
      <c r="G578" s="11"/>
      <c r="H578" s="11"/>
      <c r="I578" s="11"/>
      <c r="J578" s="11"/>
      <c r="K578" s="11"/>
      <c r="L578" s="11"/>
    </row>
    <row r="579" spans="4:12" x14ac:dyDescent="0.2">
      <c r="D579" s="11"/>
      <c r="E579" s="11"/>
      <c r="F579" s="11"/>
      <c r="G579" s="11"/>
      <c r="H579" s="11"/>
      <c r="I579" s="11"/>
      <c r="J579" s="11"/>
      <c r="K579" s="11"/>
      <c r="L579" s="11"/>
    </row>
    <row r="580" spans="4:12" x14ac:dyDescent="0.2">
      <c r="D580" s="11"/>
      <c r="E580" s="11"/>
      <c r="F580" s="11"/>
      <c r="G580" s="11"/>
      <c r="H580" s="11"/>
      <c r="I580" s="11"/>
      <c r="J580" s="11"/>
      <c r="K580" s="11"/>
      <c r="L580" s="11"/>
    </row>
    <row r="581" spans="4:12" x14ac:dyDescent="0.2">
      <c r="D581" s="11"/>
      <c r="E581" s="11"/>
      <c r="F581" s="11"/>
      <c r="G581" s="11"/>
      <c r="H581" s="11"/>
      <c r="I581" s="11"/>
      <c r="J581" s="11"/>
      <c r="K581" s="11"/>
      <c r="L581" s="11"/>
    </row>
    <row r="582" spans="4:12" x14ac:dyDescent="0.2">
      <c r="D582" s="11"/>
      <c r="E582" s="11"/>
      <c r="F582" s="11"/>
      <c r="G582" s="11"/>
      <c r="H582" s="11"/>
      <c r="I582" s="11"/>
      <c r="J582" s="11"/>
      <c r="K582" s="11"/>
      <c r="L582" s="11"/>
    </row>
    <row r="583" spans="4:12" x14ac:dyDescent="0.2">
      <c r="D583" s="11"/>
      <c r="E583" s="11"/>
      <c r="F583" s="11"/>
      <c r="G583" s="11"/>
      <c r="H583" s="11"/>
      <c r="I583" s="11"/>
      <c r="J583" s="11"/>
      <c r="K583" s="11"/>
      <c r="L583" s="11"/>
    </row>
    <row r="584" spans="4:12" x14ac:dyDescent="0.2">
      <c r="D584" s="11"/>
      <c r="E584" s="11"/>
      <c r="F584" s="11"/>
      <c r="G584" s="11"/>
      <c r="H584" s="11"/>
      <c r="I584" s="11"/>
      <c r="J584" s="11"/>
      <c r="K584" s="11"/>
      <c r="L584" s="11"/>
    </row>
    <row r="585" spans="4:12" x14ac:dyDescent="0.2">
      <c r="D585" s="11"/>
      <c r="E585" s="11"/>
      <c r="F585" s="11"/>
      <c r="G585" s="11"/>
      <c r="H585" s="11"/>
      <c r="I585" s="11"/>
      <c r="J585" s="11"/>
      <c r="K585" s="11"/>
      <c r="L585" s="11"/>
    </row>
    <row r="586" spans="4:12" x14ac:dyDescent="0.2">
      <c r="D586" s="11"/>
      <c r="E586" s="11"/>
      <c r="F586" s="11"/>
      <c r="G586" s="11"/>
      <c r="H586" s="11"/>
      <c r="I586" s="11"/>
      <c r="J586" s="11"/>
      <c r="K586" s="11"/>
      <c r="L586" s="11"/>
    </row>
    <row r="587" spans="4:12" x14ac:dyDescent="0.2">
      <c r="D587" s="11"/>
      <c r="E587" s="11"/>
      <c r="F587" s="11"/>
      <c r="G587" s="11"/>
      <c r="H587" s="11"/>
      <c r="I587" s="11"/>
      <c r="J587" s="11"/>
      <c r="K587" s="11"/>
      <c r="L587" s="11"/>
    </row>
    <row r="588" spans="4:12" x14ac:dyDescent="0.2">
      <c r="D588" s="11"/>
      <c r="E588" s="11"/>
      <c r="F588" s="11"/>
      <c r="G588" s="11"/>
      <c r="H588" s="11"/>
      <c r="I588" s="11"/>
      <c r="J588" s="11"/>
      <c r="K588" s="11"/>
      <c r="L588" s="11"/>
    </row>
    <row r="589" spans="4:12" x14ac:dyDescent="0.2">
      <c r="D589" s="11"/>
      <c r="E589" s="11"/>
      <c r="F589" s="11"/>
      <c r="G589" s="11"/>
      <c r="H589" s="11"/>
      <c r="I589" s="11"/>
      <c r="J589" s="11"/>
      <c r="K589" s="11"/>
      <c r="L589" s="11"/>
    </row>
    <row r="590" spans="4:12" x14ac:dyDescent="0.2">
      <c r="D590" s="11"/>
      <c r="E590" s="11"/>
      <c r="F590" s="11"/>
      <c r="G590" s="11"/>
      <c r="H590" s="11"/>
      <c r="I590" s="11"/>
      <c r="J590" s="11"/>
      <c r="K590" s="11"/>
      <c r="L590" s="11"/>
    </row>
    <row r="591" spans="4:12" x14ac:dyDescent="0.2">
      <c r="D591" s="11"/>
      <c r="E591" s="11"/>
      <c r="F591" s="11"/>
      <c r="G591" s="11"/>
      <c r="H591" s="11"/>
      <c r="I591" s="11"/>
      <c r="J591" s="11"/>
      <c r="K591" s="11"/>
      <c r="L591" s="11"/>
    </row>
    <row r="592" spans="4:12" x14ac:dyDescent="0.2">
      <c r="D592" s="11"/>
      <c r="E592" s="11"/>
      <c r="F592" s="11"/>
      <c r="G592" s="11"/>
      <c r="H592" s="11"/>
      <c r="I592" s="11"/>
      <c r="J592" s="11"/>
      <c r="K592" s="11"/>
      <c r="L592" s="11"/>
    </row>
    <row r="593" spans="4:12" x14ac:dyDescent="0.2">
      <c r="D593" s="11"/>
      <c r="E593" s="11"/>
      <c r="F593" s="11"/>
      <c r="G593" s="11"/>
      <c r="H593" s="11"/>
      <c r="I593" s="11"/>
      <c r="J593" s="11"/>
      <c r="K593" s="11"/>
      <c r="L593" s="11"/>
    </row>
    <row r="594" spans="4:12" x14ac:dyDescent="0.2">
      <c r="D594" s="11"/>
      <c r="E594" s="11"/>
      <c r="F594" s="11"/>
      <c r="G594" s="11"/>
      <c r="H594" s="11"/>
      <c r="I594" s="11"/>
      <c r="J594" s="11"/>
      <c r="K594" s="11"/>
      <c r="L594" s="11"/>
    </row>
    <row r="595" spans="4:12" x14ac:dyDescent="0.2">
      <c r="D595" s="11"/>
      <c r="E595" s="11"/>
      <c r="F595" s="11"/>
      <c r="G595" s="11"/>
      <c r="H595" s="11"/>
      <c r="I595" s="11"/>
      <c r="J595" s="11"/>
      <c r="K595" s="11"/>
      <c r="L595" s="11"/>
    </row>
    <row r="596" spans="4:12" x14ac:dyDescent="0.2">
      <c r="D596" s="11"/>
      <c r="E596" s="11"/>
      <c r="F596" s="11"/>
      <c r="G596" s="11"/>
      <c r="H596" s="11"/>
      <c r="I596" s="11"/>
      <c r="J596" s="11"/>
      <c r="K596" s="11"/>
      <c r="L596" s="11"/>
    </row>
    <row r="597" spans="4:12" x14ac:dyDescent="0.2">
      <c r="D597" s="11"/>
      <c r="E597" s="11"/>
      <c r="F597" s="11"/>
      <c r="G597" s="11"/>
      <c r="H597" s="11"/>
      <c r="I597" s="11"/>
      <c r="J597" s="11"/>
      <c r="K597" s="11"/>
      <c r="L597" s="11"/>
    </row>
    <row r="598" spans="4:12" x14ac:dyDescent="0.2">
      <c r="D598" s="11"/>
      <c r="E598" s="11"/>
      <c r="F598" s="11"/>
      <c r="G598" s="11"/>
      <c r="H598" s="11"/>
      <c r="I598" s="11"/>
      <c r="J598" s="11"/>
      <c r="K598" s="11"/>
      <c r="L598" s="11"/>
    </row>
    <row r="599" spans="4:12" x14ac:dyDescent="0.2">
      <c r="D599" s="11"/>
      <c r="E599" s="11"/>
      <c r="F599" s="11"/>
      <c r="G599" s="11"/>
      <c r="H599" s="11"/>
      <c r="I599" s="11"/>
      <c r="J599" s="11"/>
      <c r="K599" s="11"/>
      <c r="L599" s="11"/>
    </row>
    <row r="600" spans="4:12" x14ac:dyDescent="0.2">
      <c r="D600" s="11"/>
      <c r="E600" s="11"/>
      <c r="F600" s="11"/>
      <c r="G600" s="11"/>
      <c r="H600" s="11"/>
      <c r="I600" s="11"/>
      <c r="J600" s="11"/>
      <c r="K600" s="11"/>
      <c r="L600" s="11"/>
    </row>
    <row r="601" spans="4:12" x14ac:dyDescent="0.2">
      <c r="D601" s="11"/>
      <c r="E601" s="11"/>
      <c r="F601" s="11"/>
      <c r="G601" s="11"/>
      <c r="H601" s="11"/>
      <c r="I601" s="11"/>
      <c r="J601" s="11"/>
      <c r="K601" s="11"/>
      <c r="L601" s="11"/>
    </row>
    <row r="602" spans="4:12" x14ac:dyDescent="0.2">
      <c r="D602" s="11"/>
      <c r="E602" s="11"/>
      <c r="F602" s="11"/>
      <c r="G602" s="11"/>
      <c r="H602" s="11"/>
      <c r="I602" s="11"/>
      <c r="J602" s="11"/>
      <c r="K602" s="11"/>
      <c r="L602" s="11"/>
    </row>
    <row r="603" spans="4:12" x14ac:dyDescent="0.2">
      <c r="D603" s="11"/>
      <c r="E603" s="11"/>
      <c r="F603" s="11"/>
      <c r="G603" s="11"/>
      <c r="H603" s="11"/>
      <c r="I603" s="11"/>
      <c r="J603" s="11"/>
      <c r="K603" s="11"/>
      <c r="L603" s="11"/>
    </row>
    <row r="604" spans="4:12" x14ac:dyDescent="0.2">
      <c r="D604" s="11"/>
      <c r="E604" s="11"/>
      <c r="F604" s="11"/>
      <c r="G604" s="11"/>
      <c r="H604" s="11"/>
      <c r="I604" s="11"/>
      <c r="J604" s="11"/>
      <c r="K604" s="11"/>
      <c r="L604" s="11"/>
    </row>
    <row r="605" spans="4:12" x14ac:dyDescent="0.2">
      <c r="D605" s="11"/>
      <c r="E605" s="11"/>
      <c r="F605" s="11"/>
      <c r="G605" s="11"/>
      <c r="H605" s="11"/>
      <c r="I605" s="11"/>
      <c r="J605" s="11"/>
      <c r="K605" s="11"/>
      <c r="L605" s="11"/>
    </row>
    <row r="606" spans="4:12" x14ac:dyDescent="0.2">
      <c r="D606" s="11"/>
      <c r="E606" s="11"/>
      <c r="F606" s="11"/>
      <c r="G606" s="11"/>
      <c r="H606" s="11"/>
      <c r="I606" s="11"/>
      <c r="J606" s="11"/>
      <c r="K606" s="11"/>
      <c r="L606" s="11"/>
    </row>
    <row r="607" spans="4:12" x14ac:dyDescent="0.2">
      <c r="D607" s="11"/>
      <c r="E607" s="11"/>
      <c r="F607" s="11"/>
      <c r="G607" s="11"/>
      <c r="H607" s="11"/>
      <c r="I607" s="11"/>
      <c r="J607" s="11"/>
      <c r="K607" s="11"/>
      <c r="L607" s="11"/>
    </row>
    <row r="608" spans="4:12" x14ac:dyDescent="0.2">
      <c r="D608" s="11"/>
      <c r="E608" s="11"/>
      <c r="F608" s="11"/>
      <c r="G608" s="11"/>
      <c r="H608" s="11"/>
      <c r="I608" s="11"/>
      <c r="J608" s="11"/>
      <c r="K608" s="11"/>
      <c r="L608" s="11"/>
    </row>
    <row r="609" spans="4:12" x14ac:dyDescent="0.2">
      <c r="D609" s="11"/>
      <c r="E609" s="11"/>
      <c r="F609" s="11"/>
      <c r="G609" s="11"/>
      <c r="H609" s="11"/>
      <c r="I609" s="11"/>
      <c r="J609" s="11"/>
      <c r="K609" s="11"/>
      <c r="L609" s="11"/>
    </row>
    <row r="610" spans="4:12" x14ac:dyDescent="0.2">
      <c r="D610" s="11"/>
      <c r="E610" s="11"/>
      <c r="F610" s="11"/>
      <c r="G610" s="11"/>
      <c r="H610" s="11"/>
      <c r="I610" s="11"/>
      <c r="J610" s="11"/>
      <c r="K610" s="11"/>
      <c r="L610" s="11"/>
    </row>
    <row r="611" spans="4:12" x14ac:dyDescent="0.2">
      <c r="D611" s="11"/>
      <c r="E611" s="11"/>
      <c r="F611" s="11"/>
      <c r="G611" s="11"/>
      <c r="H611" s="11"/>
      <c r="I611" s="11"/>
      <c r="J611" s="11"/>
      <c r="K611" s="11"/>
      <c r="L611" s="11"/>
    </row>
    <row r="612" spans="4:12" x14ac:dyDescent="0.2">
      <c r="D612" s="11"/>
      <c r="E612" s="11"/>
      <c r="F612" s="11"/>
      <c r="G612" s="11"/>
      <c r="H612" s="11"/>
      <c r="I612" s="11"/>
      <c r="J612" s="11"/>
      <c r="K612" s="11"/>
      <c r="L612" s="11"/>
    </row>
    <row r="613" spans="4:12" x14ac:dyDescent="0.2">
      <c r="D613" s="11"/>
      <c r="E613" s="11"/>
      <c r="F613" s="11"/>
      <c r="G613" s="11"/>
      <c r="H613" s="11"/>
      <c r="I613" s="11"/>
      <c r="J613" s="11"/>
      <c r="K613" s="11"/>
      <c r="L613" s="11"/>
    </row>
    <row r="614" spans="4:12" x14ac:dyDescent="0.2">
      <c r="D614" s="11"/>
      <c r="E614" s="11"/>
      <c r="F614" s="11"/>
      <c r="G614" s="11"/>
      <c r="H614" s="11"/>
      <c r="I614" s="11"/>
      <c r="J614" s="11"/>
      <c r="K614" s="11"/>
      <c r="L614" s="11"/>
    </row>
    <row r="615" spans="4:12" x14ac:dyDescent="0.2">
      <c r="D615" s="11"/>
      <c r="E615" s="11"/>
      <c r="F615" s="11"/>
      <c r="G615" s="11"/>
      <c r="H615" s="11"/>
      <c r="I615" s="11"/>
      <c r="J615" s="11"/>
      <c r="K615" s="11"/>
      <c r="L615" s="11"/>
    </row>
    <row r="616" spans="4:12" x14ac:dyDescent="0.2">
      <c r="D616" s="11"/>
      <c r="E616" s="11"/>
      <c r="F616" s="11"/>
      <c r="G616" s="11"/>
      <c r="H616" s="11"/>
      <c r="I616" s="11"/>
      <c r="J616" s="11"/>
      <c r="K616" s="11"/>
      <c r="L616" s="11"/>
    </row>
    <row r="617" spans="4:12" x14ac:dyDescent="0.2">
      <c r="D617" s="11"/>
      <c r="E617" s="11"/>
      <c r="F617" s="11"/>
      <c r="G617" s="11"/>
      <c r="H617" s="11"/>
      <c r="I617" s="11"/>
      <c r="J617" s="11"/>
      <c r="K617" s="11"/>
      <c r="L617" s="11"/>
    </row>
    <row r="618" spans="4:12" x14ac:dyDescent="0.2">
      <c r="D618" s="11"/>
      <c r="E618" s="11"/>
      <c r="F618" s="11"/>
      <c r="G618" s="11"/>
      <c r="H618" s="11"/>
      <c r="I618" s="11"/>
      <c r="J618" s="11"/>
      <c r="K618" s="11"/>
      <c r="L618" s="11"/>
    </row>
    <row r="619" spans="4:12" x14ac:dyDescent="0.2">
      <c r="D619" s="11"/>
      <c r="E619" s="11"/>
      <c r="F619" s="11"/>
      <c r="G619" s="11"/>
      <c r="H619" s="11"/>
      <c r="I619" s="11"/>
      <c r="J619" s="11"/>
      <c r="K619" s="11"/>
      <c r="L619" s="11"/>
    </row>
    <row r="620" spans="4:12" x14ac:dyDescent="0.2">
      <c r="D620" s="11"/>
      <c r="E620" s="11"/>
      <c r="F620" s="11"/>
      <c r="G620" s="11"/>
      <c r="H620" s="11"/>
      <c r="I620" s="11"/>
      <c r="J620" s="11"/>
      <c r="K620" s="11"/>
      <c r="L620" s="11"/>
    </row>
    <row r="621" spans="4:12" x14ac:dyDescent="0.2">
      <c r="D621" s="11"/>
      <c r="E621" s="11"/>
      <c r="F621" s="11"/>
      <c r="G621" s="11"/>
      <c r="H621" s="11"/>
      <c r="I621" s="11"/>
      <c r="J621" s="11"/>
      <c r="K621" s="11"/>
      <c r="L621" s="11"/>
    </row>
    <row r="622" spans="4:12" x14ac:dyDescent="0.2">
      <c r="D622" s="11"/>
      <c r="E622" s="11"/>
      <c r="F622" s="11"/>
      <c r="G622" s="11"/>
      <c r="H622" s="11"/>
      <c r="I622" s="11"/>
      <c r="J622" s="11"/>
      <c r="K622" s="11"/>
      <c r="L622" s="11"/>
    </row>
    <row r="623" spans="4:12" x14ac:dyDescent="0.2">
      <c r="D623" s="11"/>
      <c r="E623" s="11"/>
      <c r="F623" s="11"/>
      <c r="G623" s="11"/>
      <c r="H623" s="11"/>
      <c r="I623" s="11"/>
      <c r="J623" s="11"/>
      <c r="K623" s="11"/>
      <c r="L623" s="11"/>
    </row>
    <row r="624" spans="4:12" x14ac:dyDescent="0.2">
      <c r="D624" s="11"/>
      <c r="E624" s="11"/>
      <c r="F624" s="11"/>
      <c r="G624" s="11"/>
      <c r="H624" s="11"/>
      <c r="I624" s="11"/>
      <c r="J624" s="11"/>
      <c r="K624" s="11"/>
      <c r="L624" s="11"/>
    </row>
    <row r="625" spans="4:12" x14ac:dyDescent="0.2">
      <c r="D625" s="11"/>
      <c r="E625" s="11"/>
      <c r="F625" s="11"/>
      <c r="G625" s="11"/>
      <c r="H625" s="11"/>
      <c r="I625" s="11"/>
      <c r="J625" s="11"/>
      <c r="K625" s="11"/>
      <c r="L625" s="11"/>
    </row>
    <row r="626" spans="4:12" x14ac:dyDescent="0.2">
      <c r="D626" s="11"/>
      <c r="E626" s="11"/>
      <c r="F626" s="11"/>
      <c r="G626" s="11"/>
      <c r="H626" s="11"/>
      <c r="I626" s="11"/>
      <c r="J626" s="11"/>
      <c r="K626" s="11"/>
      <c r="L626" s="11"/>
    </row>
    <row r="627" spans="4:12" x14ac:dyDescent="0.2">
      <c r="D627" s="11"/>
      <c r="E627" s="11"/>
      <c r="F627" s="11"/>
      <c r="G627" s="11"/>
      <c r="H627" s="11"/>
      <c r="I627" s="11"/>
      <c r="J627" s="11"/>
      <c r="K627" s="11"/>
      <c r="L627" s="11"/>
    </row>
    <row r="628" spans="4:12" x14ac:dyDescent="0.2">
      <c r="D628" s="11"/>
      <c r="E628" s="11"/>
      <c r="F628" s="11"/>
      <c r="G628" s="11"/>
      <c r="H628" s="11"/>
      <c r="I628" s="11"/>
      <c r="J628" s="11"/>
      <c r="K628" s="11"/>
      <c r="L628" s="11"/>
    </row>
    <row r="629" spans="4:12" x14ac:dyDescent="0.2">
      <c r="D629" s="11"/>
      <c r="E629" s="11"/>
      <c r="F629" s="11"/>
      <c r="G629" s="11"/>
      <c r="H629" s="11"/>
      <c r="I629" s="11"/>
      <c r="J629" s="11"/>
      <c r="K629" s="11"/>
      <c r="L629" s="11"/>
    </row>
    <row r="630" spans="4:12" x14ac:dyDescent="0.2">
      <c r="D630" s="11"/>
      <c r="E630" s="11"/>
      <c r="F630" s="11"/>
      <c r="G630" s="11"/>
      <c r="H630" s="11"/>
      <c r="I630" s="11"/>
      <c r="J630" s="11"/>
      <c r="K630" s="11"/>
      <c r="L630" s="11"/>
    </row>
    <row r="631" spans="4:12" x14ac:dyDescent="0.2">
      <c r="D631" s="11"/>
      <c r="E631" s="11"/>
      <c r="F631" s="11"/>
      <c r="G631" s="11"/>
      <c r="H631" s="11"/>
      <c r="I631" s="11"/>
      <c r="J631" s="11"/>
      <c r="K631" s="11"/>
      <c r="L631" s="11"/>
    </row>
    <row r="632" spans="4:12" x14ac:dyDescent="0.2">
      <c r="D632" s="11"/>
      <c r="E632" s="11"/>
      <c r="F632" s="11"/>
      <c r="G632" s="11"/>
      <c r="H632" s="11"/>
      <c r="I632" s="11"/>
      <c r="J632" s="11"/>
      <c r="K632" s="11"/>
      <c r="L632" s="11"/>
    </row>
    <row r="633" spans="4:12" x14ac:dyDescent="0.2">
      <c r="D633" s="11"/>
      <c r="E633" s="11"/>
      <c r="F633" s="11"/>
      <c r="G633" s="11"/>
      <c r="H633" s="11"/>
      <c r="I633" s="11"/>
      <c r="J633" s="11"/>
      <c r="K633" s="11"/>
      <c r="L633" s="11"/>
    </row>
    <row r="634" spans="4:12" x14ac:dyDescent="0.2">
      <c r="D634" s="11"/>
      <c r="E634" s="11"/>
      <c r="F634" s="11"/>
      <c r="G634" s="11"/>
      <c r="H634" s="11"/>
      <c r="I634" s="11"/>
      <c r="J634" s="11"/>
      <c r="K634" s="11"/>
      <c r="L634" s="11"/>
    </row>
    <row r="635" spans="4:12" x14ac:dyDescent="0.2">
      <c r="D635" s="11"/>
      <c r="E635" s="11"/>
      <c r="F635" s="11"/>
      <c r="G635" s="11"/>
      <c r="H635" s="11"/>
      <c r="I635" s="11"/>
      <c r="J635" s="11"/>
      <c r="K635" s="11"/>
      <c r="L635" s="11"/>
    </row>
    <row r="636" spans="4:12" x14ac:dyDescent="0.2">
      <c r="D636" s="11"/>
      <c r="E636" s="11"/>
      <c r="F636" s="11"/>
      <c r="G636" s="11"/>
      <c r="H636" s="11"/>
      <c r="I636" s="11"/>
      <c r="J636" s="11"/>
      <c r="K636" s="11"/>
      <c r="L636" s="11"/>
    </row>
    <row r="637" spans="4:12" x14ac:dyDescent="0.2">
      <c r="D637" s="11"/>
      <c r="E637" s="11"/>
      <c r="F637" s="11"/>
      <c r="G637" s="11"/>
      <c r="H637" s="11"/>
      <c r="I637" s="11"/>
      <c r="J637" s="11"/>
      <c r="K637" s="11"/>
      <c r="L637" s="11"/>
    </row>
    <row r="638" spans="4:12" x14ac:dyDescent="0.2">
      <c r="D638" s="11"/>
      <c r="E638" s="11"/>
      <c r="F638" s="11"/>
      <c r="G638" s="11"/>
      <c r="H638" s="11"/>
      <c r="I638" s="11"/>
      <c r="J638" s="11"/>
      <c r="K638" s="11"/>
      <c r="L638" s="11"/>
    </row>
    <row r="639" spans="4:12" x14ac:dyDescent="0.2">
      <c r="D639" s="11"/>
      <c r="E639" s="11"/>
      <c r="F639" s="11"/>
      <c r="G639" s="11"/>
      <c r="H639" s="11"/>
      <c r="I639" s="11"/>
      <c r="J639" s="11"/>
      <c r="K639" s="11"/>
      <c r="L639" s="11"/>
    </row>
    <row r="640" spans="4:12" x14ac:dyDescent="0.2">
      <c r="D640" s="11"/>
      <c r="E640" s="11"/>
      <c r="F640" s="11"/>
      <c r="G640" s="11"/>
      <c r="H640" s="11"/>
      <c r="I640" s="11"/>
      <c r="J640" s="11"/>
      <c r="K640" s="11"/>
      <c r="L640" s="11"/>
    </row>
    <row r="641" spans="4:12" x14ac:dyDescent="0.2">
      <c r="D641" s="11"/>
      <c r="E641" s="11"/>
      <c r="F641" s="11"/>
      <c r="G641" s="11"/>
      <c r="H641" s="11"/>
      <c r="I641" s="11"/>
      <c r="J641" s="11"/>
      <c r="K641" s="11"/>
      <c r="L641" s="11"/>
    </row>
    <row r="642" spans="4:12" x14ac:dyDescent="0.2">
      <c r="D642" s="11"/>
      <c r="E642" s="11"/>
      <c r="F642" s="11"/>
      <c r="G642" s="11"/>
      <c r="H642" s="11"/>
      <c r="I642" s="11"/>
      <c r="J642" s="11"/>
      <c r="K642" s="11"/>
      <c r="L642" s="11"/>
    </row>
    <row r="643" spans="4:12" x14ac:dyDescent="0.2">
      <c r="D643" s="11"/>
      <c r="E643" s="11"/>
      <c r="F643" s="11"/>
      <c r="G643" s="11"/>
      <c r="H643" s="11"/>
      <c r="I643" s="11"/>
      <c r="J643" s="11"/>
      <c r="K643" s="11"/>
      <c r="L643" s="11"/>
    </row>
    <row r="644" spans="4:12" x14ac:dyDescent="0.2">
      <c r="D644" s="11"/>
      <c r="E644" s="11"/>
      <c r="F644" s="11"/>
      <c r="G644" s="11"/>
      <c r="H644" s="11"/>
      <c r="I644" s="11"/>
      <c r="J644" s="11"/>
      <c r="K644" s="11"/>
      <c r="L644" s="11"/>
    </row>
    <row r="645" spans="4:12" x14ac:dyDescent="0.2">
      <c r="D645" s="11"/>
      <c r="E645" s="11"/>
      <c r="F645" s="11"/>
      <c r="G645" s="11"/>
      <c r="H645" s="11"/>
      <c r="I645" s="11"/>
      <c r="J645" s="11"/>
      <c r="K645" s="11"/>
      <c r="L645" s="11"/>
    </row>
    <row r="646" spans="4:12" x14ac:dyDescent="0.2">
      <c r="D646" s="11"/>
      <c r="E646" s="11"/>
      <c r="F646" s="11"/>
      <c r="G646" s="11"/>
      <c r="H646" s="11"/>
      <c r="I646" s="11"/>
      <c r="J646" s="11"/>
      <c r="K646" s="11"/>
      <c r="L646" s="11"/>
    </row>
    <row r="647" spans="4:12" x14ac:dyDescent="0.2">
      <c r="D647" s="11"/>
      <c r="E647" s="11"/>
      <c r="F647" s="11"/>
      <c r="G647" s="11"/>
      <c r="H647" s="11"/>
      <c r="I647" s="11"/>
      <c r="J647" s="11"/>
      <c r="K647" s="11"/>
      <c r="L647" s="11"/>
    </row>
    <row r="648" spans="4:12" x14ac:dyDescent="0.2">
      <c r="D648" s="11"/>
      <c r="E648" s="11"/>
      <c r="F648" s="11"/>
      <c r="G648" s="11"/>
      <c r="H648" s="11"/>
      <c r="I648" s="11"/>
      <c r="J648" s="11"/>
      <c r="K648" s="11"/>
      <c r="L648" s="11"/>
    </row>
    <row r="649" spans="4:12" x14ac:dyDescent="0.2">
      <c r="D649" s="11"/>
      <c r="E649" s="11"/>
      <c r="F649" s="11"/>
      <c r="G649" s="11"/>
      <c r="H649" s="11"/>
      <c r="I649" s="11"/>
      <c r="J649" s="11"/>
      <c r="K649" s="11"/>
      <c r="L649" s="11"/>
    </row>
    <row r="650" spans="4:12" x14ac:dyDescent="0.2">
      <c r="D650" s="11"/>
      <c r="E650" s="11"/>
      <c r="F650" s="11"/>
      <c r="G650" s="11"/>
      <c r="H650" s="11"/>
      <c r="I650" s="11"/>
      <c r="J650" s="11"/>
      <c r="K650" s="11"/>
      <c r="L650" s="11"/>
    </row>
    <row r="651" spans="4:12" x14ac:dyDescent="0.2">
      <c r="D651" s="11"/>
      <c r="E651" s="11"/>
      <c r="F651" s="11"/>
      <c r="G651" s="11"/>
      <c r="H651" s="11"/>
      <c r="I651" s="11"/>
      <c r="J651" s="11"/>
      <c r="K651" s="11"/>
      <c r="L651" s="11"/>
    </row>
    <row r="652" spans="4:12" x14ac:dyDescent="0.2">
      <c r="D652" s="11"/>
      <c r="E652" s="11"/>
      <c r="F652" s="11"/>
      <c r="G652" s="11"/>
      <c r="H652" s="11"/>
      <c r="I652" s="11"/>
      <c r="J652" s="11"/>
      <c r="K652" s="11"/>
      <c r="L652" s="11"/>
    </row>
    <row r="653" spans="4:12" x14ac:dyDescent="0.2">
      <c r="D653" s="11"/>
      <c r="E653" s="11"/>
      <c r="F653" s="11"/>
      <c r="G653" s="11"/>
      <c r="H653" s="11"/>
      <c r="I653" s="11"/>
      <c r="J653" s="11"/>
      <c r="K653" s="11"/>
      <c r="L653" s="11"/>
    </row>
    <row r="654" spans="4:12" x14ac:dyDescent="0.2">
      <c r="D654" s="11"/>
      <c r="E654" s="11"/>
      <c r="F654" s="11"/>
      <c r="G654" s="11"/>
      <c r="H654" s="11"/>
      <c r="I654" s="11"/>
      <c r="J654" s="11"/>
      <c r="K654" s="11"/>
      <c r="L654" s="11"/>
    </row>
    <row r="655" spans="4:12" x14ac:dyDescent="0.2">
      <c r="D655" s="11"/>
      <c r="E655" s="11"/>
      <c r="F655" s="11"/>
      <c r="G655" s="11"/>
      <c r="H655" s="11"/>
      <c r="I655" s="11"/>
      <c r="J655" s="11"/>
      <c r="K655" s="11"/>
      <c r="L655" s="11"/>
    </row>
    <row r="656" spans="4:12" x14ac:dyDescent="0.2">
      <c r="D656" s="11"/>
      <c r="E656" s="11"/>
      <c r="F656" s="11"/>
      <c r="G656" s="11"/>
      <c r="H656" s="11"/>
      <c r="I656" s="11"/>
      <c r="J656" s="11"/>
      <c r="K656" s="11"/>
      <c r="L656" s="11"/>
    </row>
    <row r="657" spans="4:12" x14ac:dyDescent="0.2">
      <c r="D657" s="11"/>
      <c r="E657" s="11"/>
      <c r="F657" s="11"/>
      <c r="G657" s="11"/>
      <c r="H657" s="11"/>
      <c r="I657" s="11"/>
      <c r="J657" s="11"/>
      <c r="K657" s="11"/>
      <c r="L657" s="11"/>
    </row>
    <row r="658" spans="4:12" x14ac:dyDescent="0.2">
      <c r="D658" s="11"/>
      <c r="E658" s="11"/>
      <c r="F658" s="11"/>
      <c r="G658" s="11"/>
      <c r="H658" s="11"/>
      <c r="I658" s="11"/>
      <c r="J658" s="11"/>
      <c r="K658" s="11"/>
      <c r="L658" s="11"/>
    </row>
    <row r="659" spans="4:12" x14ac:dyDescent="0.2">
      <c r="D659" s="11"/>
      <c r="E659" s="11"/>
      <c r="F659" s="11"/>
      <c r="G659" s="11"/>
      <c r="H659" s="11"/>
      <c r="I659" s="11"/>
      <c r="J659" s="11"/>
      <c r="K659" s="11"/>
      <c r="L659" s="11"/>
    </row>
    <row r="660" spans="4:12" x14ac:dyDescent="0.2">
      <c r="D660" s="11"/>
      <c r="E660" s="11"/>
      <c r="F660" s="11"/>
      <c r="G660" s="11"/>
      <c r="H660" s="11"/>
      <c r="I660" s="11"/>
      <c r="J660" s="11"/>
      <c r="K660" s="11"/>
      <c r="L660" s="11"/>
    </row>
    <row r="661" spans="4:12" x14ac:dyDescent="0.2">
      <c r="D661" s="11"/>
      <c r="E661" s="11"/>
      <c r="F661" s="11"/>
      <c r="G661" s="11"/>
      <c r="H661" s="11"/>
      <c r="I661" s="11"/>
      <c r="J661" s="11"/>
      <c r="K661" s="11"/>
      <c r="L661" s="11"/>
    </row>
    <row r="662" spans="4:12" x14ac:dyDescent="0.2">
      <c r="D662" s="11"/>
      <c r="E662" s="11"/>
      <c r="F662" s="11"/>
      <c r="G662" s="11"/>
      <c r="H662" s="11"/>
      <c r="I662" s="11"/>
      <c r="J662" s="11"/>
      <c r="K662" s="11"/>
      <c r="L662" s="11"/>
    </row>
    <row r="663" spans="4:12" x14ac:dyDescent="0.2">
      <c r="D663" s="11"/>
      <c r="E663" s="11"/>
      <c r="F663" s="11"/>
      <c r="G663" s="11"/>
      <c r="H663" s="11"/>
      <c r="I663" s="11"/>
      <c r="J663" s="11"/>
      <c r="K663" s="11"/>
      <c r="L663" s="11"/>
    </row>
    <row r="664" spans="4:12" x14ac:dyDescent="0.2">
      <c r="D664" s="11"/>
      <c r="E664" s="11"/>
      <c r="F664" s="11"/>
      <c r="G664" s="11"/>
      <c r="H664" s="11"/>
      <c r="I664" s="11"/>
      <c r="J664" s="11"/>
      <c r="K664" s="11"/>
      <c r="L664" s="11"/>
    </row>
    <row r="665" spans="4:12" x14ac:dyDescent="0.2">
      <c r="D665" s="11"/>
      <c r="E665" s="11"/>
      <c r="F665" s="11"/>
      <c r="G665" s="11"/>
      <c r="H665" s="11"/>
      <c r="I665" s="11"/>
      <c r="J665" s="11"/>
      <c r="K665" s="11"/>
      <c r="L665" s="11"/>
    </row>
    <row r="666" spans="4:12" x14ac:dyDescent="0.2">
      <c r="D666" s="11"/>
      <c r="E666" s="11"/>
      <c r="F666" s="11"/>
      <c r="G666" s="11"/>
      <c r="H666" s="11"/>
      <c r="I666" s="11"/>
      <c r="J666" s="11"/>
      <c r="K666" s="11"/>
      <c r="L666" s="11"/>
    </row>
    <row r="667" spans="4:12" x14ac:dyDescent="0.2">
      <c r="D667" s="11"/>
      <c r="E667" s="11"/>
      <c r="F667" s="11"/>
      <c r="G667" s="11"/>
      <c r="H667" s="11"/>
      <c r="I667" s="11"/>
      <c r="J667" s="11"/>
      <c r="K667" s="11"/>
      <c r="L667" s="11"/>
    </row>
    <row r="668" spans="4:12" x14ac:dyDescent="0.2">
      <c r="D668" s="11"/>
      <c r="E668" s="11"/>
      <c r="F668" s="11"/>
      <c r="G668" s="11"/>
      <c r="H668" s="11"/>
      <c r="I668" s="11"/>
      <c r="J668" s="11"/>
      <c r="K668" s="11"/>
      <c r="L668" s="11"/>
    </row>
    <row r="669" spans="4:12" x14ac:dyDescent="0.2">
      <c r="D669" s="11"/>
      <c r="E669" s="11"/>
      <c r="F669" s="11"/>
      <c r="G669" s="11"/>
      <c r="H669" s="11"/>
      <c r="I669" s="11"/>
      <c r="J669" s="11"/>
      <c r="K669" s="11"/>
      <c r="L669" s="11"/>
    </row>
    <row r="670" spans="4:12" x14ac:dyDescent="0.2">
      <c r="D670" s="11"/>
      <c r="E670" s="11"/>
      <c r="F670" s="11"/>
      <c r="G670" s="11"/>
      <c r="H670" s="11"/>
      <c r="I670" s="11"/>
      <c r="J670" s="11"/>
      <c r="K670" s="11"/>
      <c r="L670" s="11"/>
    </row>
    <row r="671" spans="4:12" x14ac:dyDescent="0.2">
      <c r="D671" s="11"/>
      <c r="E671" s="11"/>
      <c r="F671" s="11"/>
      <c r="G671" s="11"/>
      <c r="H671" s="11"/>
      <c r="I671" s="11"/>
      <c r="J671" s="11"/>
      <c r="K671" s="11"/>
      <c r="L671" s="11"/>
    </row>
    <row r="672" spans="4:12" x14ac:dyDescent="0.2">
      <c r="D672" s="11"/>
      <c r="E672" s="11"/>
      <c r="F672" s="11"/>
      <c r="G672" s="11"/>
      <c r="H672" s="11"/>
      <c r="I672" s="11"/>
      <c r="J672" s="11"/>
      <c r="K672" s="11"/>
      <c r="L672" s="11"/>
    </row>
    <row r="673" spans="4:12" x14ac:dyDescent="0.2">
      <c r="D673" s="11"/>
      <c r="E673" s="11"/>
      <c r="F673" s="11"/>
      <c r="G673" s="11"/>
      <c r="H673" s="11"/>
      <c r="I673" s="11"/>
      <c r="J673" s="11"/>
      <c r="K673" s="11"/>
      <c r="L673" s="11"/>
    </row>
    <row r="674" spans="4:12" x14ac:dyDescent="0.2">
      <c r="D674" s="11"/>
      <c r="E674" s="11"/>
      <c r="F674" s="11"/>
      <c r="G674" s="11"/>
      <c r="H674" s="11"/>
      <c r="I674" s="11"/>
      <c r="J674" s="11"/>
      <c r="K674" s="11"/>
      <c r="L674" s="11"/>
    </row>
    <row r="675" spans="4:12" x14ac:dyDescent="0.2">
      <c r="D675" s="11"/>
      <c r="E675" s="11"/>
      <c r="F675" s="11"/>
      <c r="G675" s="11"/>
      <c r="H675" s="11"/>
      <c r="I675" s="11"/>
      <c r="J675" s="11"/>
      <c r="K675" s="11"/>
      <c r="L675" s="11"/>
    </row>
    <row r="676" spans="4:12" x14ac:dyDescent="0.2">
      <c r="D676" s="11"/>
      <c r="E676" s="11"/>
      <c r="F676" s="11"/>
      <c r="G676" s="11"/>
      <c r="H676" s="11"/>
      <c r="I676" s="11"/>
      <c r="J676" s="11"/>
      <c r="K676" s="11"/>
      <c r="L676" s="11"/>
    </row>
    <row r="677" spans="4:12" x14ac:dyDescent="0.2">
      <c r="D677" s="11"/>
      <c r="E677" s="11"/>
      <c r="F677" s="11"/>
      <c r="G677" s="11"/>
      <c r="H677" s="11"/>
      <c r="I677" s="11"/>
      <c r="J677" s="11"/>
      <c r="K677" s="11"/>
      <c r="L677" s="11"/>
    </row>
    <row r="678" spans="4:12" x14ac:dyDescent="0.2">
      <c r="D678" s="11"/>
      <c r="E678" s="11"/>
      <c r="F678" s="11"/>
      <c r="G678" s="11"/>
      <c r="H678" s="11"/>
      <c r="I678" s="11"/>
      <c r="J678" s="11"/>
      <c r="K678" s="11"/>
      <c r="L678" s="11"/>
    </row>
    <row r="679" spans="4:12" x14ac:dyDescent="0.2">
      <c r="D679" s="11"/>
      <c r="E679" s="11"/>
      <c r="F679" s="11"/>
      <c r="G679" s="11"/>
      <c r="H679" s="11"/>
      <c r="I679" s="11"/>
      <c r="J679" s="11"/>
      <c r="K679" s="11"/>
      <c r="L679" s="11"/>
    </row>
    <row r="680" spans="4:12" x14ac:dyDescent="0.2">
      <c r="D680" s="11"/>
      <c r="E680" s="11"/>
      <c r="F680" s="11"/>
      <c r="G680" s="11"/>
      <c r="H680" s="11"/>
      <c r="I680" s="11"/>
      <c r="J680" s="11"/>
      <c r="K680" s="11"/>
      <c r="L680" s="11"/>
    </row>
    <row r="681" spans="4:12" x14ac:dyDescent="0.2">
      <c r="D681" s="11"/>
      <c r="E681" s="11"/>
      <c r="F681" s="11"/>
      <c r="G681" s="11"/>
      <c r="H681" s="11"/>
      <c r="I681" s="11"/>
      <c r="J681" s="11"/>
      <c r="K681" s="11"/>
      <c r="L681" s="11"/>
    </row>
    <row r="682" spans="4:12" x14ac:dyDescent="0.2">
      <c r="D682" s="11"/>
      <c r="E682" s="11"/>
      <c r="F682" s="11"/>
      <c r="G682" s="11"/>
      <c r="H682" s="11"/>
      <c r="I682" s="11"/>
      <c r="J682" s="11"/>
      <c r="K682" s="11"/>
      <c r="L682" s="11"/>
    </row>
    <row r="683" spans="4:12" x14ac:dyDescent="0.2">
      <c r="D683" s="11"/>
      <c r="E683" s="11"/>
      <c r="F683" s="11"/>
      <c r="G683" s="11"/>
      <c r="H683" s="11"/>
      <c r="I683" s="11"/>
      <c r="J683" s="11"/>
      <c r="K683" s="11"/>
      <c r="L683" s="11"/>
    </row>
    <row r="684" spans="4:12" x14ac:dyDescent="0.2">
      <c r="D684" s="11"/>
      <c r="E684" s="11"/>
      <c r="F684" s="11"/>
      <c r="G684" s="11"/>
      <c r="H684" s="11"/>
      <c r="I684" s="11"/>
      <c r="J684" s="11"/>
      <c r="K684" s="11"/>
      <c r="L684" s="11"/>
    </row>
    <row r="685" spans="4:12" x14ac:dyDescent="0.2">
      <c r="D685" s="11"/>
      <c r="E685" s="11"/>
      <c r="F685" s="11"/>
      <c r="G685" s="11"/>
      <c r="H685" s="11"/>
      <c r="I685" s="11"/>
      <c r="J685" s="11"/>
      <c r="K685" s="11"/>
      <c r="L685" s="11"/>
    </row>
    <row r="686" spans="4:12" x14ac:dyDescent="0.2">
      <c r="D686" s="11"/>
      <c r="E686" s="11"/>
      <c r="F686" s="11"/>
      <c r="G686" s="11"/>
      <c r="H686" s="11"/>
      <c r="I686" s="11"/>
      <c r="J686" s="11"/>
      <c r="K686" s="11"/>
      <c r="L686" s="11"/>
    </row>
    <row r="687" spans="4:12" x14ac:dyDescent="0.2">
      <c r="D687" s="11"/>
      <c r="E687" s="11"/>
      <c r="F687" s="11"/>
      <c r="G687" s="11"/>
      <c r="H687" s="11"/>
      <c r="I687" s="11"/>
      <c r="J687" s="11"/>
      <c r="K687" s="11"/>
      <c r="L687" s="11"/>
    </row>
    <row r="688" spans="4:12" x14ac:dyDescent="0.2">
      <c r="D688" s="11"/>
      <c r="E688" s="11"/>
      <c r="F688" s="11"/>
      <c r="G688" s="11"/>
      <c r="H688" s="11"/>
      <c r="I688" s="11"/>
      <c r="J688" s="11"/>
      <c r="K688" s="11"/>
      <c r="L688" s="11"/>
    </row>
    <row r="689" spans="4:12" x14ac:dyDescent="0.2">
      <c r="D689" s="11"/>
      <c r="E689" s="11"/>
      <c r="F689" s="11"/>
      <c r="G689" s="11"/>
      <c r="H689" s="11"/>
      <c r="I689" s="11"/>
      <c r="J689" s="11"/>
      <c r="K689" s="11"/>
      <c r="L689" s="11"/>
    </row>
    <row r="690" spans="4:12" x14ac:dyDescent="0.2">
      <c r="D690" s="11"/>
      <c r="E690" s="11"/>
      <c r="F690" s="11"/>
      <c r="G690" s="11"/>
      <c r="H690" s="11"/>
      <c r="I690" s="11"/>
      <c r="J690" s="11"/>
      <c r="K690" s="11"/>
      <c r="L690" s="11"/>
    </row>
    <row r="691" spans="4:12" x14ac:dyDescent="0.2">
      <c r="D691" s="11"/>
      <c r="E691" s="11"/>
      <c r="F691" s="11"/>
      <c r="G691" s="11"/>
      <c r="H691" s="11"/>
      <c r="I691" s="11"/>
      <c r="J691" s="11"/>
      <c r="K691" s="11"/>
      <c r="L691" s="11"/>
    </row>
    <row r="692" spans="4:12" x14ac:dyDescent="0.2">
      <c r="D692" s="11"/>
      <c r="E692" s="11"/>
      <c r="F692" s="11"/>
      <c r="G692" s="11"/>
      <c r="H692" s="11"/>
      <c r="I692" s="11"/>
      <c r="J692" s="11"/>
      <c r="K692" s="11"/>
      <c r="L692" s="11"/>
    </row>
    <row r="693" spans="4:12" x14ac:dyDescent="0.2">
      <c r="D693" s="11"/>
      <c r="E693" s="11"/>
      <c r="F693" s="11"/>
      <c r="G693" s="11"/>
      <c r="H693" s="11"/>
      <c r="I693" s="11"/>
      <c r="J693" s="11"/>
      <c r="K693" s="11"/>
      <c r="L693" s="11"/>
    </row>
    <row r="694" spans="4:12" x14ac:dyDescent="0.2">
      <c r="D694" s="11"/>
      <c r="E694" s="11"/>
      <c r="F694" s="11"/>
      <c r="G694" s="11"/>
      <c r="H694" s="11"/>
      <c r="I694" s="11"/>
      <c r="J694" s="11"/>
      <c r="K694" s="11"/>
      <c r="L694" s="11"/>
    </row>
    <row r="695" spans="4:12" x14ac:dyDescent="0.2">
      <c r="D695" s="11"/>
      <c r="E695" s="11"/>
      <c r="F695" s="11"/>
      <c r="G695" s="11"/>
      <c r="H695" s="11"/>
      <c r="I695" s="11"/>
      <c r="J695" s="11"/>
      <c r="K695" s="11"/>
      <c r="L695" s="11"/>
    </row>
    <row r="696" spans="4:12" x14ac:dyDescent="0.2">
      <c r="D696" s="11"/>
      <c r="E696" s="11"/>
      <c r="F696" s="11"/>
      <c r="G696" s="11"/>
      <c r="H696" s="11"/>
      <c r="I696" s="11"/>
      <c r="J696" s="11"/>
      <c r="K696" s="11"/>
      <c r="L696" s="11"/>
    </row>
    <row r="697" spans="4:12" x14ac:dyDescent="0.2">
      <c r="D697" s="11"/>
      <c r="E697" s="11"/>
      <c r="F697" s="11"/>
      <c r="G697" s="11"/>
      <c r="H697" s="11"/>
      <c r="I697" s="11"/>
      <c r="J697" s="11"/>
      <c r="K697" s="11"/>
      <c r="L697" s="11"/>
    </row>
    <row r="698" spans="4:12" x14ac:dyDescent="0.2">
      <c r="D698" s="11"/>
      <c r="E698" s="11"/>
      <c r="F698" s="11"/>
      <c r="G698" s="11"/>
      <c r="H698" s="11"/>
      <c r="I698" s="11"/>
      <c r="J698" s="11"/>
      <c r="K698" s="11"/>
      <c r="L698" s="11"/>
    </row>
    <row r="699" spans="4:12" x14ac:dyDescent="0.2">
      <c r="D699" s="11"/>
      <c r="E699" s="11"/>
      <c r="F699" s="11"/>
      <c r="G699" s="11"/>
      <c r="H699" s="11"/>
      <c r="I699" s="11"/>
      <c r="J699" s="11"/>
      <c r="K699" s="11"/>
      <c r="L699" s="11"/>
    </row>
    <row r="700" spans="4:12" x14ac:dyDescent="0.2">
      <c r="D700" s="11"/>
      <c r="E700" s="11"/>
      <c r="F700" s="11"/>
      <c r="G700" s="11"/>
      <c r="H700" s="11"/>
      <c r="I700" s="11"/>
      <c r="J700" s="11"/>
      <c r="K700" s="11"/>
      <c r="L700" s="11"/>
    </row>
    <row r="701" spans="4:12" x14ac:dyDescent="0.2">
      <c r="D701" s="11"/>
      <c r="E701" s="11"/>
      <c r="F701" s="11"/>
      <c r="G701" s="11"/>
      <c r="H701" s="11"/>
      <c r="I701" s="11"/>
      <c r="J701" s="11"/>
      <c r="K701" s="11"/>
      <c r="L701" s="11"/>
    </row>
    <row r="702" spans="4:12" x14ac:dyDescent="0.2">
      <c r="D702" s="11"/>
      <c r="E702" s="11"/>
      <c r="F702" s="11"/>
      <c r="G702" s="11"/>
      <c r="H702" s="11"/>
      <c r="I702" s="11"/>
      <c r="J702" s="11"/>
      <c r="K702" s="11"/>
      <c r="L702" s="11"/>
    </row>
    <row r="703" spans="4:12" x14ac:dyDescent="0.2">
      <c r="D703" s="11"/>
      <c r="E703" s="11"/>
      <c r="F703" s="11"/>
      <c r="G703" s="11"/>
      <c r="H703" s="11"/>
      <c r="I703" s="11"/>
      <c r="J703" s="11"/>
      <c r="K703" s="11"/>
      <c r="L703" s="11"/>
    </row>
    <row r="704" spans="4:12" x14ac:dyDescent="0.2">
      <c r="D704" s="11"/>
      <c r="E704" s="11"/>
      <c r="F704" s="11"/>
      <c r="G704" s="11"/>
      <c r="H704" s="11"/>
      <c r="I704" s="11"/>
      <c r="J704" s="11"/>
      <c r="K704" s="11"/>
      <c r="L704" s="11"/>
    </row>
    <row r="705" spans="4:12" x14ac:dyDescent="0.2">
      <c r="D705" s="11"/>
      <c r="E705" s="11"/>
      <c r="F705" s="11"/>
      <c r="G705" s="11"/>
      <c r="H705" s="11"/>
      <c r="I705" s="11"/>
      <c r="J705" s="11"/>
      <c r="K705" s="11"/>
      <c r="L705" s="11"/>
    </row>
    <row r="706" spans="4:12" x14ac:dyDescent="0.2">
      <c r="D706" s="11"/>
      <c r="E706" s="11"/>
      <c r="F706" s="11"/>
      <c r="G706" s="11"/>
      <c r="H706" s="11"/>
      <c r="I706" s="11"/>
      <c r="J706" s="11"/>
      <c r="K706" s="11"/>
      <c r="L706" s="11"/>
    </row>
    <row r="707" spans="4:12" x14ac:dyDescent="0.2">
      <c r="D707" s="11"/>
      <c r="E707" s="11"/>
      <c r="F707" s="11"/>
      <c r="G707" s="11"/>
      <c r="H707" s="11"/>
      <c r="I707" s="11"/>
      <c r="J707" s="11"/>
      <c r="K707" s="11"/>
      <c r="L707" s="11"/>
    </row>
    <row r="708" spans="4:12" x14ac:dyDescent="0.2">
      <c r="D708" s="11"/>
      <c r="E708" s="11"/>
      <c r="F708" s="11"/>
      <c r="G708" s="11"/>
      <c r="H708" s="11"/>
      <c r="I708" s="11"/>
      <c r="J708" s="11"/>
      <c r="K708" s="11"/>
      <c r="L708" s="11"/>
    </row>
    <row r="709" spans="4:12" x14ac:dyDescent="0.2">
      <c r="D709" s="11"/>
      <c r="E709" s="11"/>
      <c r="F709" s="11"/>
      <c r="G709" s="11"/>
      <c r="H709" s="11"/>
      <c r="I709" s="11"/>
      <c r="J709" s="11"/>
      <c r="K709" s="11"/>
      <c r="L709" s="11"/>
    </row>
    <row r="710" spans="4:12" x14ac:dyDescent="0.2">
      <c r="D710" s="11"/>
      <c r="E710" s="11"/>
      <c r="F710" s="11"/>
      <c r="G710" s="11"/>
      <c r="H710" s="11"/>
      <c r="I710" s="11"/>
      <c r="J710" s="11"/>
      <c r="K710" s="11"/>
      <c r="L710" s="11"/>
    </row>
    <row r="711" spans="4:12" x14ac:dyDescent="0.2">
      <c r="D711" s="11"/>
      <c r="E711" s="11"/>
      <c r="F711" s="11"/>
      <c r="G711" s="11"/>
      <c r="H711" s="11"/>
      <c r="I711" s="11"/>
      <c r="J711" s="11"/>
      <c r="K711" s="11"/>
      <c r="L711" s="11"/>
    </row>
    <row r="712" spans="4:12" x14ac:dyDescent="0.2">
      <c r="D712" s="11"/>
      <c r="E712" s="11"/>
      <c r="F712" s="11"/>
      <c r="G712" s="11"/>
      <c r="H712" s="11"/>
      <c r="I712" s="11"/>
      <c r="J712" s="11"/>
      <c r="K712" s="11"/>
      <c r="L712" s="11"/>
    </row>
    <row r="713" spans="4:12" x14ac:dyDescent="0.2">
      <c r="D713" s="11"/>
      <c r="E713" s="11"/>
      <c r="F713" s="11"/>
      <c r="G713" s="11"/>
      <c r="H713" s="11"/>
      <c r="I713" s="11"/>
      <c r="J713" s="11"/>
      <c r="K713" s="11"/>
      <c r="L713" s="11"/>
    </row>
    <row r="714" spans="4:12" x14ac:dyDescent="0.2">
      <c r="D714" s="11"/>
      <c r="E714" s="11"/>
      <c r="F714" s="11"/>
      <c r="G714" s="11"/>
      <c r="H714" s="11"/>
      <c r="I714" s="11"/>
      <c r="J714" s="11"/>
      <c r="K714" s="11"/>
      <c r="L714" s="11"/>
    </row>
    <row r="715" spans="4:12" x14ac:dyDescent="0.2">
      <c r="D715" s="11"/>
      <c r="E715" s="11"/>
      <c r="F715" s="11"/>
      <c r="G715" s="11"/>
      <c r="H715" s="11"/>
      <c r="I715" s="11"/>
      <c r="J715" s="11"/>
      <c r="K715" s="11"/>
      <c r="L715" s="11"/>
    </row>
    <row r="716" spans="4:12" x14ac:dyDescent="0.2">
      <c r="D716" s="11"/>
      <c r="E716" s="11"/>
      <c r="F716" s="11"/>
      <c r="G716" s="11"/>
      <c r="H716" s="11"/>
      <c r="I716" s="11"/>
      <c r="J716" s="11"/>
      <c r="K716" s="11"/>
      <c r="L716" s="11"/>
    </row>
    <row r="717" spans="4:12" x14ac:dyDescent="0.2">
      <c r="D717" s="11"/>
      <c r="E717" s="11"/>
      <c r="F717" s="11"/>
      <c r="G717" s="11"/>
      <c r="H717" s="11"/>
      <c r="I717" s="11"/>
      <c r="J717" s="11"/>
      <c r="K717" s="11"/>
      <c r="L717" s="11"/>
    </row>
    <row r="718" spans="4:12" x14ac:dyDescent="0.2">
      <c r="D718" s="11"/>
      <c r="E718" s="11"/>
      <c r="F718" s="11"/>
      <c r="G718" s="11"/>
      <c r="H718" s="11"/>
      <c r="I718" s="11"/>
      <c r="J718" s="11"/>
      <c r="K718" s="11"/>
      <c r="L718" s="11"/>
    </row>
    <row r="719" spans="4:12" x14ac:dyDescent="0.2">
      <c r="D719" s="11"/>
      <c r="E719" s="11"/>
      <c r="F719" s="11"/>
      <c r="G719" s="11"/>
      <c r="H719" s="11"/>
      <c r="I719" s="11"/>
      <c r="J719" s="11"/>
      <c r="K719" s="11"/>
      <c r="L719" s="11"/>
    </row>
    <row r="720" spans="4:12" x14ac:dyDescent="0.2">
      <c r="D720" s="11"/>
      <c r="E720" s="11"/>
      <c r="F720" s="11"/>
      <c r="G720" s="11"/>
      <c r="H720" s="11"/>
      <c r="I720" s="11"/>
      <c r="J720" s="11"/>
      <c r="K720" s="11"/>
      <c r="L720" s="11"/>
    </row>
    <row r="721" spans="4:12" x14ac:dyDescent="0.2">
      <c r="D721" s="11"/>
      <c r="E721" s="11"/>
      <c r="F721" s="11"/>
      <c r="G721" s="11"/>
      <c r="H721" s="11"/>
      <c r="I721" s="11"/>
      <c r="J721" s="11"/>
      <c r="K721" s="11"/>
      <c r="L721" s="11"/>
    </row>
    <row r="722" spans="4:12" x14ac:dyDescent="0.2">
      <c r="D722" s="11"/>
      <c r="E722" s="11"/>
      <c r="F722" s="11"/>
      <c r="G722" s="11"/>
      <c r="H722" s="11"/>
      <c r="I722" s="11"/>
      <c r="J722" s="11"/>
      <c r="K722" s="11"/>
      <c r="L722" s="11"/>
    </row>
    <row r="723" spans="4:12" x14ac:dyDescent="0.2">
      <c r="D723" s="11"/>
      <c r="E723" s="11"/>
      <c r="F723" s="11"/>
      <c r="G723" s="11"/>
      <c r="H723" s="11"/>
      <c r="I723" s="11"/>
      <c r="J723" s="11"/>
      <c r="K723" s="11"/>
      <c r="L723" s="11"/>
    </row>
    <row r="724" spans="4:12" x14ac:dyDescent="0.2">
      <c r="D724" s="11"/>
      <c r="E724" s="11"/>
      <c r="F724" s="11"/>
      <c r="G724" s="11"/>
      <c r="H724" s="11"/>
      <c r="I724" s="11"/>
      <c r="J724" s="11"/>
      <c r="K724" s="11"/>
      <c r="L724" s="11"/>
    </row>
    <row r="725" spans="4:12" x14ac:dyDescent="0.2">
      <c r="D725" s="11"/>
      <c r="E725" s="11"/>
      <c r="F725" s="11"/>
      <c r="G725" s="11"/>
      <c r="H725" s="11"/>
      <c r="I725" s="11"/>
      <c r="J725" s="11"/>
      <c r="K725" s="11"/>
      <c r="L725" s="11"/>
    </row>
    <row r="726" spans="4:12" x14ac:dyDescent="0.2">
      <c r="D726" s="11"/>
      <c r="E726" s="11"/>
      <c r="F726" s="11"/>
      <c r="G726" s="11"/>
      <c r="H726" s="11"/>
      <c r="I726" s="11"/>
      <c r="J726" s="11"/>
      <c r="K726" s="11"/>
      <c r="L726" s="11"/>
    </row>
    <row r="727" spans="4:12" x14ac:dyDescent="0.2">
      <c r="D727" s="11"/>
      <c r="E727" s="11"/>
      <c r="F727" s="11"/>
      <c r="G727" s="11"/>
      <c r="H727" s="11"/>
      <c r="I727" s="11"/>
      <c r="J727" s="11"/>
      <c r="K727" s="11"/>
      <c r="L727" s="11"/>
    </row>
    <row r="728" spans="4:12" x14ac:dyDescent="0.2">
      <c r="D728" s="11"/>
      <c r="E728" s="11"/>
      <c r="F728" s="11"/>
      <c r="G728" s="11"/>
      <c r="H728" s="11"/>
      <c r="I728" s="11"/>
      <c r="J728" s="11"/>
      <c r="K728" s="11"/>
      <c r="L728" s="11"/>
    </row>
    <row r="729" spans="4:12" x14ac:dyDescent="0.2">
      <c r="D729" s="11"/>
      <c r="E729" s="11"/>
      <c r="F729" s="11"/>
      <c r="G729" s="11"/>
      <c r="H729" s="11"/>
      <c r="I729" s="11"/>
      <c r="J729" s="11"/>
      <c r="K729" s="11"/>
      <c r="L729" s="11"/>
    </row>
    <row r="730" spans="4:12" x14ac:dyDescent="0.2">
      <c r="D730" s="11"/>
      <c r="E730" s="11"/>
      <c r="F730" s="11"/>
      <c r="G730" s="11"/>
      <c r="H730" s="11"/>
      <c r="I730" s="11"/>
      <c r="J730" s="11"/>
      <c r="K730" s="11"/>
      <c r="L730" s="11"/>
    </row>
    <row r="731" spans="4:12" x14ac:dyDescent="0.2">
      <c r="D731" s="11"/>
      <c r="E731" s="11"/>
      <c r="F731" s="11"/>
      <c r="G731" s="11"/>
      <c r="H731" s="11"/>
      <c r="I731" s="11"/>
      <c r="J731" s="11"/>
      <c r="K731" s="11"/>
      <c r="L731" s="11"/>
    </row>
    <row r="732" spans="4:12" x14ac:dyDescent="0.2">
      <c r="D732" s="11"/>
      <c r="E732" s="11"/>
      <c r="F732" s="11"/>
      <c r="G732" s="11"/>
      <c r="H732" s="11"/>
      <c r="I732" s="11"/>
      <c r="J732" s="11"/>
      <c r="K732" s="11"/>
      <c r="L732" s="11"/>
    </row>
    <row r="733" spans="4:12" x14ac:dyDescent="0.2">
      <c r="D733" s="11"/>
      <c r="E733" s="11"/>
      <c r="F733" s="11"/>
      <c r="G733" s="11"/>
      <c r="H733" s="11"/>
      <c r="I733" s="11"/>
      <c r="J733" s="11"/>
      <c r="K733" s="11"/>
      <c r="L733" s="11"/>
    </row>
    <row r="734" spans="4:12" x14ac:dyDescent="0.2">
      <c r="D734" s="11"/>
      <c r="E734" s="11"/>
      <c r="F734" s="11"/>
      <c r="G734" s="11"/>
      <c r="H734" s="11"/>
      <c r="I734" s="11"/>
      <c r="J734" s="11"/>
      <c r="K734" s="11"/>
      <c r="L734" s="11"/>
    </row>
    <row r="735" spans="4:12" x14ac:dyDescent="0.2">
      <c r="D735" s="11"/>
      <c r="E735" s="11"/>
      <c r="F735" s="11"/>
      <c r="G735" s="11"/>
      <c r="H735" s="11"/>
      <c r="I735" s="11"/>
      <c r="J735" s="11"/>
      <c r="K735" s="11"/>
      <c r="L735" s="11"/>
    </row>
    <row r="736" spans="4:12" x14ac:dyDescent="0.2">
      <c r="D736" s="11"/>
      <c r="E736" s="11"/>
      <c r="F736" s="11"/>
      <c r="G736" s="11"/>
      <c r="H736" s="11"/>
      <c r="I736" s="11"/>
      <c r="J736" s="11"/>
      <c r="K736" s="11"/>
      <c r="L736" s="11"/>
    </row>
    <row r="737" spans="4:12" x14ac:dyDescent="0.2">
      <c r="D737" s="11"/>
      <c r="E737" s="11"/>
      <c r="F737" s="11"/>
      <c r="G737" s="11"/>
      <c r="H737" s="11"/>
      <c r="I737" s="11"/>
      <c r="J737" s="11"/>
      <c r="K737" s="11"/>
      <c r="L737" s="11"/>
    </row>
    <row r="738" spans="4:12" x14ac:dyDescent="0.2">
      <c r="D738" s="11"/>
      <c r="E738" s="11"/>
      <c r="F738" s="11"/>
      <c r="G738" s="11"/>
      <c r="H738" s="11"/>
      <c r="I738" s="11"/>
      <c r="J738" s="11"/>
      <c r="K738" s="11"/>
      <c r="L738" s="11"/>
    </row>
    <row r="739" spans="4:12" x14ac:dyDescent="0.2">
      <c r="D739" s="11"/>
      <c r="E739" s="11"/>
      <c r="F739" s="11"/>
      <c r="G739" s="11"/>
      <c r="H739" s="11"/>
      <c r="I739" s="11"/>
      <c r="J739" s="11"/>
      <c r="K739" s="11"/>
      <c r="L739" s="11"/>
    </row>
    <row r="740" spans="4:12" x14ac:dyDescent="0.2">
      <c r="D740" s="11"/>
      <c r="E740" s="11"/>
      <c r="F740" s="11"/>
      <c r="G740" s="11"/>
      <c r="H740" s="11"/>
      <c r="I740" s="11"/>
      <c r="J740" s="11"/>
      <c r="K740" s="11"/>
      <c r="L740" s="11"/>
    </row>
    <row r="741" spans="4:12" x14ac:dyDescent="0.2">
      <c r="D741" s="11"/>
      <c r="E741" s="11"/>
      <c r="F741" s="11"/>
      <c r="G741" s="11"/>
      <c r="H741" s="11"/>
      <c r="I741" s="11"/>
      <c r="J741" s="11"/>
      <c r="K741" s="11"/>
      <c r="L741" s="11"/>
    </row>
    <row r="742" spans="4:12" x14ac:dyDescent="0.2">
      <c r="D742" s="11"/>
      <c r="E742" s="11"/>
      <c r="F742" s="11"/>
      <c r="G742" s="11"/>
      <c r="H742" s="11"/>
      <c r="I742" s="11"/>
      <c r="J742" s="11"/>
      <c r="K742" s="11"/>
      <c r="L742" s="11"/>
    </row>
    <row r="743" spans="4:12" x14ac:dyDescent="0.2">
      <c r="D743" s="11"/>
      <c r="E743" s="11"/>
      <c r="F743" s="11"/>
      <c r="G743" s="11"/>
      <c r="H743" s="11"/>
      <c r="I743" s="11"/>
      <c r="J743" s="11"/>
      <c r="K743" s="11"/>
      <c r="L743" s="11"/>
    </row>
    <row r="744" spans="4:12" x14ac:dyDescent="0.2">
      <c r="D744" s="11"/>
      <c r="E744" s="11"/>
      <c r="F744" s="11"/>
      <c r="G744" s="11"/>
      <c r="H744" s="11"/>
      <c r="I744" s="11"/>
      <c r="J744" s="11"/>
      <c r="K744" s="11"/>
      <c r="L744" s="11"/>
    </row>
    <row r="745" spans="4:12" x14ac:dyDescent="0.2">
      <c r="D745" s="11"/>
      <c r="E745" s="11"/>
      <c r="F745" s="11"/>
      <c r="G745" s="11"/>
      <c r="H745" s="11"/>
      <c r="I745" s="11"/>
      <c r="J745" s="11"/>
      <c r="K745" s="11"/>
      <c r="L745" s="11"/>
    </row>
    <row r="746" spans="4:12" x14ac:dyDescent="0.2">
      <c r="D746" s="11"/>
      <c r="E746" s="11"/>
      <c r="F746" s="11"/>
      <c r="G746" s="11"/>
      <c r="H746" s="11"/>
      <c r="I746" s="11"/>
      <c r="J746" s="11"/>
      <c r="K746" s="11"/>
      <c r="L746" s="11"/>
    </row>
    <row r="747" spans="4:12" x14ac:dyDescent="0.2">
      <c r="D747" s="11"/>
      <c r="E747" s="11"/>
      <c r="F747" s="11"/>
      <c r="G747" s="11"/>
      <c r="H747" s="11"/>
      <c r="I747" s="11"/>
      <c r="J747" s="11"/>
      <c r="K747" s="11"/>
      <c r="L747" s="11"/>
    </row>
    <row r="748" spans="4:12" x14ac:dyDescent="0.2">
      <c r="D748" s="11"/>
      <c r="E748" s="11"/>
      <c r="F748" s="11"/>
      <c r="G748" s="11"/>
      <c r="H748" s="11"/>
      <c r="I748" s="11"/>
      <c r="J748" s="11"/>
      <c r="K748" s="11"/>
      <c r="L748" s="11"/>
    </row>
    <row r="749" spans="4:12" x14ac:dyDescent="0.2">
      <c r="D749" s="11"/>
      <c r="E749" s="11"/>
      <c r="F749" s="11"/>
      <c r="G749" s="11"/>
      <c r="H749" s="11"/>
      <c r="I749" s="11"/>
      <c r="J749" s="11"/>
      <c r="K749" s="11"/>
      <c r="L749" s="11"/>
    </row>
    <row r="750" spans="4:12" x14ac:dyDescent="0.2">
      <c r="D750" s="11"/>
      <c r="E750" s="11"/>
      <c r="F750" s="11"/>
      <c r="G750" s="11"/>
      <c r="H750" s="11"/>
      <c r="I750" s="11"/>
      <c r="J750" s="11"/>
      <c r="K750" s="11"/>
      <c r="L750" s="11"/>
    </row>
    <row r="751" spans="4:12" x14ac:dyDescent="0.2">
      <c r="D751" s="11"/>
      <c r="E751" s="11"/>
      <c r="F751" s="11"/>
      <c r="G751" s="11"/>
      <c r="H751" s="11"/>
      <c r="I751" s="11"/>
      <c r="J751" s="11"/>
      <c r="K751" s="11"/>
      <c r="L751" s="11"/>
    </row>
    <row r="752" spans="4:12" x14ac:dyDescent="0.2">
      <c r="D752" s="11"/>
      <c r="E752" s="11"/>
      <c r="F752" s="11"/>
      <c r="G752" s="11"/>
      <c r="H752" s="11"/>
      <c r="I752" s="11"/>
      <c r="J752" s="11"/>
      <c r="K752" s="11"/>
      <c r="L752" s="11"/>
    </row>
    <row r="753" spans="4:12" x14ac:dyDescent="0.2">
      <c r="D753" s="11"/>
      <c r="E753" s="11"/>
      <c r="F753" s="11"/>
      <c r="G753" s="11"/>
      <c r="H753" s="11"/>
      <c r="I753" s="11"/>
      <c r="J753" s="11"/>
      <c r="K753" s="11"/>
      <c r="L753" s="11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M6:M63">
    <cfRule type="cellIs" dxfId="33" priority="2" operator="lessThan">
      <formula>0</formula>
    </cfRule>
  </conditionalFormatting>
  <conditionalFormatting sqref="M68:M281">
    <cfRule type="cellIs" dxfId="32" priority="1" operator="greaterThan">
      <formula>0</formula>
    </cfRule>
  </conditionalFormatting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20F2E-4D88-45F2-A62A-42B597A36862}">
  <sheetPr>
    <pageSetUpPr fitToPage="1"/>
  </sheetPr>
  <dimension ref="A1:M64"/>
  <sheetViews>
    <sheetView topLeftCell="C1" workbookViewId="0"/>
  </sheetViews>
  <sheetFormatPr defaultRowHeight="15" x14ac:dyDescent="0.25"/>
  <cols>
    <col min="1" max="1" width="22" style="4" bestFit="1" customWidth="1"/>
    <col min="2" max="2" width="70.42578125" style="4" bestFit="1" customWidth="1"/>
    <col min="3" max="3" width="14.5703125" style="4" bestFit="1" customWidth="1"/>
    <col min="4" max="7" width="14.5703125" style="4" customWidth="1"/>
    <col min="8" max="8" width="2.7109375" style="4" customWidth="1"/>
    <col min="9" max="9" width="16.42578125" style="4" bestFit="1" customWidth="1"/>
    <col min="10" max="10" width="20" style="4" customWidth="1"/>
    <col min="11" max="11" width="2.7109375" style="4" customWidth="1"/>
    <col min="12" max="12" width="16.42578125" style="37" bestFit="1" customWidth="1"/>
    <col min="13" max="13" width="17.42578125" style="38" customWidth="1"/>
  </cols>
  <sheetData>
    <row r="1" spans="1:13" x14ac:dyDescent="0.25">
      <c r="A1" s="1" t="s">
        <v>0</v>
      </c>
      <c r="B1" s="2" t="s">
        <v>1</v>
      </c>
      <c r="C1" s="52" t="s">
        <v>327</v>
      </c>
      <c r="D1" s="52" t="s">
        <v>328</v>
      </c>
      <c r="E1" s="52" t="s">
        <v>329</v>
      </c>
      <c r="F1" s="52" t="s">
        <v>330</v>
      </c>
      <c r="G1" s="52" t="s">
        <v>331</v>
      </c>
      <c r="H1" s="3"/>
      <c r="I1" s="52" t="s">
        <v>2</v>
      </c>
      <c r="J1" s="52" t="s">
        <v>332</v>
      </c>
      <c r="K1" s="3"/>
      <c r="L1" s="55" t="s">
        <v>3</v>
      </c>
      <c r="M1" s="54" t="s">
        <v>333</v>
      </c>
    </row>
    <row r="2" spans="1:13" x14ac:dyDescent="0.25">
      <c r="A2" s="5"/>
      <c r="B2" s="6"/>
      <c r="C2" s="52"/>
      <c r="D2" s="52"/>
      <c r="E2" s="52"/>
      <c r="F2" s="52"/>
      <c r="G2" s="52"/>
      <c r="H2" s="3"/>
      <c r="I2" s="52"/>
      <c r="J2" s="52"/>
      <c r="K2" s="3"/>
      <c r="L2" s="55"/>
      <c r="M2" s="54"/>
    </row>
    <row r="3" spans="1:13" x14ac:dyDescent="0.25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3" x14ac:dyDescent="0.25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3" x14ac:dyDescent="0.25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3" x14ac:dyDescent="0.25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450000</v>
      </c>
      <c r="M6" s="38">
        <f>+L6/J6</f>
        <v>0.6428571428571429</v>
      </c>
    </row>
    <row r="7" spans="1:13" x14ac:dyDescent="0.25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800000</v>
      </c>
      <c r="M7" s="38">
        <f>+L7/J7</f>
        <v>0.96969696969696972</v>
      </c>
    </row>
    <row r="8" spans="1:13" x14ac:dyDescent="0.25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>+L8/J8</f>
        <v>1</v>
      </c>
    </row>
    <row r="9" spans="1:13" x14ac:dyDescent="0.25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>+L9/J9</f>
        <v>1</v>
      </c>
    </row>
    <row r="10" spans="1:13" x14ac:dyDescent="0.25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>+L10/J10</f>
        <v>1</v>
      </c>
    </row>
    <row r="11" spans="1:13" x14ac:dyDescent="0.25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3" x14ac:dyDescent="0.25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1860000</v>
      </c>
      <c r="M12" s="38">
        <f>+L12/J12</f>
        <v>0.87119437939110067</v>
      </c>
    </row>
    <row r="13" spans="1:13" x14ac:dyDescent="0.25">
      <c r="D13" s="11"/>
      <c r="E13" s="11"/>
      <c r="F13" s="11"/>
      <c r="G13" s="11"/>
      <c r="H13" s="3"/>
      <c r="I13" s="11"/>
      <c r="J13" s="11"/>
      <c r="K13" s="3"/>
      <c r="L13" s="11"/>
    </row>
    <row r="14" spans="1:13" x14ac:dyDescent="0.25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3" x14ac:dyDescent="0.25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3" x14ac:dyDescent="0.25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3" x14ac:dyDescent="0.25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>+L17/J17</f>
        <v>1</v>
      </c>
    </row>
    <row r="18" spans="1:13" x14ac:dyDescent="0.25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3" x14ac:dyDescent="0.25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ref="M19:M26" si="0">+L19/J19</f>
        <v>1.0317460317460319</v>
      </c>
    </row>
    <row r="20" spans="1:13" x14ac:dyDescent="0.25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0"/>
        <v>0.99580712788259962</v>
      </c>
    </row>
    <row r="21" spans="1:13" x14ac:dyDescent="0.25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361053.5</v>
      </c>
      <c r="H21" s="3"/>
      <c r="I21" s="11">
        <v>880085</v>
      </c>
      <c r="J21" s="11">
        <v>361000</v>
      </c>
      <c r="K21" s="3"/>
      <c r="L21" s="11">
        <v>350000</v>
      </c>
      <c r="M21" s="38">
        <f t="shared" si="0"/>
        <v>0.96952908587257614</v>
      </c>
    </row>
    <row r="22" spans="1:13" x14ac:dyDescent="0.25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1173685.8799999999</v>
      </c>
      <c r="H22" s="3"/>
      <c r="I22" s="11">
        <f>411257+128000</f>
        <v>539257</v>
      </c>
      <c r="J22" s="11">
        <v>1173000</v>
      </c>
      <c r="K22" s="3"/>
      <c r="L22" s="11">
        <v>1175000</v>
      </c>
      <c r="M22" s="38">
        <f t="shared" si="0"/>
        <v>1.0017050298380221</v>
      </c>
    </row>
    <row r="23" spans="1:13" x14ac:dyDescent="0.25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0"/>
        <v>1</v>
      </c>
    </row>
    <row r="24" spans="1:13" x14ac:dyDescent="0.25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0"/>
        <v>1</v>
      </c>
    </row>
    <row r="25" spans="1:13" x14ac:dyDescent="0.25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0"/>
        <v>0.7</v>
      </c>
    </row>
    <row r="26" spans="1:13" x14ac:dyDescent="0.25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0"/>
        <v>1</v>
      </c>
    </row>
    <row r="27" spans="1:13" x14ac:dyDescent="0.25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3" x14ac:dyDescent="0.25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3090060.2399999998</v>
      </c>
      <c r="H28" s="3"/>
      <c r="I28" s="11">
        <f>SUM(I16:I27)</f>
        <v>3144505</v>
      </c>
      <c r="J28" s="11">
        <f>SUM(J16:J27)</f>
        <v>3181000</v>
      </c>
      <c r="K28" s="3"/>
      <c r="L28" s="11">
        <f>SUM(L16:L27)</f>
        <v>3165000</v>
      </c>
      <c r="M28" s="38">
        <f>+L28/J28</f>
        <v>0.99497013517761712</v>
      </c>
    </row>
    <row r="29" spans="1:13" x14ac:dyDescent="0.25">
      <c r="D29" s="11"/>
      <c r="E29" s="11"/>
      <c r="F29" s="11"/>
      <c r="G29" s="11"/>
      <c r="H29" s="3"/>
      <c r="I29" s="11"/>
      <c r="J29" s="11"/>
      <c r="K29" s="3"/>
      <c r="L29" s="11"/>
    </row>
    <row r="30" spans="1:13" x14ac:dyDescent="0.25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3" x14ac:dyDescent="0.25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3" x14ac:dyDescent="0.25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>+L32/J32</f>
        <v>1</v>
      </c>
    </row>
    <row r="33" spans="1:13" x14ac:dyDescent="0.25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>+L33/J33</f>
        <v>1</v>
      </c>
    </row>
    <row r="34" spans="1:13" x14ac:dyDescent="0.25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>+L34/J34</f>
        <v>1</v>
      </c>
    </row>
    <row r="35" spans="1:13" x14ac:dyDescent="0.25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>+L35/J35</f>
        <v>1</v>
      </c>
    </row>
    <row r="36" spans="1:13" x14ac:dyDescent="0.25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x14ac:dyDescent="0.25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</f>
        <v>1</v>
      </c>
    </row>
    <row r="38" spans="1:13" x14ac:dyDescent="0.25">
      <c r="D38" s="11"/>
      <c r="E38" s="11"/>
      <c r="F38" s="11"/>
      <c r="G38" s="11"/>
      <c r="H38" s="3"/>
      <c r="I38" s="11"/>
      <c r="J38" s="11"/>
      <c r="K38" s="3"/>
      <c r="L38" s="11"/>
    </row>
    <row r="39" spans="1:13" x14ac:dyDescent="0.25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x14ac:dyDescent="0.25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x14ac:dyDescent="0.25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x14ac:dyDescent="0.25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>+L42/J42</f>
        <v>1</v>
      </c>
    </row>
    <row r="43" spans="1:13" x14ac:dyDescent="0.25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>+L43/J43</f>
        <v>0.23809523809523808</v>
      </c>
    </row>
    <row r="44" spans="1:13" x14ac:dyDescent="0.25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>+L44/J44</f>
        <v>1</v>
      </c>
    </row>
    <row r="45" spans="1:13" x14ac:dyDescent="0.25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x14ac:dyDescent="0.25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</f>
        <v>0.64179104477611937</v>
      </c>
    </row>
    <row r="47" spans="1:13" x14ac:dyDescent="0.25">
      <c r="D47" s="11"/>
      <c r="E47" s="11"/>
      <c r="F47" s="11"/>
      <c r="G47" s="11"/>
      <c r="H47" s="3"/>
      <c r="I47" s="11"/>
      <c r="J47" s="11"/>
      <c r="K47" s="3"/>
      <c r="L47" s="11"/>
    </row>
    <row r="48" spans="1:13" x14ac:dyDescent="0.25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3" x14ac:dyDescent="0.25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</f>
        <v>0.7142857142857143</v>
      </c>
    </row>
    <row r="50" spans="1:13" x14ac:dyDescent="0.25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3" x14ac:dyDescent="0.25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</f>
        <v>0.7142857142857143</v>
      </c>
    </row>
    <row r="52" spans="1:13" x14ac:dyDescent="0.25">
      <c r="D52" s="11"/>
      <c r="E52" s="11"/>
      <c r="F52" s="11"/>
      <c r="G52" s="11"/>
      <c r="H52" s="3"/>
      <c r="I52" s="11"/>
      <c r="J52" s="11"/>
      <c r="K52" s="3"/>
      <c r="L52" s="11"/>
    </row>
    <row r="53" spans="1:13" x14ac:dyDescent="0.25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3" x14ac:dyDescent="0.25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3" x14ac:dyDescent="0.25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</f>
        <v>0.42857142857142855</v>
      </c>
    </row>
    <row r="56" spans="1:13" x14ac:dyDescent="0.25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3" x14ac:dyDescent="0.25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</f>
        <v>0.1</v>
      </c>
    </row>
    <row r="58" spans="1:13" x14ac:dyDescent="0.25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/>
      <c r="J58" s="11"/>
      <c r="K58" s="3"/>
      <c r="L58" s="11">
        <v>1500</v>
      </c>
    </row>
    <row r="59" spans="1:13" x14ac:dyDescent="0.25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</f>
        <v>1</v>
      </c>
    </row>
    <row r="60" spans="1:13" x14ac:dyDescent="0.25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3" x14ac:dyDescent="0.25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54000</v>
      </c>
      <c r="J61" s="11">
        <f>SUM(J55:J60)</f>
        <v>78500</v>
      </c>
      <c r="K61" s="3"/>
      <c r="L61" s="11">
        <f>SUM(L55:L60)</f>
        <v>55500</v>
      </c>
      <c r="M61" s="38">
        <f>+L61/J61</f>
        <v>0.70700636942675155</v>
      </c>
    </row>
    <row r="62" spans="1:13" x14ac:dyDescent="0.25">
      <c r="D62" s="11"/>
      <c r="E62" s="11"/>
      <c r="F62" s="11"/>
      <c r="G62" s="11"/>
      <c r="H62" s="3"/>
      <c r="I62" s="11"/>
      <c r="J62" s="11"/>
      <c r="K62" s="3"/>
      <c r="L62" s="11"/>
    </row>
    <row r="63" spans="1:13" x14ac:dyDescent="0.25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5771463.9800000004</v>
      </c>
      <c r="H63" s="3"/>
      <c r="I63" s="11">
        <f>+I61+I51+I46+I37+I28+I12</f>
        <v>5814005</v>
      </c>
      <c r="J63" s="11">
        <f>+J61+J51+J46+J37+J28+J12</f>
        <v>6257000</v>
      </c>
      <c r="K63" s="3"/>
      <c r="L63" s="11">
        <f>+L61+L51+L46+L37+L28+L12</f>
        <v>5795000</v>
      </c>
      <c r="M63" s="38">
        <f>+L63/J63</f>
        <v>0.92616269777848814</v>
      </c>
    </row>
    <row r="64" spans="1:13" hidden="1" x14ac:dyDescent="0.25">
      <c r="C64" s="4">
        <v>4276151</v>
      </c>
      <c r="D64" s="4">
        <v>6019921.370000001</v>
      </c>
      <c r="E64" s="4">
        <v>4860796.18</v>
      </c>
      <c r="F64" s="4">
        <v>5851407.4800000004</v>
      </c>
      <c r="G64" s="4">
        <v>5811859.7700000005</v>
      </c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H64:H1048576 K64:K1048576">
    <cfRule type="cellIs" dxfId="31" priority="1" operator="lessThan">
      <formula>-0.1</formula>
    </cfRule>
    <cfRule type="cellIs" dxfId="30" priority="2" operator="greaterThan">
      <formula>0.1</formula>
    </cfRule>
  </conditionalFormatting>
  <pageMargins left="0.2" right="0.2" top="0.75" bottom="0.5" header="0.3" footer="0.3"/>
  <pageSetup paperSize="3" scale="88" fitToHeight="0" orientation="landscape" r:id="rId1"/>
  <headerFooter>
    <oddHeader>&amp;C&amp;"-,Bold"&amp;14FY26 OPERATING BUDGET - REVENUE - FIRST DRAFT - 12.11.24</oddHeader>
    <oddFooter>&amp;R&amp;P OF &amp;N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01A8D2-CD05-41C3-A2F0-9A39E8762CAD}">
  <sheetPr>
    <pageSetUpPr fitToPage="1"/>
  </sheetPr>
  <dimension ref="A1:M115"/>
  <sheetViews>
    <sheetView topLeftCell="C1" workbookViewId="0"/>
  </sheetViews>
  <sheetFormatPr defaultRowHeight="15" x14ac:dyDescent="0.25"/>
  <cols>
    <col min="1" max="1" width="22" style="4" bestFit="1" customWidth="1"/>
    <col min="2" max="2" width="70.42578125" style="4" bestFit="1" customWidth="1"/>
    <col min="3" max="3" width="14.5703125" style="4" bestFit="1" customWidth="1"/>
    <col min="4" max="7" width="14.5703125" style="4" customWidth="1"/>
    <col min="8" max="8" width="2.7109375" style="4" customWidth="1"/>
    <col min="9" max="9" width="16.42578125" style="4" bestFit="1" customWidth="1"/>
    <col min="10" max="10" width="20" style="4" customWidth="1"/>
    <col min="11" max="11" width="2.7109375" style="4" customWidth="1"/>
    <col min="12" max="12" width="16.42578125" style="37" bestFit="1" customWidth="1"/>
    <col min="13" max="13" width="17.42578125" style="38" customWidth="1"/>
  </cols>
  <sheetData>
    <row r="1" spans="1:13" x14ac:dyDescent="0.25">
      <c r="A1" s="1" t="s">
        <v>0</v>
      </c>
      <c r="B1" s="2" t="s">
        <v>1</v>
      </c>
      <c r="C1" s="52" t="s">
        <v>327</v>
      </c>
      <c r="D1" s="52" t="s">
        <v>328</v>
      </c>
      <c r="E1" s="52" t="s">
        <v>329</v>
      </c>
      <c r="F1" s="52" t="s">
        <v>330</v>
      </c>
      <c r="G1" s="52" t="s">
        <v>331</v>
      </c>
      <c r="H1" s="3"/>
      <c r="I1" s="52" t="s">
        <v>2</v>
      </c>
      <c r="J1" s="52" t="s">
        <v>332</v>
      </c>
      <c r="K1" s="3"/>
      <c r="L1" s="55" t="s">
        <v>3</v>
      </c>
      <c r="M1" s="54" t="s">
        <v>333</v>
      </c>
    </row>
    <row r="2" spans="1:13" x14ac:dyDescent="0.25">
      <c r="A2" s="5"/>
      <c r="B2" s="6"/>
      <c r="C2" s="52"/>
      <c r="D2" s="52"/>
      <c r="E2" s="52"/>
      <c r="F2" s="52"/>
      <c r="G2" s="52"/>
      <c r="H2" s="3"/>
      <c r="I2" s="52"/>
      <c r="J2" s="52"/>
      <c r="K2" s="3"/>
      <c r="L2" s="55"/>
      <c r="M2" s="54"/>
    </row>
    <row r="3" spans="1:13" hidden="1" x14ac:dyDescent="0.25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3" hidden="1" x14ac:dyDescent="0.25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3" hidden="1" x14ac:dyDescent="0.25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3" hidden="1" x14ac:dyDescent="0.25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450000</v>
      </c>
      <c r="M6" s="38">
        <f>+L6/J6</f>
        <v>0.6428571428571429</v>
      </c>
    </row>
    <row r="7" spans="1:13" hidden="1" x14ac:dyDescent="0.25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800000</v>
      </c>
      <c r="M7" s="38">
        <f>+L7/J7</f>
        <v>0.96969696969696972</v>
      </c>
    </row>
    <row r="8" spans="1:13" hidden="1" x14ac:dyDescent="0.25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>+L8/J8</f>
        <v>1</v>
      </c>
    </row>
    <row r="9" spans="1:13" hidden="1" x14ac:dyDescent="0.25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>+L9/J9</f>
        <v>1</v>
      </c>
    </row>
    <row r="10" spans="1:13" hidden="1" x14ac:dyDescent="0.25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>+L10/J10</f>
        <v>1</v>
      </c>
    </row>
    <row r="11" spans="1:13" hidden="1" x14ac:dyDescent="0.25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3" hidden="1" x14ac:dyDescent="0.25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1860000</v>
      </c>
      <c r="M12" s="38">
        <f>+L12/J12</f>
        <v>0.87119437939110067</v>
      </c>
    </row>
    <row r="13" spans="1:13" hidden="1" x14ac:dyDescent="0.25">
      <c r="D13" s="11"/>
      <c r="E13" s="11"/>
      <c r="F13" s="11"/>
      <c r="G13" s="11"/>
      <c r="H13" s="3"/>
      <c r="I13" s="11"/>
      <c r="J13" s="11"/>
      <c r="K13" s="3"/>
      <c r="L13" s="11"/>
    </row>
    <row r="14" spans="1:13" hidden="1" x14ac:dyDescent="0.25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3" hidden="1" x14ac:dyDescent="0.25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3" hidden="1" x14ac:dyDescent="0.25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3" hidden="1" x14ac:dyDescent="0.25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>+L17/J17</f>
        <v>1</v>
      </c>
    </row>
    <row r="18" spans="1:13" hidden="1" x14ac:dyDescent="0.25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3" hidden="1" x14ac:dyDescent="0.25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ref="M19:M26" si="0">+L19/J19</f>
        <v>1.0317460317460319</v>
      </c>
    </row>
    <row r="20" spans="1:13" hidden="1" x14ac:dyDescent="0.25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0"/>
        <v>0.99580712788259962</v>
      </c>
    </row>
    <row r="21" spans="1:13" hidden="1" x14ac:dyDescent="0.25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361053.5</v>
      </c>
      <c r="H21" s="3"/>
      <c r="I21" s="11">
        <v>880085</v>
      </c>
      <c r="J21" s="11">
        <v>361000</v>
      </c>
      <c r="K21" s="3"/>
      <c r="L21" s="11">
        <v>350000</v>
      </c>
      <c r="M21" s="38">
        <f t="shared" si="0"/>
        <v>0.96952908587257614</v>
      </c>
    </row>
    <row r="22" spans="1:13" hidden="1" x14ac:dyDescent="0.25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1173685.8799999999</v>
      </c>
      <c r="H22" s="3"/>
      <c r="I22" s="11">
        <f>411257+128000</f>
        <v>539257</v>
      </c>
      <c r="J22" s="11">
        <v>1173000</v>
      </c>
      <c r="K22" s="3"/>
      <c r="L22" s="11">
        <v>1175000</v>
      </c>
      <c r="M22" s="38">
        <f t="shared" si="0"/>
        <v>1.0017050298380221</v>
      </c>
    </row>
    <row r="23" spans="1:13" hidden="1" x14ac:dyDescent="0.25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0"/>
        <v>1</v>
      </c>
    </row>
    <row r="24" spans="1:13" hidden="1" x14ac:dyDescent="0.25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0"/>
        <v>1</v>
      </c>
    </row>
    <row r="25" spans="1:13" hidden="1" x14ac:dyDescent="0.25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0"/>
        <v>0.7</v>
      </c>
    </row>
    <row r="26" spans="1:13" hidden="1" x14ac:dyDescent="0.25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0"/>
        <v>1</v>
      </c>
    </row>
    <row r="27" spans="1:13" hidden="1" x14ac:dyDescent="0.25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3" hidden="1" x14ac:dyDescent="0.25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3090060.2399999998</v>
      </c>
      <c r="H28" s="3"/>
      <c r="I28" s="11">
        <f>SUM(I16:I27)</f>
        <v>3144505</v>
      </c>
      <c r="J28" s="11">
        <f>SUM(J16:J27)</f>
        <v>3181000</v>
      </c>
      <c r="K28" s="3"/>
      <c r="L28" s="11">
        <f>SUM(L16:L27)</f>
        <v>3165000</v>
      </c>
      <c r="M28" s="38">
        <f>+L28/J28</f>
        <v>0.99497013517761712</v>
      </c>
    </row>
    <row r="29" spans="1:13" hidden="1" x14ac:dyDescent="0.25">
      <c r="D29" s="11"/>
      <c r="E29" s="11"/>
      <c r="F29" s="11"/>
      <c r="G29" s="11"/>
      <c r="H29" s="3"/>
      <c r="I29" s="11"/>
      <c r="J29" s="11"/>
      <c r="K29" s="3"/>
      <c r="L29" s="11"/>
    </row>
    <row r="30" spans="1:13" hidden="1" x14ac:dyDescent="0.25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3" hidden="1" x14ac:dyDescent="0.25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3" hidden="1" x14ac:dyDescent="0.25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>+L32/J32</f>
        <v>1</v>
      </c>
    </row>
    <row r="33" spans="1:13" hidden="1" x14ac:dyDescent="0.25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>+L33/J33</f>
        <v>1</v>
      </c>
    </row>
    <row r="34" spans="1:13" hidden="1" x14ac:dyDescent="0.25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>+L34/J34</f>
        <v>1</v>
      </c>
    </row>
    <row r="35" spans="1:13" hidden="1" x14ac:dyDescent="0.25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>+L35/J35</f>
        <v>1</v>
      </c>
    </row>
    <row r="36" spans="1:13" hidden="1" x14ac:dyDescent="0.25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hidden="1" x14ac:dyDescent="0.25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</f>
        <v>1</v>
      </c>
    </row>
    <row r="38" spans="1:13" hidden="1" x14ac:dyDescent="0.25">
      <c r="D38" s="11"/>
      <c r="E38" s="11"/>
      <c r="F38" s="11"/>
      <c r="G38" s="11"/>
      <c r="H38" s="3"/>
      <c r="I38" s="11"/>
      <c r="J38" s="11"/>
      <c r="K38" s="3"/>
      <c r="L38" s="11"/>
    </row>
    <row r="39" spans="1:13" hidden="1" x14ac:dyDescent="0.25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hidden="1" x14ac:dyDescent="0.25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hidden="1" x14ac:dyDescent="0.25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hidden="1" x14ac:dyDescent="0.25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>+L42/J42</f>
        <v>1</v>
      </c>
    </row>
    <row r="43" spans="1:13" hidden="1" x14ac:dyDescent="0.25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>+L43/J43</f>
        <v>0.23809523809523808</v>
      </c>
    </row>
    <row r="44" spans="1:13" hidden="1" x14ac:dyDescent="0.25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>+L44/J44</f>
        <v>1</v>
      </c>
    </row>
    <row r="45" spans="1:13" hidden="1" x14ac:dyDescent="0.25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hidden="1" x14ac:dyDescent="0.25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</f>
        <v>0.64179104477611937</v>
      </c>
    </row>
    <row r="47" spans="1:13" hidden="1" x14ac:dyDescent="0.25">
      <c r="D47" s="11"/>
      <c r="E47" s="11"/>
      <c r="F47" s="11"/>
      <c r="G47" s="11"/>
      <c r="H47" s="3"/>
      <c r="I47" s="11"/>
      <c r="J47" s="11"/>
      <c r="K47" s="3"/>
      <c r="L47" s="11"/>
    </row>
    <row r="48" spans="1:13" hidden="1" x14ac:dyDescent="0.25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3" hidden="1" x14ac:dyDescent="0.25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</f>
        <v>0.7142857142857143</v>
      </c>
    </row>
    <row r="50" spans="1:13" hidden="1" x14ac:dyDescent="0.25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3" hidden="1" x14ac:dyDescent="0.25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</f>
        <v>0.7142857142857143</v>
      </c>
    </row>
    <row r="52" spans="1:13" hidden="1" x14ac:dyDescent="0.25">
      <c r="D52" s="11"/>
      <c r="E52" s="11"/>
      <c r="F52" s="11"/>
      <c r="G52" s="11"/>
      <c r="H52" s="3"/>
      <c r="I52" s="11"/>
      <c r="J52" s="11"/>
      <c r="K52" s="3"/>
      <c r="L52" s="11"/>
    </row>
    <row r="53" spans="1:13" hidden="1" x14ac:dyDescent="0.25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3" hidden="1" x14ac:dyDescent="0.25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3" hidden="1" x14ac:dyDescent="0.25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</f>
        <v>0.42857142857142855</v>
      </c>
    </row>
    <row r="56" spans="1:13" hidden="1" x14ac:dyDescent="0.25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3" hidden="1" x14ac:dyDescent="0.25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</f>
        <v>0.1</v>
      </c>
    </row>
    <row r="58" spans="1:13" hidden="1" x14ac:dyDescent="0.25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>
        <v>1500</v>
      </c>
      <c r="J58" s="11">
        <v>1500</v>
      </c>
      <c r="K58" s="3"/>
      <c r="L58" s="11">
        <v>1500</v>
      </c>
      <c r="M58" s="38">
        <f>+L58/J58</f>
        <v>1</v>
      </c>
    </row>
    <row r="59" spans="1:13" hidden="1" x14ac:dyDescent="0.25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</f>
        <v>1</v>
      </c>
    </row>
    <row r="60" spans="1:13" hidden="1" x14ac:dyDescent="0.25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3" hidden="1" x14ac:dyDescent="0.25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55500</v>
      </c>
      <c r="J61" s="11">
        <f>SUM(J55:J60)</f>
        <v>80000</v>
      </c>
      <c r="K61" s="3"/>
      <c r="L61" s="11">
        <f>SUM(L55:L60)</f>
        <v>55500</v>
      </c>
      <c r="M61" s="38">
        <f>+L61/J61</f>
        <v>0.69374999999999998</v>
      </c>
    </row>
    <row r="62" spans="1:13" hidden="1" x14ac:dyDescent="0.25">
      <c r="D62" s="11"/>
      <c r="E62" s="11"/>
      <c r="F62" s="11"/>
      <c r="G62" s="11"/>
      <c r="H62" s="3"/>
      <c r="I62" s="11"/>
      <c r="J62" s="11"/>
      <c r="K62" s="3"/>
      <c r="L62" s="11"/>
    </row>
    <row r="63" spans="1:13" hidden="1" x14ac:dyDescent="0.25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5771463.9800000004</v>
      </c>
      <c r="H63" s="3"/>
      <c r="I63" s="11" cm="1">
        <f t="array" ref="I63:I64">+I60:I61+I51+I46+I37+I28+I12</f>
        <v>5760005</v>
      </c>
      <c r="J63" s="11" cm="1">
        <f t="array" ref="J63:J64">+J60:J61+J51+J46+J37+J28+J12</f>
        <v>6178500</v>
      </c>
      <c r="K63" s="3"/>
      <c r="L63" s="11" cm="1">
        <f t="array" ref="L63:L64">+L60:L61+L51+L46+L37+L28+L12</f>
        <v>5739500</v>
      </c>
      <c r="M63" s="38">
        <f>+L63/J63</f>
        <v>0.92894715545844464</v>
      </c>
    </row>
    <row r="64" spans="1:13" hidden="1" x14ac:dyDescent="0.25">
      <c r="A64" s="27"/>
      <c r="B64" s="27"/>
      <c r="C64" s="26">
        <v>4276151</v>
      </c>
      <c r="D64" s="4">
        <v>6019921.370000001</v>
      </c>
      <c r="E64" s="4">
        <v>4860796.18</v>
      </c>
      <c r="F64" s="4">
        <v>5851407.4800000004</v>
      </c>
      <c r="G64" s="4">
        <v>5811859.7700000005</v>
      </c>
      <c r="H64" s="3"/>
      <c r="I64" s="4">
        <v>5815505</v>
      </c>
      <c r="J64" s="4">
        <v>6258500</v>
      </c>
      <c r="K64" s="3"/>
      <c r="L64" s="37">
        <v>5795000</v>
      </c>
    </row>
    <row r="65" spans="1:13" hidden="1" x14ac:dyDescent="0.25">
      <c r="A65" s="27"/>
      <c r="B65" s="27"/>
      <c r="C65" s="26"/>
      <c r="D65" s="11"/>
      <c r="E65" s="11"/>
      <c r="F65" s="11"/>
      <c r="G65" s="11"/>
      <c r="H65" s="3"/>
      <c r="I65" s="11"/>
      <c r="J65" s="11"/>
      <c r="K65" s="3"/>
      <c r="L65" s="11"/>
    </row>
    <row r="66" spans="1:13" x14ac:dyDescent="0.25">
      <c r="A66" s="9" t="s">
        <v>88</v>
      </c>
      <c r="B66" s="10" t="s">
        <v>89</v>
      </c>
      <c r="D66" s="11"/>
      <c r="E66" s="11"/>
      <c r="F66" s="11"/>
      <c r="G66" s="11"/>
      <c r="H66" s="3"/>
      <c r="I66" s="11"/>
      <c r="J66" s="11"/>
      <c r="K66" s="3"/>
      <c r="L66" s="11"/>
    </row>
    <row r="67" spans="1:13" x14ac:dyDescent="0.25">
      <c r="A67" s="12" t="s">
        <v>9</v>
      </c>
      <c r="B67" s="13" t="s">
        <v>10</v>
      </c>
      <c r="D67" s="11"/>
      <c r="E67" s="11"/>
      <c r="F67" s="11"/>
      <c r="G67" s="11"/>
      <c r="H67" s="3"/>
      <c r="I67" s="11"/>
      <c r="J67" s="11"/>
      <c r="K67" s="3"/>
      <c r="L67" s="11"/>
    </row>
    <row r="68" spans="1:13" x14ac:dyDescent="0.25">
      <c r="A68" s="14" t="s">
        <v>90</v>
      </c>
      <c r="B68" s="15" t="s">
        <v>91</v>
      </c>
      <c r="C68" s="16">
        <v>26237</v>
      </c>
      <c r="D68" s="11">
        <v>34249.040000000001</v>
      </c>
      <c r="E68" s="11">
        <v>36787.03</v>
      </c>
      <c r="F68" s="11">
        <v>65317.5</v>
      </c>
      <c r="G68" s="11">
        <v>180826.08</v>
      </c>
      <c r="H68" s="3"/>
      <c r="I68" s="11">
        <v>60000</v>
      </c>
      <c r="J68" s="11">
        <v>200000</v>
      </c>
      <c r="K68" s="3"/>
      <c r="L68" s="11">
        <v>200000</v>
      </c>
      <c r="M68" s="38">
        <f t="shared" ref="M68:M84" si="1">+L68/J68</f>
        <v>1</v>
      </c>
    </row>
    <row r="69" spans="1:13" x14ac:dyDescent="0.25">
      <c r="A69" s="14" t="s">
        <v>92</v>
      </c>
      <c r="B69" s="15" t="s">
        <v>93</v>
      </c>
      <c r="C69" s="16">
        <v>15987</v>
      </c>
      <c r="D69" s="11">
        <v>20126.57</v>
      </c>
      <c r="E69" s="11">
        <v>7018.92</v>
      </c>
      <c r="F69" s="11">
        <v>6942.57</v>
      </c>
      <c r="G69" s="11">
        <v>6245.62</v>
      </c>
      <c r="H69" s="3"/>
      <c r="I69" s="11">
        <f>+I6*0.01</f>
        <v>5000</v>
      </c>
      <c r="J69" s="11">
        <v>7000</v>
      </c>
      <c r="K69" s="3"/>
      <c r="L69" s="11">
        <f>0.01*L6</f>
        <v>4500</v>
      </c>
      <c r="M69" s="38">
        <f t="shared" si="1"/>
        <v>0.6428571428571429</v>
      </c>
    </row>
    <row r="70" spans="1:13" x14ac:dyDescent="0.25">
      <c r="A70" s="14" t="s">
        <v>94</v>
      </c>
      <c r="B70" s="15" t="s">
        <v>95</v>
      </c>
      <c r="C70" s="16">
        <v>373</v>
      </c>
      <c r="D70" s="11">
        <v>4546.7</v>
      </c>
      <c r="E70" s="11">
        <v>1736.1</v>
      </c>
      <c r="F70" s="11">
        <v>3225.47</v>
      </c>
      <c r="G70" s="11">
        <v>2965.18</v>
      </c>
      <c r="H70" s="3"/>
      <c r="I70" s="11">
        <v>3000</v>
      </c>
      <c r="J70" s="11">
        <v>3000</v>
      </c>
      <c r="K70" s="3"/>
      <c r="L70" s="11">
        <v>3000</v>
      </c>
      <c r="M70" s="38">
        <f t="shared" si="1"/>
        <v>1</v>
      </c>
    </row>
    <row r="71" spans="1:13" x14ac:dyDescent="0.25">
      <c r="A71" s="14" t="s">
        <v>96</v>
      </c>
      <c r="B71" s="15" t="s">
        <v>97</v>
      </c>
      <c r="C71" s="16">
        <v>6202</v>
      </c>
      <c r="D71" s="11">
        <v>2604.8200000000002</v>
      </c>
      <c r="E71" s="11">
        <v>3101.25</v>
      </c>
      <c r="F71" s="11">
        <v>232</v>
      </c>
      <c r="G71" s="11">
        <v>239</v>
      </c>
      <c r="H71" s="3"/>
      <c r="I71" s="11">
        <v>5000</v>
      </c>
      <c r="J71" s="11">
        <v>500</v>
      </c>
      <c r="K71" s="3"/>
      <c r="L71" s="11">
        <v>5000</v>
      </c>
      <c r="M71" s="38">
        <f t="shared" si="1"/>
        <v>10</v>
      </c>
    </row>
    <row r="72" spans="1:13" x14ac:dyDescent="0.25">
      <c r="A72" s="14" t="s">
        <v>98</v>
      </c>
      <c r="B72" s="15" t="s">
        <v>62</v>
      </c>
      <c r="C72" s="16">
        <v>0</v>
      </c>
      <c r="D72" s="11">
        <v>5600</v>
      </c>
      <c r="E72" s="11">
        <v>5474.97</v>
      </c>
      <c r="F72" s="11">
        <v>11265</v>
      </c>
      <c r="G72" s="11">
        <v>11700</v>
      </c>
      <c r="H72" s="3"/>
      <c r="I72" s="11">
        <v>5000</v>
      </c>
      <c r="J72" s="11">
        <v>12000</v>
      </c>
      <c r="K72" s="3"/>
      <c r="L72" s="11">
        <v>5000</v>
      </c>
      <c r="M72" s="38">
        <f t="shared" si="1"/>
        <v>0.41666666666666669</v>
      </c>
    </row>
    <row r="73" spans="1:13" x14ac:dyDescent="0.25">
      <c r="A73" s="14" t="s">
        <v>99</v>
      </c>
      <c r="B73" s="15" t="s">
        <v>100</v>
      </c>
      <c r="C73" s="16">
        <v>3410</v>
      </c>
      <c r="D73" s="11">
        <v>1195</v>
      </c>
      <c r="E73" s="11">
        <v>8127.02</v>
      </c>
      <c r="F73" s="11">
        <v>6156</v>
      </c>
      <c r="G73" s="11">
        <v>8940</v>
      </c>
      <c r="H73" s="3"/>
      <c r="I73" s="11">
        <v>5000</v>
      </c>
      <c r="J73" s="11">
        <v>10000</v>
      </c>
      <c r="K73" s="3"/>
      <c r="L73" s="11">
        <v>5000</v>
      </c>
      <c r="M73" s="38">
        <f t="shared" si="1"/>
        <v>0.5</v>
      </c>
    </row>
    <row r="74" spans="1:13" x14ac:dyDescent="0.25">
      <c r="A74" s="14" t="s">
        <v>101</v>
      </c>
      <c r="B74" s="15" t="s">
        <v>102</v>
      </c>
      <c r="C74" s="16">
        <f>57845+2373</f>
        <v>60218</v>
      </c>
      <c r="D74" s="11">
        <v>56921.25</v>
      </c>
      <c r="E74" s="11">
        <v>37022.5</v>
      </c>
      <c r="F74" s="11">
        <v>81058.55</v>
      </c>
      <c r="G74" s="11">
        <v>70914.41</v>
      </c>
      <c r="H74" s="3"/>
      <c r="I74" s="11">
        <v>100000</v>
      </c>
      <c r="J74" s="11">
        <v>100000</v>
      </c>
      <c r="K74" s="3"/>
      <c r="L74" s="11">
        <v>100000</v>
      </c>
      <c r="M74" s="38">
        <f t="shared" si="1"/>
        <v>1</v>
      </c>
    </row>
    <row r="75" spans="1:13" x14ac:dyDescent="0.25">
      <c r="A75" s="14" t="s">
        <v>103</v>
      </c>
      <c r="B75" s="15" t="s">
        <v>104</v>
      </c>
      <c r="C75" s="16">
        <v>21000</v>
      </c>
      <c r="D75" s="11">
        <v>24500</v>
      </c>
      <c r="E75" s="11">
        <v>31990</v>
      </c>
      <c r="F75" s="11">
        <v>55595</v>
      </c>
      <c r="G75" s="11">
        <v>67393</v>
      </c>
      <c r="H75" s="3"/>
      <c r="I75" s="11">
        <v>60000</v>
      </c>
      <c r="J75" s="11">
        <v>68000</v>
      </c>
      <c r="K75" s="3"/>
      <c r="L75" s="11">
        <v>65000</v>
      </c>
      <c r="M75" s="38">
        <f t="shared" si="1"/>
        <v>0.95588235294117652</v>
      </c>
    </row>
    <row r="76" spans="1:13" x14ac:dyDescent="0.25">
      <c r="A76" s="14" t="s">
        <v>105</v>
      </c>
      <c r="B76" s="15" t="s">
        <v>106</v>
      </c>
      <c r="C76" s="16">
        <v>0</v>
      </c>
      <c r="D76" s="11">
        <v>0</v>
      </c>
      <c r="E76" s="11">
        <v>0</v>
      </c>
      <c r="F76" s="11">
        <v>0</v>
      </c>
      <c r="G76" s="11">
        <v>0</v>
      </c>
      <c r="H76" s="3"/>
      <c r="I76" s="11">
        <v>2000</v>
      </c>
      <c r="J76" s="11">
        <v>2000</v>
      </c>
      <c r="K76" s="3"/>
      <c r="L76" s="11">
        <v>0</v>
      </c>
      <c r="M76" s="38">
        <f t="shared" si="1"/>
        <v>0</v>
      </c>
    </row>
    <row r="77" spans="1:13" x14ac:dyDescent="0.25">
      <c r="A77" s="14" t="s">
        <v>107</v>
      </c>
      <c r="B77" s="15" t="s">
        <v>108</v>
      </c>
      <c r="C77" s="16">
        <v>970</v>
      </c>
      <c r="D77" s="11">
        <v>280</v>
      </c>
      <c r="E77" s="11">
        <v>14559.11</v>
      </c>
      <c r="F77" s="11">
        <v>8440.1</v>
      </c>
      <c r="G77" s="11">
        <v>3170</v>
      </c>
      <c r="H77" s="3"/>
      <c r="I77" s="11">
        <v>3000</v>
      </c>
      <c r="J77" s="11">
        <v>3000</v>
      </c>
      <c r="K77" s="3"/>
      <c r="L77" s="11">
        <v>3000</v>
      </c>
      <c r="M77" s="38">
        <f t="shared" si="1"/>
        <v>1</v>
      </c>
    </row>
    <row r="78" spans="1:13" x14ac:dyDescent="0.25">
      <c r="A78" s="14" t="s">
        <v>109</v>
      </c>
      <c r="B78" s="15" t="s">
        <v>110</v>
      </c>
      <c r="C78" s="16">
        <v>79966</v>
      </c>
      <c r="D78" s="11">
        <v>105164.45</v>
      </c>
      <c r="E78" s="11">
        <v>88000.18</v>
      </c>
      <c r="F78" s="11">
        <v>134525.44</v>
      </c>
      <c r="G78" s="11">
        <v>60944.78</v>
      </c>
      <c r="H78" s="3"/>
      <c r="I78" s="11">
        <v>85000</v>
      </c>
      <c r="J78" s="11">
        <v>85000</v>
      </c>
      <c r="K78" s="3"/>
      <c r="L78" s="11">
        <v>85000</v>
      </c>
      <c r="M78" s="38">
        <f t="shared" si="1"/>
        <v>1</v>
      </c>
    </row>
    <row r="79" spans="1:13" x14ac:dyDescent="0.25">
      <c r="A79" s="14">
        <v>6010950</v>
      </c>
      <c r="B79" s="15" t="s">
        <v>111</v>
      </c>
      <c r="C79" s="16">
        <v>0</v>
      </c>
      <c r="D79" s="11"/>
      <c r="E79" s="11"/>
      <c r="F79" s="11">
        <v>12656.25</v>
      </c>
      <c r="G79" s="11">
        <v>18002.84</v>
      </c>
      <c r="H79" s="3"/>
      <c r="I79" s="11">
        <v>50000</v>
      </c>
      <c r="J79" s="11">
        <v>25000</v>
      </c>
      <c r="K79" s="3"/>
      <c r="L79" s="11">
        <v>5000</v>
      </c>
      <c r="M79" s="38">
        <f t="shared" si="1"/>
        <v>0.2</v>
      </c>
    </row>
    <row r="80" spans="1:13" x14ac:dyDescent="0.25">
      <c r="A80" s="14" t="s">
        <v>112</v>
      </c>
      <c r="B80" s="15" t="s">
        <v>113</v>
      </c>
      <c r="C80" s="16">
        <v>8750</v>
      </c>
      <c r="D80" s="11">
        <v>10250</v>
      </c>
      <c r="E80" s="11">
        <v>10200</v>
      </c>
      <c r="F80" s="11">
        <v>10650</v>
      </c>
      <c r="G80" s="11">
        <v>6400</v>
      </c>
      <c r="H80" s="3"/>
      <c r="I80" s="11">
        <v>15000</v>
      </c>
      <c r="J80" s="11">
        <v>15000</v>
      </c>
      <c r="K80" s="3"/>
      <c r="L80" s="11">
        <v>20000</v>
      </c>
      <c r="M80" s="38">
        <f t="shared" si="1"/>
        <v>1.3333333333333333</v>
      </c>
    </row>
    <row r="81" spans="1:13" x14ac:dyDescent="0.25">
      <c r="A81" s="14" t="s">
        <v>114</v>
      </c>
      <c r="B81" s="15" t="s">
        <v>115</v>
      </c>
      <c r="C81" s="16">
        <v>0</v>
      </c>
      <c r="D81" s="11">
        <v>27958.95</v>
      </c>
      <c r="E81" s="11">
        <v>6961.88</v>
      </c>
      <c r="F81" s="11">
        <v>26351.88</v>
      </c>
      <c r="G81" s="11">
        <v>10292.4</v>
      </c>
      <c r="H81" s="3"/>
      <c r="I81" s="11">
        <v>9000</v>
      </c>
      <c r="J81" s="11">
        <v>13000</v>
      </c>
      <c r="K81" s="3"/>
      <c r="L81" s="11">
        <v>15000</v>
      </c>
      <c r="M81" s="38">
        <f t="shared" si="1"/>
        <v>1.1538461538461537</v>
      </c>
    </row>
    <row r="82" spans="1:13" x14ac:dyDescent="0.25">
      <c r="A82" s="14" t="s">
        <v>116</v>
      </c>
      <c r="B82" s="15" t="s">
        <v>117</v>
      </c>
      <c r="C82" s="16">
        <v>5788</v>
      </c>
      <c r="D82" s="11">
        <v>4300</v>
      </c>
      <c r="E82" s="11">
        <v>4869</v>
      </c>
      <c r="F82" s="11">
        <v>4340</v>
      </c>
      <c r="G82" s="11">
        <v>2125</v>
      </c>
      <c r="H82" s="3"/>
      <c r="I82" s="11">
        <v>6500</v>
      </c>
      <c r="J82" s="11">
        <v>6500</v>
      </c>
      <c r="K82" s="3"/>
      <c r="L82" s="11">
        <v>5000</v>
      </c>
      <c r="M82" s="38">
        <f t="shared" si="1"/>
        <v>0.76923076923076927</v>
      </c>
    </row>
    <row r="83" spans="1:13" x14ac:dyDescent="0.25">
      <c r="A83" s="14" t="s">
        <v>118</v>
      </c>
      <c r="B83" s="15" t="s">
        <v>119</v>
      </c>
      <c r="C83" s="16">
        <v>18709</v>
      </c>
      <c r="D83" s="11">
        <v>13876.48</v>
      </c>
      <c r="E83" s="11">
        <v>18187.78</v>
      </c>
      <c r="F83" s="11">
        <v>15407.18</v>
      </c>
      <c r="G83" s="11">
        <v>110.43</v>
      </c>
      <c r="H83" s="3"/>
      <c r="I83" s="11">
        <v>7500</v>
      </c>
      <c r="J83" s="11">
        <v>7500</v>
      </c>
      <c r="K83" s="3"/>
      <c r="L83" s="11">
        <v>7500</v>
      </c>
      <c r="M83" s="38">
        <f t="shared" si="1"/>
        <v>1</v>
      </c>
    </row>
    <row r="84" spans="1:13" x14ac:dyDescent="0.25">
      <c r="A84" s="14" t="s">
        <v>120</v>
      </c>
      <c r="B84" s="15" t="s">
        <v>121</v>
      </c>
      <c r="C84" s="16">
        <v>61378</v>
      </c>
      <c r="D84" s="11">
        <v>40060.879999999997</v>
      </c>
      <c r="E84" s="11">
        <v>1266.28</v>
      </c>
      <c r="F84" s="11">
        <v>36224.44</v>
      </c>
      <c r="G84" s="11">
        <v>14761.21</v>
      </c>
      <c r="H84" s="3"/>
      <c r="I84" s="11">
        <v>35000</v>
      </c>
      <c r="J84" s="11">
        <v>35000</v>
      </c>
      <c r="K84" s="3"/>
      <c r="L84" s="11">
        <v>20000</v>
      </c>
      <c r="M84" s="38">
        <f t="shared" si="1"/>
        <v>0.5714285714285714</v>
      </c>
    </row>
    <row r="85" spans="1:13" x14ac:dyDescent="0.25">
      <c r="A85" s="14"/>
      <c r="B85" s="15"/>
      <c r="C85" s="16"/>
      <c r="D85" s="11"/>
      <c r="E85" s="11"/>
      <c r="F85" s="11"/>
      <c r="G85" s="11"/>
      <c r="H85" s="3"/>
      <c r="I85" s="11"/>
      <c r="J85" s="11"/>
      <c r="K85" s="3"/>
      <c r="L85" s="11"/>
    </row>
    <row r="86" spans="1:13" x14ac:dyDescent="0.25">
      <c r="A86" s="29"/>
      <c r="B86" s="30" t="s">
        <v>122</v>
      </c>
      <c r="C86" s="16">
        <f>SUM(C68:C84)</f>
        <v>308988</v>
      </c>
      <c r="D86" s="11">
        <f>SUM(D68:D84)</f>
        <v>351634.14</v>
      </c>
      <c r="E86" s="11">
        <f>SUM(E68:E84)</f>
        <v>275302.02</v>
      </c>
      <c r="F86" s="11">
        <f>SUM(F68:F84)</f>
        <v>478387.38</v>
      </c>
      <c r="G86" s="11">
        <f>SUM(G68:G84)</f>
        <v>465029.95</v>
      </c>
      <c r="H86" s="3"/>
      <c r="I86" s="11">
        <f>SUM(I68:I84)</f>
        <v>456000</v>
      </c>
      <c r="J86" s="11">
        <f>SUM(J68:J84)</f>
        <v>592500</v>
      </c>
      <c r="K86" s="3"/>
      <c r="L86" s="11">
        <f>SUM(L68:L84)</f>
        <v>548000</v>
      </c>
      <c r="M86" s="38">
        <f>+L86/J86</f>
        <v>0.9248945147679325</v>
      </c>
    </row>
    <row r="87" spans="1:13" x14ac:dyDescent="0.25">
      <c r="A87" s="29"/>
      <c r="B87" s="30"/>
      <c r="C87" s="16"/>
      <c r="D87" s="11"/>
      <c r="E87" s="11"/>
      <c r="F87" s="11"/>
      <c r="G87" s="11"/>
      <c r="H87" s="3"/>
      <c r="I87" s="11"/>
      <c r="J87" s="11"/>
      <c r="K87" s="3"/>
      <c r="L87" s="11"/>
    </row>
    <row r="88" spans="1:13" x14ac:dyDescent="0.25">
      <c r="A88" s="14" t="s">
        <v>123</v>
      </c>
      <c r="B88" s="15" t="s">
        <v>124</v>
      </c>
      <c r="C88" s="16">
        <v>238952</v>
      </c>
      <c r="D88" s="11">
        <v>299344.71999999997</v>
      </c>
      <c r="E88" s="11">
        <v>296161.17</v>
      </c>
      <c r="F88" s="11">
        <v>348848.89</v>
      </c>
      <c r="G88" s="11">
        <v>211577.23</v>
      </c>
      <c r="H88" s="3"/>
      <c r="I88" s="11">
        <v>381989</v>
      </c>
      <c r="J88" s="11">
        <v>381989</v>
      </c>
      <c r="K88" s="3"/>
      <c r="L88" s="11">
        <f>+'[1]Non-Union - 3.5%'!$I$13+'[1]Non-Union - 3.5%'!$V$13</f>
        <v>400796.10425099998</v>
      </c>
      <c r="M88" s="38">
        <f t="shared" ref="M88:M108" si="2">+L88/J88</f>
        <v>1.0492346749539907</v>
      </c>
    </row>
    <row r="89" spans="1:13" x14ac:dyDescent="0.25">
      <c r="A89" s="14" t="s">
        <v>125</v>
      </c>
      <c r="B89" s="15" t="s">
        <v>126</v>
      </c>
      <c r="C89" s="16">
        <v>19656</v>
      </c>
      <c r="D89" s="11">
        <v>24665.38</v>
      </c>
      <c r="E89" s="11">
        <v>23771.06</v>
      </c>
      <c r="F89" s="11">
        <v>25648.01</v>
      </c>
      <c r="G89" s="11">
        <v>18946.3</v>
      </c>
      <c r="H89" s="3"/>
      <c r="I89" s="11">
        <v>30559</v>
      </c>
      <c r="J89" s="11">
        <v>30559</v>
      </c>
      <c r="K89" s="3"/>
      <c r="L89" s="11">
        <f>+'[1]Non-Union - 3.5%'!$P$13+'[1]Non-Union - 3.5%'!$Z$13</f>
        <v>32063.68834008</v>
      </c>
      <c r="M89" s="38">
        <f t="shared" si="2"/>
        <v>1.0492387951202591</v>
      </c>
    </row>
    <row r="90" spans="1:13" x14ac:dyDescent="0.25">
      <c r="A90" s="14" t="s">
        <v>127</v>
      </c>
      <c r="B90" s="15" t="s">
        <v>128</v>
      </c>
      <c r="C90" s="16">
        <v>45927</v>
      </c>
      <c r="D90" s="11">
        <v>58698.76</v>
      </c>
      <c r="E90" s="11">
        <v>67570.789999999994</v>
      </c>
      <c r="F90" s="11">
        <v>64434.796000000002</v>
      </c>
      <c r="G90" s="11">
        <v>51089.38</v>
      </c>
      <c r="H90" s="3"/>
      <c r="I90" s="11">
        <f>67402+3616+1226+136</f>
        <v>72380</v>
      </c>
      <c r="J90" s="11">
        <v>72380</v>
      </c>
      <c r="K90" s="3"/>
      <c r="L90" s="11">
        <f>+SUM('[1]Non-Union - 3.5%'!$K$13:$M$13)</f>
        <v>85547.279999999984</v>
      </c>
      <c r="M90" s="38">
        <f t="shared" si="2"/>
        <v>1.1819187620889746</v>
      </c>
    </row>
    <row r="91" spans="1:13" x14ac:dyDescent="0.25">
      <c r="A91" s="14" t="s">
        <v>129</v>
      </c>
      <c r="B91" s="15" t="s">
        <v>130</v>
      </c>
      <c r="C91" s="16">
        <v>4516</v>
      </c>
      <c r="D91" s="11">
        <v>3310.13</v>
      </c>
      <c r="E91" s="11">
        <v>783.71</v>
      </c>
      <c r="F91" s="11">
        <v>3864.75</v>
      </c>
      <c r="G91" s="11">
        <v>2659.38</v>
      </c>
      <c r="H91" s="3"/>
      <c r="I91" s="11">
        <v>4112</v>
      </c>
      <c r="J91" s="11">
        <v>4112</v>
      </c>
      <c r="K91" s="3"/>
      <c r="L91" s="11">
        <f>+'[1]Non-Union - 3.5%'!$O$13+'[1]Non-Union - 3.5%'!$X$13</f>
        <v>4321.0660252799998</v>
      </c>
      <c r="M91" s="38">
        <f t="shared" si="2"/>
        <v>1.0508429049805448</v>
      </c>
    </row>
    <row r="92" spans="1:13" x14ac:dyDescent="0.25">
      <c r="A92" s="14" t="s">
        <v>131</v>
      </c>
      <c r="B92" s="15" t="s">
        <v>132</v>
      </c>
      <c r="C92" s="16">
        <v>2521</v>
      </c>
      <c r="D92" s="11">
        <v>2307.63</v>
      </c>
      <c r="E92" s="11">
        <v>3053.15</v>
      </c>
      <c r="F92" s="11">
        <v>3349.54</v>
      </c>
      <c r="G92" s="11">
        <v>6215.25</v>
      </c>
      <c r="H92" s="3"/>
      <c r="I92" s="11">
        <v>496</v>
      </c>
      <c r="J92" s="11">
        <v>496</v>
      </c>
      <c r="K92" s="3"/>
      <c r="L92" s="11">
        <f>+'[1]Non-Union - 3.5%'!$Y$13+'[1]Non-Union - 3.5%'!$R$13</f>
        <v>522.03493552630005</v>
      </c>
      <c r="M92" s="38">
        <f t="shared" si="2"/>
        <v>1.0524897893675405</v>
      </c>
    </row>
    <row r="93" spans="1:13" x14ac:dyDescent="0.25">
      <c r="A93" s="14" t="s">
        <v>133</v>
      </c>
      <c r="B93" s="15" t="s">
        <v>134</v>
      </c>
      <c r="C93" s="16">
        <v>0</v>
      </c>
      <c r="D93" s="11">
        <v>11442.46</v>
      </c>
      <c r="E93" s="11">
        <v>4424.22</v>
      </c>
      <c r="F93" s="11">
        <v>3650.56</v>
      </c>
      <c r="G93" s="11">
        <v>3376.96</v>
      </c>
      <c r="H93" s="3"/>
      <c r="I93" s="11">
        <v>5000</v>
      </c>
      <c r="J93" s="11">
        <v>5000</v>
      </c>
      <c r="K93" s="3"/>
      <c r="L93" s="11">
        <v>5000</v>
      </c>
      <c r="M93" s="38">
        <f t="shared" si="2"/>
        <v>1</v>
      </c>
    </row>
    <row r="94" spans="1:13" x14ac:dyDescent="0.25">
      <c r="A94" s="14" t="s">
        <v>135</v>
      </c>
      <c r="B94" s="15" t="s">
        <v>136</v>
      </c>
      <c r="C94" s="16">
        <v>0</v>
      </c>
      <c r="D94" s="11">
        <v>1059.43</v>
      </c>
      <c r="E94" s="11">
        <v>550.42999999999995</v>
      </c>
      <c r="F94" s="11">
        <v>323.07</v>
      </c>
      <c r="G94" s="11">
        <v>293.18</v>
      </c>
      <c r="H94" s="3"/>
      <c r="I94" s="11">
        <v>450</v>
      </c>
      <c r="J94" s="11">
        <v>450</v>
      </c>
      <c r="K94" s="3"/>
      <c r="L94" s="11">
        <v>450</v>
      </c>
      <c r="M94" s="38">
        <f t="shared" si="2"/>
        <v>1</v>
      </c>
    </row>
    <row r="95" spans="1:13" x14ac:dyDescent="0.25">
      <c r="A95" s="14" t="s">
        <v>137</v>
      </c>
      <c r="B95" s="15" t="s">
        <v>138</v>
      </c>
      <c r="C95" s="16">
        <v>12</v>
      </c>
      <c r="D95" s="11">
        <v>19.940000000000001</v>
      </c>
      <c r="E95" s="11">
        <v>117.15</v>
      </c>
      <c r="F95" s="11">
        <v>650.58000000000004</v>
      </c>
      <c r="G95" s="11">
        <v>-239.21</v>
      </c>
      <c r="H95" s="3"/>
      <c r="I95" s="11">
        <v>15</v>
      </c>
      <c r="J95" s="11">
        <v>15</v>
      </c>
      <c r="K95" s="3"/>
      <c r="L95" s="11">
        <v>15</v>
      </c>
      <c r="M95" s="38">
        <f t="shared" si="2"/>
        <v>1</v>
      </c>
    </row>
    <row r="96" spans="1:13" x14ac:dyDescent="0.25">
      <c r="A96" s="14" t="s">
        <v>139</v>
      </c>
      <c r="B96" s="15" t="s">
        <v>140</v>
      </c>
      <c r="C96" s="16">
        <v>15361</v>
      </c>
      <c r="D96" s="11">
        <v>19630.669999999998</v>
      </c>
      <c r="E96" s="11">
        <v>17868.97</v>
      </c>
      <c r="F96" s="11">
        <v>22859.69</v>
      </c>
      <c r="G96" s="11">
        <v>21956.58</v>
      </c>
      <c r="H96" s="3"/>
      <c r="I96" s="11">
        <v>30000</v>
      </c>
      <c r="J96" s="11">
        <v>30000</v>
      </c>
      <c r="K96" s="3"/>
      <c r="L96" s="11">
        <v>30000</v>
      </c>
      <c r="M96" s="38">
        <f t="shared" si="2"/>
        <v>1</v>
      </c>
    </row>
    <row r="97" spans="1:13" x14ac:dyDescent="0.25">
      <c r="A97" s="14" t="s">
        <v>141</v>
      </c>
      <c r="B97" s="15" t="s">
        <v>142</v>
      </c>
      <c r="C97" s="16">
        <v>2450</v>
      </c>
      <c r="D97" s="11">
        <v>2907.5</v>
      </c>
      <c r="E97" s="11">
        <v>2185</v>
      </c>
      <c r="F97" s="11">
        <v>3020</v>
      </c>
      <c r="G97" s="11">
        <v>3274</v>
      </c>
      <c r="H97" s="3"/>
      <c r="I97" s="11">
        <v>2900</v>
      </c>
      <c r="J97" s="11">
        <v>6000</v>
      </c>
      <c r="K97" s="3"/>
      <c r="L97" s="11">
        <v>9500</v>
      </c>
      <c r="M97" s="38">
        <f t="shared" si="2"/>
        <v>1.5833333333333333</v>
      </c>
    </row>
    <row r="98" spans="1:13" x14ac:dyDescent="0.25">
      <c r="A98" s="14" t="s">
        <v>143</v>
      </c>
      <c r="B98" s="15" t="s">
        <v>144</v>
      </c>
      <c r="C98" s="16">
        <v>212</v>
      </c>
      <c r="D98" s="11">
        <v>427.5</v>
      </c>
      <c r="E98" s="11">
        <v>432</v>
      </c>
      <c r="F98" s="11">
        <v>438</v>
      </c>
      <c r="G98" s="11">
        <v>441</v>
      </c>
      <c r="H98" s="3"/>
      <c r="I98" s="11">
        <v>500</v>
      </c>
      <c r="J98" s="11">
        <v>500</v>
      </c>
      <c r="K98" s="3"/>
      <c r="L98" s="11">
        <v>500</v>
      </c>
      <c r="M98" s="38">
        <f t="shared" si="2"/>
        <v>1</v>
      </c>
    </row>
    <row r="99" spans="1:13" x14ac:dyDescent="0.25">
      <c r="A99" s="14" t="s">
        <v>145</v>
      </c>
      <c r="B99" s="15" t="s">
        <v>146</v>
      </c>
      <c r="C99" s="16">
        <v>4463</v>
      </c>
      <c r="D99" s="11">
        <v>1800.73</v>
      </c>
      <c r="E99" s="11">
        <v>547.07000000000005</v>
      </c>
      <c r="F99" s="11">
        <v>8821.2900000000009</v>
      </c>
      <c r="G99" s="11">
        <v>3991.24</v>
      </c>
      <c r="H99" s="3"/>
      <c r="I99" s="11">
        <v>2500</v>
      </c>
      <c r="J99" s="11">
        <v>2500</v>
      </c>
      <c r="K99" s="3"/>
      <c r="L99" s="11">
        <v>4000</v>
      </c>
      <c r="M99" s="38">
        <f t="shared" si="2"/>
        <v>1.6</v>
      </c>
    </row>
    <row r="100" spans="1:13" x14ac:dyDescent="0.25">
      <c r="A100" s="14" t="s">
        <v>147</v>
      </c>
      <c r="B100" s="15" t="s">
        <v>148</v>
      </c>
      <c r="C100" s="16">
        <v>800</v>
      </c>
      <c r="D100" s="11">
        <v>5400</v>
      </c>
      <c r="E100" s="11">
        <v>4649.26</v>
      </c>
      <c r="F100" s="11">
        <f>27.75+5712.29</f>
        <v>5740.04</v>
      </c>
      <c r="G100" s="11">
        <v>3693.08</v>
      </c>
      <c r="H100" s="3"/>
      <c r="I100" s="11">
        <v>7000</v>
      </c>
      <c r="J100" s="11">
        <v>7000</v>
      </c>
      <c r="K100" s="3"/>
      <c r="L100" s="11">
        <v>7000</v>
      </c>
      <c r="M100" s="38">
        <f t="shared" si="2"/>
        <v>1</v>
      </c>
    </row>
    <row r="101" spans="1:13" x14ac:dyDescent="0.25">
      <c r="A101" s="14" t="s">
        <v>149</v>
      </c>
      <c r="B101" s="15" t="s">
        <v>150</v>
      </c>
      <c r="C101" s="16">
        <v>6393</v>
      </c>
      <c r="D101" s="11">
        <v>13331.78</v>
      </c>
      <c r="E101" s="11">
        <v>6194.78</v>
      </c>
      <c r="F101" s="11">
        <v>10546.53</v>
      </c>
      <c r="G101" s="11">
        <v>8908.3700000000008</v>
      </c>
      <c r="H101" s="3"/>
      <c r="I101" s="11">
        <v>12000</v>
      </c>
      <c r="J101" s="11">
        <v>12000</v>
      </c>
      <c r="K101" s="3"/>
      <c r="L101" s="11">
        <v>10000</v>
      </c>
      <c r="M101" s="38">
        <f t="shared" si="2"/>
        <v>0.83333333333333337</v>
      </c>
    </row>
    <row r="102" spans="1:13" x14ac:dyDescent="0.25">
      <c r="A102" s="14" t="s">
        <v>151</v>
      </c>
      <c r="B102" s="15" t="s">
        <v>152</v>
      </c>
      <c r="C102" s="16">
        <v>123595</v>
      </c>
      <c r="D102" s="11">
        <v>77893.25</v>
      </c>
      <c r="E102" s="11">
        <v>111072.12</v>
      </c>
      <c r="F102" s="11">
        <v>67595.73</v>
      </c>
      <c r="G102" s="11">
        <v>35353.14</v>
      </c>
      <c r="H102" s="3"/>
      <c r="I102" s="11">
        <v>75000</v>
      </c>
      <c r="J102" s="11">
        <v>75000</v>
      </c>
      <c r="K102" s="3"/>
      <c r="L102" s="11">
        <v>55000</v>
      </c>
      <c r="M102" s="38">
        <f t="shared" si="2"/>
        <v>0.73333333333333328</v>
      </c>
    </row>
    <row r="103" spans="1:13" x14ac:dyDescent="0.25">
      <c r="A103" s="14" t="s">
        <v>153</v>
      </c>
      <c r="B103" s="15" t="s">
        <v>154</v>
      </c>
      <c r="C103" s="16">
        <v>69989</v>
      </c>
      <c r="D103" s="11">
        <v>67934.31</v>
      </c>
      <c r="E103" s="11">
        <v>54600.33</v>
      </c>
      <c r="F103" s="11">
        <v>64303.13</v>
      </c>
      <c r="G103" s="11">
        <v>45856.43</v>
      </c>
      <c r="H103" s="3"/>
      <c r="I103" s="11">
        <v>70000</v>
      </c>
      <c r="J103" s="11">
        <v>70000</v>
      </c>
      <c r="K103" s="3"/>
      <c r="L103" s="11">
        <v>70000</v>
      </c>
      <c r="M103" s="38">
        <f t="shared" si="2"/>
        <v>1</v>
      </c>
    </row>
    <row r="104" spans="1:13" x14ac:dyDescent="0.25">
      <c r="A104" s="14" t="s">
        <v>155</v>
      </c>
      <c r="B104" s="15" t="s">
        <v>156</v>
      </c>
      <c r="C104" s="16">
        <v>273</v>
      </c>
      <c r="D104" s="11">
        <v>1021.46</v>
      </c>
      <c r="E104" s="11">
        <v>1050</v>
      </c>
      <c r="F104" s="11">
        <v>847.7</v>
      </c>
      <c r="G104" s="11">
        <v>2742</v>
      </c>
      <c r="H104" s="3"/>
      <c r="I104" s="11">
        <v>2500</v>
      </c>
      <c r="J104" s="11">
        <v>2500</v>
      </c>
      <c r="K104" s="3"/>
      <c r="L104" s="11">
        <v>1500</v>
      </c>
      <c r="M104" s="38">
        <f t="shared" si="2"/>
        <v>0.6</v>
      </c>
    </row>
    <row r="105" spans="1:13" x14ac:dyDescent="0.25">
      <c r="A105" s="14" t="s">
        <v>157</v>
      </c>
      <c r="B105" s="15" t="s">
        <v>158</v>
      </c>
      <c r="C105" s="16">
        <v>1090</v>
      </c>
      <c r="D105" s="11">
        <v>4187.83</v>
      </c>
      <c r="E105" s="11">
        <v>10491.92</v>
      </c>
      <c r="F105" s="11">
        <v>6520.29</v>
      </c>
      <c r="G105" s="11">
        <v>3149.6</v>
      </c>
      <c r="H105" s="3"/>
      <c r="I105" s="11">
        <v>7500</v>
      </c>
      <c r="J105" s="11">
        <v>7500</v>
      </c>
      <c r="K105" s="3"/>
      <c r="L105" s="11">
        <v>7500</v>
      </c>
      <c r="M105" s="38">
        <f t="shared" si="2"/>
        <v>1</v>
      </c>
    </row>
    <row r="106" spans="1:13" x14ac:dyDescent="0.25">
      <c r="A106" s="14" t="s">
        <v>159</v>
      </c>
      <c r="B106" s="15" t="s">
        <v>160</v>
      </c>
      <c r="C106" s="16">
        <v>13862</v>
      </c>
      <c r="D106" s="11">
        <v>15086.37</v>
      </c>
      <c r="E106" s="11">
        <v>14827.27</v>
      </c>
      <c r="F106" s="11">
        <v>14232.8</v>
      </c>
      <c r="G106" s="11">
        <v>9257</v>
      </c>
      <c r="H106" s="3"/>
      <c r="I106" s="11">
        <v>10000</v>
      </c>
      <c r="J106" s="11">
        <v>10000</v>
      </c>
      <c r="K106" s="3"/>
      <c r="L106" s="11">
        <v>10000</v>
      </c>
      <c r="M106" s="38">
        <f t="shared" si="2"/>
        <v>1</v>
      </c>
    </row>
    <row r="107" spans="1:13" x14ac:dyDescent="0.25">
      <c r="A107" s="14" t="s">
        <v>161</v>
      </c>
      <c r="B107" s="15" t="s">
        <v>162</v>
      </c>
      <c r="C107" s="16">
        <v>6413</v>
      </c>
      <c r="D107" s="11">
        <v>4831.68</v>
      </c>
      <c r="E107" s="11">
        <v>987.24</v>
      </c>
      <c r="F107" s="11">
        <v>1546</v>
      </c>
      <c r="G107" s="11">
        <v>0</v>
      </c>
      <c r="H107" s="3"/>
      <c r="I107" s="11">
        <v>2000</v>
      </c>
      <c r="J107" s="11">
        <v>2000</v>
      </c>
      <c r="K107" s="3"/>
      <c r="L107" s="11">
        <v>0</v>
      </c>
      <c r="M107" s="38">
        <f t="shared" si="2"/>
        <v>0</v>
      </c>
    </row>
    <row r="108" spans="1:13" x14ac:dyDescent="0.25">
      <c r="A108" s="14" t="s">
        <v>163</v>
      </c>
      <c r="B108" s="15" t="s">
        <v>80</v>
      </c>
      <c r="C108" s="16">
        <v>2119</v>
      </c>
      <c r="D108" s="11">
        <v>5919.82</v>
      </c>
      <c r="E108" s="11">
        <v>4906.71</v>
      </c>
      <c r="F108" s="11">
        <v>3419.16</v>
      </c>
      <c r="G108" s="11">
        <v>1490.69</v>
      </c>
      <c r="H108" s="3"/>
      <c r="I108" s="11">
        <v>5000</v>
      </c>
      <c r="J108" s="11">
        <v>5000</v>
      </c>
      <c r="K108" s="3"/>
      <c r="L108" s="11">
        <v>5000</v>
      </c>
      <c r="M108" s="38">
        <f t="shared" si="2"/>
        <v>1</v>
      </c>
    </row>
    <row r="109" spans="1:13" x14ac:dyDescent="0.25">
      <c r="A109" s="14">
        <v>6021800</v>
      </c>
      <c r="B109" s="15" t="s">
        <v>164</v>
      </c>
      <c r="C109" s="16"/>
      <c r="D109" s="11"/>
      <c r="E109" s="11"/>
      <c r="F109" s="11">
        <v>187.03</v>
      </c>
      <c r="G109" s="11"/>
      <c r="H109" s="3"/>
      <c r="I109" s="11"/>
      <c r="J109" s="11"/>
      <c r="K109" s="3"/>
      <c r="L109" s="11"/>
    </row>
    <row r="110" spans="1:13" x14ac:dyDescent="0.25">
      <c r="A110" s="14"/>
      <c r="B110" s="15"/>
      <c r="C110" s="16"/>
      <c r="D110" s="11"/>
      <c r="E110" s="11"/>
      <c r="F110" s="11"/>
      <c r="G110" s="11"/>
      <c r="H110" s="3"/>
      <c r="I110" s="11"/>
      <c r="J110" s="11"/>
      <c r="K110" s="3"/>
      <c r="L110" s="11"/>
    </row>
    <row r="111" spans="1:13" x14ac:dyDescent="0.25">
      <c r="A111" s="29"/>
      <c r="B111" s="30" t="s">
        <v>165</v>
      </c>
      <c r="C111" s="16">
        <f>SUM(C88:C109)</f>
        <v>558604</v>
      </c>
      <c r="D111" s="11">
        <f>SUM(D88:D109)</f>
        <v>621221.34999999986</v>
      </c>
      <c r="E111" s="11">
        <f>SUM(E88:E109)</f>
        <v>626244.35000000009</v>
      </c>
      <c r="F111" s="11">
        <f>SUM(F88:F109)</f>
        <v>660847.58600000013</v>
      </c>
      <c r="G111" s="11">
        <f>SUM(G88:G109)</f>
        <v>434031.6</v>
      </c>
      <c r="H111" s="3"/>
      <c r="I111" s="11">
        <f>SUM(I88:I109)</f>
        <v>721901</v>
      </c>
      <c r="J111" s="11">
        <f>SUM(J88:J109)</f>
        <v>725001</v>
      </c>
      <c r="K111" s="3"/>
      <c r="L111" s="11">
        <f>SUM(L88:L109)</f>
        <v>738715.17355188623</v>
      </c>
      <c r="M111" s="38">
        <f>+L111/J111</f>
        <v>1.018916075359739</v>
      </c>
    </row>
    <row r="112" spans="1:13" x14ac:dyDescent="0.25">
      <c r="A112" s="29"/>
      <c r="B112" s="30"/>
      <c r="C112" s="16"/>
      <c r="D112" s="11"/>
      <c r="E112" s="11"/>
      <c r="F112" s="11"/>
      <c r="G112" s="11"/>
      <c r="H112" s="3"/>
      <c r="I112" s="11"/>
      <c r="J112" s="11"/>
      <c r="K112" s="3"/>
      <c r="L112" s="11"/>
    </row>
    <row r="113" spans="1:13" x14ac:dyDescent="0.25">
      <c r="A113" s="29"/>
      <c r="B113" s="30"/>
      <c r="C113" s="16"/>
      <c r="D113" s="11"/>
      <c r="E113" s="11"/>
      <c r="F113" s="11"/>
      <c r="G113" s="11"/>
      <c r="H113" s="3"/>
      <c r="I113" s="11"/>
      <c r="J113" s="11"/>
      <c r="K113" s="3"/>
      <c r="L113" s="11"/>
    </row>
    <row r="114" spans="1:13" x14ac:dyDescent="0.25">
      <c r="A114" s="17" t="s">
        <v>21</v>
      </c>
      <c r="B114" s="18" t="s">
        <v>215</v>
      </c>
      <c r="C114" s="11">
        <f t="shared" ref="C114:J114" si="3">+C111+C86</f>
        <v>867592</v>
      </c>
      <c r="D114" s="11">
        <f t="shared" si="3"/>
        <v>972855.48999999987</v>
      </c>
      <c r="E114" s="11">
        <f t="shared" si="3"/>
        <v>901546.37000000011</v>
      </c>
      <c r="F114" s="11">
        <f t="shared" si="3"/>
        <v>1139234.966</v>
      </c>
      <c r="G114" s="11">
        <f t="shared" si="3"/>
        <v>899061.55</v>
      </c>
      <c r="H114" s="11">
        <f t="shared" si="3"/>
        <v>0</v>
      </c>
      <c r="I114" s="11">
        <f t="shared" si="3"/>
        <v>1177901</v>
      </c>
      <c r="J114" s="11">
        <f t="shared" si="3"/>
        <v>1317501</v>
      </c>
      <c r="K114" s="3"/>
      <c r="L114" s="11">
        <f>+L111+L86</f>
        <v>1286715.1735518863</v>
      </c>
      <c r="M114" s="38">
        <f>+L114/J114</f>
        <v>0.97663316654172283</v>
      </c>
    </row>
    <row r="115" spans="1:13" x14ac:dyDescent="0.25">
      <c r="D115" s="11"/>
      <c r="E115" s="11"/>
      <c r="F115" s="11"/>
      <c r="G115" s="11"/>
      <c r="H115" s="3"/>
      <c r="I115" s="11"/>
      <c r="J115" s="11"/>
      <c r="K115" s="3"/>
      <c r="L115" s="11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H116:H1048576 K116:K1048576">
    <cfRule type="cellIs" dxfId="29" priority="1" operator="lessThan">
      <formula>-0.1</formula>
    </cfRule>
    <cfRule type="cellIs" dxfId="28" priority="2" operator="greaterThan">
      <formula>0.1</formula>
    </cfRule>
  </conditionalFormatting>
  <pageMargins left="0.2" right="0.2" top="0.75" bottom="0.5" header="0.3" footer="0.3"/>
  <pageSetup paperSize="3" scale="88" fitToHeight="0" orientation="landscape" r:id="rId1"/>
  <headerFooter>
    <oddHeader>&amp;C&amp;"-,Bold"&amp;14FY26 OPERATING BUDGET - ADMINISTRATIVE COSTS - FIRST DRAFT - 12.11.24</oddHeader>
    <oddFooter xml:space="preserve">&amp;R &amp;P of &amp;N
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7121DA-FF62-45A3-836A-45C701293A36}">
  <sheetPr>
    <pageSetUpPr fitToPage="1"/>
  </sheetPr>
  <dimension ref="A1:O762"/>
  <sheetViews>
    <sheetView topLeftCell="A182" workbookViewId="0"/>
  </sheetViews>
  <sheetFormatPr defaultRowHeight="15" x14ac:dyDescent="0.25"/>
  <cols>
    <col min="1" max="1" width="22" style="4" bestFit="1" customWidth="1"/>
    <col min="2" max="2" width="51.140625" style="4" customWidth="1"/>
    <col min="3" max="7" width="14.5703125" style="4" customWidth="1"/>
    <col min="8" max="8" width="2.7109375" style="4" customWidth="1"/>
    <col min="9" max="9" width="16.42578125" style="4" customWidth="1"/>
    <col min="10" max="10" width="20" style="4" customWidth="1"/>
    <col min="11" max="11" width="2.7109375" style="4" customWidth="1"/>
    <col min="12" max="12" width="16.42578125" style="37" bestFit="1" customWidth="1"/>
    <col min="13" max="13" width="17.42578125" style="38" customWidth="1"/>
    <col min="14" max="14" width="3.42578125" customWidth="1"/>
    <col min="15" max="15" width="14.140625" customWidth="1"/>
  </cols>
  <sheetData>
    <row r="1" spans="1:15" x14ac:dyDescent="0.25">
      <c r="A1" s="1" t="s">
        <v>0</v>
      </c>
      <c r="B1" s="2" t="s">
        <v>1</v>
      </c>
      <c r="C1" s="52" t="s">
        <v>327</v>
      </c>
      <c r="D1" s="52" t="s">
        <v>328</v>
      </c>
      <c r="E1" s="52" t="s">
        <v>329</v>
      </c>
      <c r="F1" s="52" t="s">
        <v>330</v>
      </c>
      <c r="G1" s="52" t="s">
        <v>331</v>
      </c>
      <c r="H1" s="3"/>
      <c r="I1" s="52" t="s">
        <v>2</v>
      </c>
      <c r="J1" s="52" t="s">
        <v>332</v>
      </c>
      <c r="K1" s="3"/>
      <c r="L1" s="55" t="s">
        <v>3</v>
      </c>
      <c r="M1" s="54" t="s">
        <v>335</v>
      </c>
      <c r="O1" s="54" t="s">
        <v>335</v>
      </c>
    </row>
    <row r="2" spans="1:15" x14ac:dyDescent="0.25">
      <c r="A2" s="5"/>
      <c r="B2" s="6"/>
      <c r="C2" s="52"/>
      <c r="D2" s="52"/>
      <c r="E2" s="52"/>
      <c r="F2" s="52"/>
      <c r="G2" s="52"/>
      <c r="H2" s="3"/>
      <c r="I2" s="52"/>
      <c r="J2" s="52"/>
      <c r="K2" s="3"/>
      <c r="L2" s="55"/>
      <c r="M2" s="54"/>
      <c r="O2" s="54"/>
    </row>
    <row r="3" spans="1:15" hidden="1" x14ac:dyDescent="0.25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5" hidden="1" x14ac:dyDescent="0.25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5" hidden="1" x14ac:dyDescent="0.25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5" hidden="1" x14ac:dyDescent="0.25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450000</v>
      </c>
      <c r="M6" s="38">
        <f>+L6/J6</f>
        <v>0.6428571428571429</v>
      </c>
    </row>
    <row r="7" spans="1:15" hidden="1" x14ac:dyDescent="0.25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800000</v>
      </c>
      <c r="M7" s="38">
        <f>+L7/J7</f>
        <v>0.96969696969696972</v>
      </c>
    </row>
    <row r="8" spans="1:15" hidden="1" x14ac:dyDescent="0.25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>+L8/J8</f>
        <v>1</v>
      </c>
    </row>
    <row r="9" spans="1:15" hidden="1" x14ac:dyDescent="0.25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>+L9/J9</f>
        <v>1</v>
      </c>
    </row>
    <row r="10" spans="1:15" hidden="1" x14ac:dyDescent="0.25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>+L10/J10</f>
        <v>1</v>
      </c>
    </row>
    <row r="11" spans="1:15" hidden="1" x14ac:dyDescent="0.25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5" hidden="1" x14ac:dyDescent="0.25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1860000</v>
      </c>
      <c r="M12" s="38">
        <f>+L12/J12</f>
        <v>0.87119437939110067</v>
      </c>
    </row>
    <row r="13" spans="1:15" hidden="1" x14ac:dyDescent="0.25">
      <c r="D13" s="11"/>
      <c r="E13" s="11"/>
      <c r="F13" s="11"/>
      <c r="G13" s="11"/>
      <c r="H13" s="3"/>
      <c r="I13" s="11"/>
      <c r="J13" s="11"/>
      <c r="K13" s="3"/>
      <c r="L13" s="11"/>
    </row>
    <row r="14" spans="1:15" hidden="1" x14ac:dyDescent="0.25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5" hidden="1" x14ac:dyDescent="0.25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5" hidden="1" x14ac:dyDescent="0.25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3" hidden="1" x14ac:dyDescent="0.25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>+L17/J17</f>
        <v>1</v>
      </c>
    </row>
    <row r="18" spans="1:13" hidden="1" x14ac:dyDescent="0.25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3" hidden="1" x14ac:dyDescent="0.25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ref="M19:M26" si="0">+L19/J19</f>
        <v>1.0317460317460319</v>
      </c>
    </row>
    <row r="20" spans="1:13" hidden="1" x14ac:dyDescent="0.25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0"/>
        <v>0.99580712788259962</v>
      </c>
    </row>
    <row r="21" spans="1:13" hidden="1" x14ac:dyDescent="0.25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361053.5</v>
      </c>
      <c r="H21" s="3"/>
      <c r="I21" s="11">
        <v>880085</v>
      </c>
      <c r="J21" s="11">
        <v>361000</v>
      </c>
      <c r="K21" s="3"/>
      <c r="L21" s="11">
        <v>350000</v>
      </c>
      <c r="M21" s="38">
        <f t="shared" si="0"/>
        <v>0.96952908587257614</v>
      </c>
    </row>
    <row r="22" spans="1:13" hidden="1" x14ac:dyDescent="0.25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1173685.8799999999</v>
      </c>
      <c r="H22" s="3"/>
      <c r="I22" s="11">
        <f>411257+128000</f>
        <v>539257</v>
      </c>
      <c r="J22" s="11">
        <v>1173000</v>
      </c>
      <c r="K22" s="3"/>
      <c r="L22" s="11">
        <v>1175000</v>
      </c>
      <c r="M22" s="38">
        <f t="shared" si="0"/>
        <v>1.0017050298380221</v>
      </c>
    </row>
    <row r="23" spans="1:13" hidden="1" x14ac:dyDescent="0.25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0"/>
        <v>1</v>
      </c>
    </row>
    <row r="24" spans="1:13" hidden="1" x14ac:dyDescent="0.25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0"/>
        <v>1</v>
      </c>
    </row>
    <row r="25" spans="1:13" hidden="1" x14ac:dyDescent="0.25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0"/>
        <v>0.7</v>
      </c>
    </row>
    <row r="26" spans="1:13" hidden="1" x14ac:dyDescent="0.25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0"/>
        <v>1</v>
      </c>
    </row>
    <row r="27" spans="1:13" hidden="1" x14ac:dyDescent="0.25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3" hidden="1" x14ac:dyDescent="0.25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3090060.2399999998</v>
      </c>
      <c r="H28" s="3"/>
      <c r="I28" s="11">
        <f>SUM(I16:I27)</f>
        <v>3144505</v>
      </c>
      <c r="J28" s="11">
        <f>SUM(J16:J27)</f>
        <v>3181000</v>
      </c>
      <c r="K28" s="3"/>
      <c r="L28" s="11">
        <f>SUM(L16:L27)</f>
        <v>3165000</v>
      </c>
      <c r="M28" s="38">
        <f>+L28/J28</f>
        <v>0.99497013517761712</v>
      </c>
    </row>
    <row r="29" spans="1:13" hidden="1" x14ac:dyDescent="0.25">
      <c r="D29" s="11"/>
      <c r="E29" s="11"/>
      <c r="F29" s="11"/>
      <c r="G29" s="11"/>
      <c r="H29" s="3"/>
      <c r="I29" s="11"/>
      <c r="J29" s="11"/>
      <c r="K29" s="3"/>
      <c r="L29" s="11"/>
    </row>
    <row r="30" spans="1:13" hidden="1" x14ac:dyDescent="0.25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3" hidden="1" x14ac:dyDescent="0.25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3" hidden="1" x14ac:dyDescent="0.25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>+L32/J32</f>
        <v>1</v>
      </c>
    </row>
    <row r="33" spans="1:13" hidden="1" x14ac:dyDescent="0.25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>+L33/J33</f>
        <v>1</v>
      </c>
    </row>
    <row r="34" spans="1:13" hidden="1" x14ac:dyDescent="0.25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>+L34/J34</f>
        <v>1</v>
      </c>
    </row>
    <row r="35" spans="1:13" hidden="1" x14ac:dyDescent="0.25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>+L35/J35</f>
        <v>1</v>
      </c>
    </row>
    <row r="36" spans="1:13" hidden="1" x14ac:dyDescent="0.25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hidden="1" x14ac:dyDescent="0.25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</f>
        <v>1</v>
      </c>
    </row>
    <row r="38" spans="1:13" hidden="1" x14ac:dyDescent="0.25">
      <c r="D38" s="11"/>
      <c r="E38" s="11"/>
      <c r="F38" s="11"/>
      <c r="G38" s="11"/>
      <c r="H38" s="3"/>
      <c r="I38" s="11"/>
      <c r="J38" s="11"/>
      <c r="K38" s="3"/>
      <c r="L38" s="11"/>
    </row>
    <row r="39" spans="1:13" hidden="1" x14ac:dyDescent="0.25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hidden="1" x14ac:dyDescent="0.25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hidden="1" x14ac:dyDescent="0.25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hidden="1" x14ac:dyDescent="0.25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>+L42/J42</f>
        <v>1</v>
      </c>
    </row>
    <row r="43" spans="1:13" hidden="1" x14ac:dyDescent="0.25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>+L43/J43</f>
        <v>0.23809523809523808</v>
      </c>
    </row>
    <row r="44" spans="1:13" hidden="1" x14ac:dyDescent="0.25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>+L44/J44</f>
        <v>1</v>
      </c>
    </row>
    <row r="45" spans="1:13" hidden="1" x14ac:dyDescent="0.25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hidden="1" x14ac:dyDescent="0.25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</f>
        <v>0.64179104477611937</v>
      </c>
    </row>
    <row r="47" spans="1:13" hidden="1" x14ac:dyDescent="0.25">
      <c r="D47" s="11"/>
      <c r="E47" s="11"/>
      <c r="F47" s="11"/>
      <c r="G47" s="11"/>
      <c r="H47" s="3"/>
      <c r="I47" s="11"/>
      <c r="J47" s="11"/>
      <c r="K47" s="3"/>
      <c r="L47" s="11"/>
    </row>
    <row r="48" spans="1:13" hidden="1" x14ac:dyDescent="0.25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3" hidden="1" x14ac:dyDescent="0.25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</f>
        <v>0.7142857142857143</v>
      </c>
    </row>
    <row r="50" spans="1:13" hidden="1" x14ac:dyDescent="0.25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3" hidden="1" x14ac:dyDescent="0.25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</f>
        <v>0.7142857142857143</v>
      </c>
    </row>
    <row r="52" spans="1:13" hidden="1" x14ac:dyDescent="0.25">
      <c r="D52" s="11"/>
      <c r="E52" s="11"/>
      <c r="F52" s="11"/>
      <c r="G52" s="11"/>
      <c r="H52" s="3"/>
      <c r="I52" s="11"/>
      <c r="J52" s="11"/>
      <c r="K52" s="3"/>
      <c r="L52" s="11"/>
    </row>
    <row r="53" spans="1:13" hidden="1" x14ac:dyDescent="0.25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3" hidden="1" x14ac:dyDescent="0.25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3" hidden="1" x14ac:dyDescent="0.25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</f>
        <v>0.42857142857142855</v>
      </c>
    </row>
    <row r="56" spans="1:13" hidden="1" x14ac:dyDescent="0.25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3" hidden="1" x14ac:dyDescent="0.25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</f>
        <v>0.1</v>
      </c>
    </row>
    <row r="58" spans="1:13" hidden="1" x14ac:dyDescent="0.25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>
        <v>1500</v>
      </c>
      <c r="J58" s="11">
        <v>1500</v>
      </c>
      <c r="K58" s="3"/>
      <c r="L58" s="11">
        <v>1500</v>
      </c>
      <c r="M58" s="38">
        <f>+L58/J58</f>
        <v>1</v>
      </c>
    </row>
    <row r="59" spans="1:13" hidden="1" x14ac:dyDescent="0.25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</f>
        <v>1</v>
      </c>
    </row>
    <row r="60" spans="1:13" hidden="1" x14ac:dyDescent="0.25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3" hidden="1" x14ac:dyDescent="0.25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55500</v>
      </c>
      <c r="J61" s="11">
        <f>SUM(J55:J60)</f>
        <v>80000</v>
      </c>
      <c r="K61" s="3"/>
      <c r="L61" s="11">
        <f>SUM(L55:L60)</f>
        <v>55500</v>
      </c>
      <c r="M61" s="38">
        <f>+L61/J61</f>
        <v>0.69374999999999998</v>
      </c>
    </row>
    <row r="62" spans="1:13" hidden="1" x14ac:dyDescent="0.25">
      <c r="D62" s="11"/>
      <c r="E62" s="11"/>
      <c r="F62" s="11"/>
      <c r="G62" s="11"/>
      <c r="H62" s="3"/>
      <c r="I62" s="11"/>
      <c r="J62" s="11"/>
      <c r="K62" s="3"/>
      <c r="L62" s="11"/>
    </row>
    <row r="63" spans="1:13" hidden="1" x14ac:dyDescent="0.25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5771463.9800000004</v>
      </c>
      <c r="H63" s="3"/>
      <c r="I63" s="11" cm="1">
        <f t="array" ref="I63:I64">+I60:I61+I51+I46+I37+I28+I12</f>
        <v>5760005</v>
      </c>
      <c r="J63" s="11" cm="1">
        <f t="array" ref="J63:J64">+J60:J61+J51+J46+J37+J28+J12</f>
        <v>6178500</v>
      </c>
      <c r="K63" s="3"/>
      <c r="L63" s="11" cm="1">
        <f t="array" ref="L63:L64">+L60:L61+L51+L46+L37+L28+L12</f>
        <v>5739500</v>
      </c>
      <c r="M63" s="38">
        <f>+L63/J63</f>
        <v>0.92894715545844464</v>
      </c>
    </row>
    <row r="64" spans="1:13" hidden="1" x14ac:dyDescent="0.25">
      <c r="A64" s="27"/>
      <c r="B64" s="27"/>
      <c r="C64" s="26">
        <v>4276151</v>
      </c>
      <c r="D64" s="4">
        <v>6019921.370000001</v>
      </c>
      <c r="E64" s="4">
        <v>4860796.18</v>
      </c>
      <c r="F64" s="4">
        <v>5851407.4800000004</v>
      </c>
      <c r="G64" s="4">
        <v>5811859.7700000005</v>
      </c>
      <c r="H64" s="3"/>
      <c r="I64" s="4">
        <v>5815505</v>
      </c>
      <c r="J64" s="4">
        <v>6258500</v>
      </c>
      <c r="K64" s="3"/>
      <c r="L64" s="37">
        <v>5795000</v>
      </c>
    </row>
    <row r="65" spans="1:13" hidden="1" x14ac:dyDescent="0.25">
      <c r="A65" s="27"/>
      <c r="B65" s="27"/>
      <c r="C65" s="26"/>
      <c r="D65" s="11"/>
      <c r="E65" s="11"/>
      <c r="F65" s="11"/>
      <c r="G65" s="11"/>
      <c r="H65" s="3"/>
      <c r="I65" s="11"/>
      <c r="J65" s="11"/>
      <c r="K65" s="3"/>
      <c r="L65" s="11"/>
    </row>
    <row r="66" spans="1:13" hidden="1" x14ac:dyDescent="0.25">
      <c r="A66" s="9" t="s">
        <v>88</v>
      </c>
      <c r="B66" s="10" t="s">
        <v>89</v>
      </c>
      <c r="D66" s="11"/>
      <c r="E66" s="11"/>
      <c r="F66" s="11"/>
      <c r="G66" s="11"/>
      <c r="H66" s="3"/>
      <c r="I66" s="11"/>
      <c r="J66" s="11"/>
      <c r="K66" s="3"/>
      <c r="L66" s="11"/>
    </row>
    <row r="67" spans="1:13" hidden="1" x14ac:dyDescent="0.25">
      <c r="A67" s="12" t="s">
        <v>9</v>
      </c>
      <c r="B67" s="13" t="s">
        <v>10</v>
      </c>
      <c r="D67" s="11"/>
      <c r="E67" s="11"/>
      <c r="F67" s="11"/>
      <c r="G67" s="11"/>
      <c r="H67" s="3"/>
      <c r="I67" s="11"/>
      <c r="J67" s="11"/>
      <c r="K67" s="3"/>
      <c r="L67" s="11"/>
    </row>
    <row r="68" spans="1:13" hidden="1" x14ac:dyDescent="0.25">
      <c r="A68" s="14" t="s">
        <v>90</v>
      </c>
      <c r="B68" s="15" t="s">
        <v>91</v>
      </c>
      <c r="C68" s="16">
        <v>26237</v>
      </c>
      <c r="D68" s="11">
        <v>34249.040000000001</v>
      </c>
      <c r="E68" s="11">
        <v>36787.03</v>
      </c>
      <c r="F68" s="11">
        <v>65317.5</v>
      </c>
      <c r="G68" s="11">
        <v>180826.08</v>
      </c>
      <c r="H68" s="3"/>
      <c r="I68" s="11">
        <v>60000</v>
      </c>
      <c r="J68" s="11">
        <v>200000</v>
      </c>
      <c r="K68" s="3"/>
      <c r="L68" s="11">
        <v>200000</v>
      </c>
      <c r="M68" s="38">
        <f t="shared" ref="M68:M84" si="1">+L68/J68</f>
        <v>1</v>
      </c>
    </row>
    <row r="69" spans="1:13" hidden="1" x14ac:dyDescent="0.25">
      <c r="A69" s="14" t="s">
        <v>92</v>
      </c>
      <c r="B69" s="15" t="s">
        <v>93</v>
      </c>
      <c r="C69" s="16">
        <v>15987</v>
      </c>
      <c r="D69" s="11">
        <v>20126.57</v>
      </c>
      <c r="E69" s="11">
        <v>7018.92</v>
      </c>
      <c r="F69" s="11">
        <v>6942.57</v>
      </c>
      <c r="G69" s="11">
        <v>6245.62</v>
      </c>
      <c r="H69" s="3"/>
      <c r="I69" s="11">
        <f>+I6*0.01</f>
        <v>5000</v>
      </c>
      <c r="J69" s="11">
        <v>7000</v>
      </c>
      <c r="K69" s="3"/>
      <c r="L69" s="11">
        <f>0.01*L6</f>
        <v>4500</v>
      </c>
      <c r="M69" s="38">
        <f t="shared" si="1"/>
        <v>0.6428571428571429</v>
      </c>
    </row>
    <row r="70" spans="1:13" hidden="1" x14ac:dyDescent="0.25">
      <c r="A70" s="14" t="s">
        <v>94</v>
      </c>
      <c r="B70" s="15" t="s">
        <v>95</v>
      </c>
      <c r="C70" s="16">
        <v>373</v>
      </c>
      <c r="D70" s="11">
        <v>4546.7</v>
      </c>
      <c r="E70" s="11">
        <v>1736.1</v>
      </c>
      <c r="F70" s="11">
        <v>3225.47</v>
      </c>
      <c r="G70" s="11">
        <v>2965.18</v>
      </c>
      <c r="H70" s="3"/>
      <c r="I70" s="11">
        <v>3000</v>
      </c>
      <c r="J70" s="11">
        <v>3000</v>
      </c>
      <c r="K70" s="3"/>
      <c r="L70" s="11">
        <v>3000</v>
      </c>
      <c r="M70" s="38">
        <f t="shared" si="1"/>
        <v>1</v>
      </c>
    </row>
    <row r="71" spans="1:13" hidden="1" x14ac:dyDescent="0.25">
      <c r="A71" s="14" t="s">
        <v>96</v>
      </c>
      <c r="B71" s="15" t="s">
        <v>97</v>
      </c>
      <c r="C71" s="16">
        <v>6202</v>
      </c>
      <c r="D71" s="11">
        <v>2604.8200000000002</v>
      </c>
      <c r="E71" s="11">
        <v>3101.25</v>
      </c>
      <c r="F71" s="11">
        <v>232</v>
      </c>
      <c r="G71" s="11">
        <v>239</v>
      </c>
      <c r="H71" s="3"/>
      <c r="I71" s="11">
        <v>5000</v>
      </c>
      <c r="J71" s="11">
        <v>500</v>
      </c>
      <c r="K71" s="3"/>
      <c r="L71" s="11">
        <v>5000</v>
      </c>
      <c r="M71" s="38">
        <f t="shared" si="1"/>
        <v>10</v>
      </c>
    </row>
    <row r="72" spans="1:13" hidden="1" x14ac:dyDescent="0.25">
      <c r="A72" s="14" t="s">
        <v>98</v>
      </c>
      <c r="B72" s="15" t="s">
        <v>62</v>
      </c>
      <c r="C72" s="16">
        <v>0</v>
      </c>
      <c r="D72" s="11">
        <v>5600</v>
      </c>
      <c r="E72" s="11">
        <v>5474.97</v>
      </c>
      <c r="F72" s="11">
        <v>11265</v>
      </c>
      <c r="G72" s="11">
        <v>11700</v>
      </c>
      <c r="H72" s="3"/>
      <c r="I72" s="11">
        <v>5000</v>
      </c>
      <c r="J72" s="11">
        <v>12000</v>
      </c>
      <c r="K72" s="3"/>
      <c r="L72" s="11">
        <v>5000</v>
      </c>
      <c r="M72" s="38">
        <f t="shared" si="1"/>
        <v>0.41666666666666669</v>
      </c>
    </row>
    <row r="73" spans="1:13" hidden="1" x14ac:dyDescent="0.25">
      <c r="A73" s="14" t="s">
        <v>99</v>
      </c>
      <c r="B73" s="15" t="s">
        <v>100</v>
      </c>
      <c r="C73" s="16">
        <v>3410</v>
      </c>
      <c r="D73" s="11">
        <v>1195</v>
      </c>
      <c r="E73" s="11">
        <v>8127.02</v>
      </c>
      <c r="F73" s="11">
        <v>6156</v>
      </c>
      <c r="G73" s="11">
        <v>8940</v>
      </c>
      <c r="H73" s="3"/>
      <c r="I73" s="11">
        <v>5000</v>
      </c>
      <c r="J73" s="11">
        <v>10000</v>
      </c>
      <c r="K73" s="3"/>
      <c r="L73" s="11">
        <v>5000</v>
      </c>
      <c r="M73" s="38">
        <f t="shared" si="1"/>
        <v>0.5</v>
      </c>
    </row>
    <row r="74" spans="1:13" hidden="1" x14ac:dyDescent="0.25">
      <c r="A74" s="14" t="s">
        <v>101</v>
      </c>
      <c r="B74" s="15" t="s">
        <v>102</v>
      </c>
      <c r="C74" s="16">
        <f>57845+2373</f>
        <v>60218</v>
      </c>
      <c r="D74" s="11">
        <v>56921.25</v>
      </c>
      <c r="E74" s="11">
        <v>37022.5</v>
      </c>
      <c r="F74" s="11">
        <v>81058.55</v>
      </c>
      <c r="G74" s="11">
        <v>70914.41</v>
      </c>
      <c r="H74" s="3"/>
      <c r="I74" s="11">
        <v>100000</v>
      </c>
      <c r="J74" s="11">
        <v>100000</v>
      </c>
      <c r="K74" s="3"/>
      <c r="L74" s="11">
        <v>100000</v>
      </c>
      <c r="M74" s="38">
        <f t="shared" si="1"/>
        <v>1</v>
      </c>
    </row>
    <row r="75" spans="1:13" hidden="1" x14ac:dyDescent="0.25">
      <c r="A75" s="14" t="s">
        <v>103</v>
      </c>
      <c r="B75" s="15" t="s">
        <v>104</v>
      </c>
      <c r="C75" s="16">
        <v>21000</v>
      </c>
      <c r="D75" s="11">
        <v>24500</v>
      </c>
      <c r="E75" s="11">
        <v>31990</v>
      </c>
      <c r="F75" s="11">
        <v>55595</v>
      </c>
      <c r="G75" s="11">
        <v>67393</v>
      </c>
      <c r="H75" s="3"/>
      <c r="I75" s="11">
        <v>60000</v>
      </c>
      <c r="J75" s="11">
        <v>68000</v>
      </c>
      <c r="K75" s="3"/>
      <c r="L75" s="11">
        <v>65000</v>
      </c>
      <c r="M75" s="38">
        <f t="shared" si="1"/>
        <v>0.95588235294117652</v>
      </c>
    </row>
    <row r="76" spans="1:13" hidden="1" x14ac:dyDescent="0.25">
      <c r="A76" s="14" t="s">
        <v>105</v>
      </c>
      <c r="B76" s="15" t="s">
        <v>106</v>
      </c>
      <c r="C76" s="16">
        <v>0</v>
      </c>
      <c r="D76" s="11">
        <v>0</v>
      </c>
      <c r="E76" s="11">
        <v>0</v>
      </c>
      <c r="F76" s="11">
        <v>0</v>
      </c>
      <c r="G76" s="11">
        <v>0</v>
      </c>
      <c r="H76" s="3"/>
      <c r="I76" s="11">
        <v>2000</v>
      </c>
      <c r="J76" s="11">
        <v>2000</v>
      </c>
      <c r="K76" s="3"/>
      <c r="L76" s="11">
        <v>0</v>
      </c>
      <c r="M76" s="38">
        <f t="shared" si="1"/>
        <v>0</v>
      </c>
    </row>
    <row r="77" spans="1:13" hidden="1" x14ac:dyDescent="0.25">
      <c r="A77" s="14" t="s">
        <v>107</v>
      </c>
      <c r="B77" s="15" t="s">
        <v>108</v>
      </c>
      <c r="C77" s="16">
        <v>970</v>
      </c>
      <c r="D77" s="11">
        <v>280</v>
      </c>
      <c r="E77" s="11">
        <v>14559.11</v>
      </c>
      <c r="F77" s="11">
        <v>8440.1</v>
      </c>
      <c r="G77" s="11">
        <v>3170</v>
      </c>
      <c r="H77" s="3"/>
      <c r="I77" s="11">
        <v>3000</v>
      </c>
      <c r="J77" s="11">
        <v>3000</v>
      </c>
      <c r="K77" s="3"/>
      <c r="L77" s="11">
        <v>3000</v>
      </c>
      <c r="M77" s="38">
        <f t="shared" si="1"/>
        <v>1</v>
      </c>
    </row>
    <row r="78" spans="1:13" hidden="1" x14ac:dyDescent="0.25">
      <c r="A78" s="14" t="s">
        <v>109</v>
      </c>
      <c r="B78" s="15" t="s">
        <v>110</v>
      </c>
      <c r="C78" s="16">
        <v>79966</v>
      </c>
      <c r="D78" s="11">
        <v>105164.45</v>
      </c>
      <c r="E78" s="11">
        <v>88000.18</v>
      </c>
      <c r="F78" s="11">
        <v>134525.44</v>
      </c>
      <c r="G78" s="11">
        <v>60944.78</v>
      </c>
      <c r="H78" s="3"/>
      <c r="I78" s="11">
        <v>85000</v>
      </c>
      <c r="J78" s="11">
        <v>85000</v>
      </c>
      <c r="K78" s="3"/>
      <c r="L78" s="11">
        <v>85000</v>
      </c>
      <c r="M78" s="38">
        <f t="shared" si="1"/>
        <v>1</v>
      </c>
    </row>
    <row r="79" spans="1:13" hidden="1" x14ac:dyDescent="0.25">
      <c r="A79" s="14">
        <v>6010950</v>
      </c>
      <c r="B79" s="15" t="s">
        <v>111</v>
      </c>
      <c r="C79" s="16">
        <v>0</v>
      </c>
      <c r="D79" s="11"/>
      <c r="E79" s="11"/>
      <c r="F79" s="11">
        <v>12656.25</v>
      </c>
      <c r="G79" s="11">
        <v>18002.84</v>
      </c>
      <c r="H79" s="3"/>
      <c r="I79" s="11">
        <v>50000</v>
      </c>
      <c r="J79" s="11">
        <v>25000</v>
      </c>
      <c r="K79" s="3"/>
      <c r="L79" s="11">
        <v>50000</v>
      </c>
      <c r="M79" s="38">
        <f t="shared" si="1"/>
        <v>2</v>
      </c>
    </row>
    <row r="80" spans="1:13" hidden="1" x14ac:dyDescent="0.25">
      <c r="A80" s="14" t="s">
        <v>112</v>
      </c>
      <c r="B80" s="15" t="s">
        <v>113</v>
      </c>
      <c r="C80" s="16">
        <v>8750</v>
      </c>
      <c r="D80" s="11">
        <v>10250</v>
      </c>
      <c r="E80" s="11">
        <v>10200</v>
      </c>
      <c r="F80" s="11">
        <v>10650</v>
      </c>
      <c r="G80" s="11">
        <v>6400</v>
      </c>
      <c r="H80" s="3"/>
      <c r="I80" s="11">
        <v>15000</v>
      </c>
      <c r="J80" s="11">
        <v>15000</v>
      </c>
      <c r="K80" s="3"/>
      <c r="L80" s="11">
        <v>20000</v>
      </c>
      <c r="M80" s="38">
        <f t="shared" si="1"/>
        <v>1.3333333333333333</v>
      </c>
    </row>
    <row r="81" spans="1:13" hidden="1" x14ac:dyDescent="0.25">
      <c r="A81" s="14" t="s">
        <v>114</v>
      </c>
      <c r="B81" s="15" t="s">
        <v>115</v>
      </c>
      <c r="C81" s="16">
        <v>0</v>
      </c>
      <c r="D81" s="11">
        <v>27958.95</v>
      </c>
      <c r="E81" s="11">
        <v>6961.88</v>
      </c>
      <c r="F81" s="11">
        <v>26351.88</v>
      </c>
      <c r="G81" s="11">
        <v>10292.4</v>
      </c>
      <c r="H81" s="3"/>
      <c r="I81" s="11">
        <v>9000</v>
      </c>
      <c r="J81" s="11">
        <v>13000</v>
      </c>
      <c r="K81" s="3"/>
      <c r="L81" s="11">
        <v>15000</v>
      </c>
      <c r="M81" s="38">
        <f t="shared" si="1"/>
        <v>1.1538461538461537</v>
      </c>
    </row>
    <row r="82" spans="1:13" hidden="1" x14ac:dyDescent="0.25">
      <c r="A82" s="14" t="s">
        <v>116</v>
      </c>
      <c r="B82" s="15" t="s">
        <v>117</v>
      </c>
      <c r="C82" s="16">
        <v>5788</v>
      </c>
      <c r="D82" s="11">
        <v>4300</v>
      </c>
      <c r="E82" s="11">
        <v>4869</v>
      </c>
      <c r="F82" s="11">
        <v>4340</v>
      </c>
      <c r="G82" s="11">
        <v>2125</v>
      </c>
      <c r="H82" s="3"/>
      <c r="I82" s="11">
        <v>6500</v>
      </c>
      <c r="J82" s="11">
        <v>6500</v>
      </c>
      <c r="K82" s="3"/>
      <c r="L82" s="11">
        <v>5000</v>
      </c>
      <c r="M82" s="38">
        <f t="shared" si="1"/>
        <v>0.76923076923076927</v>
      </c>
    </row>
    <row r="83" spans="1:13" hidden="1" x14ac:dyDescent="0.25">
      <c r="A83" s="14" t="s">
        <v>118</v>
      </c>
      <c r="B83" s="15" t="s">
        <v>119</v>
      </c>
      <c r="C83" s="16">
        <v>18709</v>
      </c>
      <c r="D83" s="11">
        <v>13876.48</v>
      </c>
      <c r="E83" s="11">
        <v>18187.78</v>
      </c>
      <c r="F83" s="11">
        <v>15407.18</v>
      </c>
      <c r="G83" s="11">
        <v>110.43</v>
      </c>
      <c r="H83" s="3"/>
      <c r="I83" s="11">
        <v>7500</v>
      </c>
      <c r="J83" s="11">
        <v>7500</v>
      </c>
      <c r="K83" s="3"/>
      <c r="L83" s="11">
        <v>7500</v>
      </c>
      <c r="M83" s="38">
        <f t="shared" si="1"/>
        <v>1</v>
      </c>
    </row>
    <row r="84" spans="1:13" hidden="1" x14ac:dyDescent="0.25">
      <c r="A84" s="14" t="s">
        <v>120</v>
      </c>
      <c r="B84" s="15" t="s">
        <v>121</v>
      </c>
      <c r="C84" s="16">
        <v>61378</v>
      </c>
      <c r="D84" s="11">
        <v>40060.879999999997</v>
      </c>
      <c r="E84" s="11">
        <v>1266.28</v>
      </c>
      <c r="F84" s="11">
        <v>36224.44</v>
      </c>
      <c r="G84" s="11">
        <v>14761.21</v>
      </c>
      <c r="H84" s="3"/>
      <c r="I84" s="11">
        <v>35000</v>
      </c>
      <c r="J84" s="11">
        <v>35000</v>
      </c>
      <c r="K84" s="3"/>
      <c r="L84" s="11">
        <v>20000</v>
      </c>
      <c r="M84" s="38">
        <f t="shared" si="1"/>
        <v>0.5714285714285714</v>
      </c>
    </row>
    <row r="85" spans="1:13" hidden="1" x14ac:dyDescent="0.25">
      <c r="A85" s="14"/>
      <c r="B85" s="15"/>
      <c r="C85" s="16"/>
      <c r="D85" s="11"/>
      <c r="E85" s="11"/>
      <c r="F85" s="11"/>
      <c r="G85" s="11"/>
      <c r="H85" s="3"/>
      <c r="I85" s="11"/>
      <c r="J85" s="11"/>
      <c r="K85" s="3"/>
      <c r="L85" s="11"/>
    </row>
    <row r="86" spans="1:13" hidden="1" x14ac:dyDescent="0.25">
      <c r="A86" s="29"/>
      <c r="B86" s="30" t="s">
        <v>122</v>
      </c>
      <c r="C86" s="16">
        <f>SUM(C68:C84)</f>
        <v>308988</v>
      </c>
      <c r="D86" s="11">
        <f>SUM(D68:D84)</f>
        <v>351634.14</v>
      </c>
      <c r="E86" s="11">
        <f>SUM(E68:E84)</f>
        <v>275302.02</v>
      </c>
      <c r="F86" s="11">
        <f>SUM(F68:F84)</f>
        <v>478387.38</v>
      </c>
      <c r="G86" s="11">
        <f>SUM(G68:G84)</f>
        <v>465029.95</v>
      </c>
      <c r="H86" s="3"/>
      <c r="I86" s="11">
        <f>SUM(I68:I84)</f>
        <v>456000</v>
      </c>
      <c r="J86" s="11">
        <f>SUM(J68:J84)</f>
        <v>592500</v>
      </c>
      <c r="K86" s="3"/>
      <c r="L86" s="11">
        <f>SUM(L68:L84)</f>
        <v>593000</v>
      </c>
      <c r="M86" s="38">
        <f>+L86/J86</f>
        <v>1.0008438818565402</v>
      </c>
    </row>
    <row r="87" spans="1:13" hidden="1" x14ac:dyDescent="0.25">
      <c r="A87" s="29"/>
      <c r="B87" s="30"/>
      <c r="C87" s="16"/>
      <c r="D87" s="11"/>
      <c r="E87" s="11"/>
      <c r="F87" s="11"/>
      <c r="G87" s="11"/>
      <c r="H87" s="3"/>
      <c r="I87" s="11"/>
      <c r="J87" s="11"/>
      <c r="K87" s="3"/>
      <c r="L87" s="11"/>
    </row>
    <row r="88" spans="1:13" hidden="1" x14ac:dyDescent="0.25">
      <c r="A88" s="14" t="s">
        <v>123</v>
      </c>
      <c r="B88" s="15" t="s">
        <v>124</v>
      </c>
      <c r="C88" s="16">
        <v>238952</v>
      </c>
      <c r="D88" s="11">
        <v>299344.71999999997</v>
      </c>
      <c r="E88" s="11">
        <v>296161.17</v>
      </c>
      <c r="F88" s="11">
        <v>348848.89</v>
      </c>
      <c r="G88" s="11">
        <v>211577.23</v>
      </c>
      <c r="H88" s="3"/>
      <c r="I88" s="11">
        <v>381989</v>
      </c>
      <c r="J88" s="11">
        <v>381989</v>
      </c>
      <c r="K88" s="3"/>
      <c r="L88" s="11">
        <f>+'[1]Non-Union - 3.5%'!$I$13+'[1]Non-Union - 3.5%'!$V$13</f>
        <v>400796.10425099998</v>
      </c>
      <c r="M88" s="38">
        <f t="shared" ref="M88:M108" si="2">+L88/J88</f>
        <v>1.0492346749539907</v>
      </c>
    </row>
    <row r="89" spans="1:13" hidden="1" x14ac:dyDescent="0.25">
      <c r="A89" s="14" t="s">
        <v>125</v>
      </c>
      <c r="B89" s="15" t="s">
        <v>126</v>
      </c>
      <c r="C89" s="16">
        <v>19656</v>
      </c>
      <c r="D89" s="11">
        <v>24665.38</v>
      </c>
      <c r="E89" s="11">
        <v>23771.06</v>
      </c>
      <c r="F89" s="11">
        <v>25648.01</v>
      </c>
      <c r="G89" s="11">
        <v>18946.3</v>
      </c>
      <c r="H89" s="3"/>
      <c r="I89" s="11">
        <v>30559</v>
      </c>
      <c r="J89" s="11">
        <v>30559</v>
      </c>
      <c r="K89" s="3"/>
      <c r="L89" s="11">
        <f>+'[1]Non-Union - 3.5%'!$P$13+'[1]Non-Union - 3.5%'!$Z$13</f>
        <v>32063.68834008</v>
      </c>
      <c r="M89" s="38">
        <f t="shared" si="2"/>
        <v>1.0492387951202591</v>
      </c>
    </row>
    <row r="90" spans="1:13" hidden="1" x14ac:dyDescent="0.25">
      <c r="A90" s="14" t="s">
        <v>127</v>
      </c>
      <c r="B90" s="15" t="s">
        <v>128</v>
      </c>
      <c r="C90" s="16">
        <v>45927</v>
      </c>
      <c r="D90" s="11">
        <v>58698.76</v>
      </c>
      <c r="E90" s="11">
        <v>67570.789999999994</v>
      </c>
      <c r="F90" s="11">
        <v>64434.796000000002</v>
      </c>
      <c r="G90" s="11">
        <v>51089.38</v>
      </c>
      <c r="H90" s="3"/>
      <c r="I90" s="11">
        <f>67402+3616+1226+136</f>
        <v>72380</v>
      </c>
      <c r="J90" s="11">
        <v>72380</v>
      </c>
      <c r="K90" s="3"/>
      <c r="L90" s="11">
        <f>+SUM('[1]Non-Union - 3.5%'!$K$13:$M$13)</f>
        <v>85547.279999999984</v>
      </c>
      <c r="M90" s="38">
        <f t="shared" si="2"/>
        <v>1.1819187620889746</v>
      </c>
    </row>
    <row r="91" spans="1:13" hidden="1" x14ac:dyDescent="0.25">
      <c r="A91" s="14" t="s">
        <v>129</v>
      </c>
      <c r="B91" s="15" t="s">
        <v>130</v>
      </c>
      <c r="C91" s="16">
        <v>4516</v>
      </c>
      <c r="D91" s="11">
        <v>3310.13</v>
      </c>
      <c r="E91" s="11">
        <v>783.71</v>
      </c>
      <c r="F91" s="11">
        <v>3864.75</v>
      </c>
      <c r="G91" s="11">
        <v>2659.38</v>
      </c>
      <c r="H91" s="3"/>
      <c r="I91" s="11">
        <v>4112</v>
      </c>
      <c r="J91" s="11">
        <v>4112</v>
      </c>
      <c r="K91" s="3"/>
      <c r="L91" s="11">
        <f>+'[1]Non-Union - 3.5%'!$O$13+'[1]Non-Union - 3.5%'!$X$13</f>
        <v>4321.0660252799998</v>
      </c>
      <c r="M91" s="38">
        <f t="shared" si="2"/>
        <v>1.0508429049805448</v>
      </c>
    </row>
    <row r="92" spans="1:13" hidden="1" x14ac:dyDescent="0.25">
      <c r="A92" s="14" t="s">
        <v>131</v>
      </c>
      <c r="B92" s="15" t="s">
        <v>132</v>
      </c>
      <c r="C92" s="16">
        <v>2521</v>
      </c>
      <c r="D92" s="11">
        <v>2307.63</v>
      </c>
      <c r="E92" s="11">
        <v>3053.15</v>
      </c>
      <c r="F92" s="11">
        <v>3349.54</v>
      </c>
      <c r="G92" s="11">
        <v>6215.25</v>
      </c>
      <c r="H92" s="3"/>
      <c r="I92" s="11">
        <v>496</v>
      </c>
      <c r="J92" s="11">
        <v>496</v>
      </c>
      <c r="K92" s="3"/>
      <c r="L92" s="11">
        <f>+'[1]Non-Union - 3.5%'!$Y$13+'[1]Non-Union - 3.5%'!$R$13</f>
        <v>522.03493552630005</v>
      </c>
      <c r="M92" s="38">
        <f t="shared" si="2"/>
        <v>1.0524897893675405</v>
      </c>
    </row>
    <row r="93" spans="1:13" hidden="1" x14ac:dyDescent="0.25">
      <c r="A93" s="14" t="s">
        <v>133</v>
      </c>
      <c r="B93" s="15" t="s">
        <v>134</v>
      </c>
      <c r="C93" s="16">
        <v>0</v>
      </c>
      <c r="D93" s="11">
        <v>11442.46</v>
      </c>
      <c r="E93" s="11">
        <v>4424.22</v>
      </c>
      <c r="F93" s="11">
        <v>3650.56</v>
      </c>
      <c r="G93" s="11">
        <v>3376.96</v>
      </c>
      <c r="H93" s="3"/>
      <c r="I93" s="11">
        <v>5000</v>
      </c>
      <c r="J93" s="11">
        <v>5000</v>
      </c>
      <c r="K93" s="3"/>
      <c r="L93" s="11">
        <v>5000</v>
      </c>
      <c r="M93" s="38">
        <f t="shared" si="2"/>
        <v>1</v>
      </c>
    </row>
    <row r="94" spans="1:13" hidden="1" x14ac:dyDescent="0.25">
      <c r="A94" s="14" t="s">
        <v>135</v>
      </c>
      <c r="B94" s="15" t="s">
        <v>136</v>
      </c>
      <c r="C94" s="16">
        <v>0</v>
      </c>
      <c r="D94" s="11">
        <v>1059.43</v>
      </c>
      <c r="E94" s="11">
        <v>550.42999999999995</v>
      </c>
      <c r="F94" s="11">
        <v>323.07</v>
      </c>
      <c r="G94" s="11">
        <v>293.18</v>
      </c>
      <c r="H94" s="3"/>
      <c r="I94" s="11">
        <v>450</v>
      </c>
      <c r="J94" s="11">
        <v>450</v>
      </c>
      <c r="K94" s="3"/>
      <c r="L94" s="11">
        <v>450</v>
      </c>
      <c r="M94" s="38">
        <f t="shared" si="2"/>
        <v>1</v>
      </c>
    </row>
    <row r="95" spans="1:13" hidden="1" x14ac:dyDescent="0.25">
      <c r="A95" s="14" t="s">
        <v>137</v>
      </c>
      <c r="B95" s="15" t="s">
        <v>138</v>
      </c>
      <c r="C95" s="16">
        <v>12</v>
      </c>
      <c r="D95" s="11">
        <v>19.940000000000001</v>
      </c>
      <c r="E95" s="11">
        <v>117.15</v>
      </c>
      <c r="F95" s="11">
        <v>650.58000000000004</v>
      </c>
      <c r="G95" s="11">
        <v>-239.21</v>
      </c>
      <c r="H95" s="3"/>
      <c r="I95" s="11">
        <v>15</v>
      </c>
      <c r="J95" s="11">
        <v>15</v>
      </c>
      <c r="K95" s="3"/>
      <c r="L95" s="11">
        <v>15</v>
      </c>
      <c r="M95" s="38">
        <f t="shared" si="2"/>
        <v>1</v>
      </c>
    </row>
    <row r="96" spans="1:13" hidden="1" x14ac:dyDescent="0.25">
      <c r="A96" s="14" t="s">
        <v>139</v>
      </c>
      <c r="B96" s="15" t="s">
        <v>140</v>
      </c>
      <c r="C96" s="16">
        <v>15361</v>
      </c>
      <c r="D96" s="11">
        <v>19630.669999999998</v>
      </c>
      <c r="E96" s="11">
        <v>17868.97</v>
      </c>
      <c r="F96" s="11">
        <v>22859.69</v>
      </c>
      <c r="G96" s="11">
        <v>21956.58</v>
      </c>
      <c r="H96" s="3"/>
      <c r="I96" s="11">
        <v>30000</v>
      </c>
      <c r="J96" s="11">
        <v>30000</v>
      </c>
      <c r="K96" s="3"/>
      <c r="L96" s="11">
        <v>30000</v>
      </c>
      <c r="M96" s="38">
        <f t="shared" si="2"/>
        <v>1</v>
      </c>
    </row>
    <row r="97" spans="1:13" hidden="1" x14ac:dyDescent="0.25">
      <c r="A97" s="14" t="s">
        <v>141</v>
      </c>
      <c r="B97" s="15" t="s">
        <v>142</v>
      </c>
      <c r="C97" s="16">
        <v>2450</v>
      </c>
      <c r="D97" s="11">
        <v>2907.5</v>
      </c>
      <c r="E97" s="11">
        <v>2185</v>
      </c>
      <c r="F97" s="11">
        <v>3020</v>
      </c>
      <c r="G97" s="11">
        <v>3274</v>
      </c>
      <c r="H97" s="3"/>
      <c r="I97" s="11">
        <v>2900</v>
      </c>
      <c r="J97" s="11">
        <v>6000</v>
      </c>
      <c r="K97" s="3"/>
      <c r="L97" s="11">
        <v>9500</v>
      </c>
      <c r="M97" s="38">
        <f t="shared" si="2"/>
        <v>1.5833333333333333</v>
      </c>
    </row>
    <row r="98" spans="1:13" hidden="1" x14ac:dyDescent="0.25">
      <c r="A98" s="14" t="s">
        <v>143</v>
      </c>
      <c r="B98" s="15" t="s">
        <v>144</v>
      </c>
      <c r="C98" s="16">
        <v>212</v>
      </c>
      <c r="D98" s="11">
        <v>427.5</v>
      </c>
      <c r="E98" s="11">
        <v>432</v>
      </c>
      <c r="F98" s="11">
        <v>438</v>
      </c>
      <c r="G98" s="11">
        <v>441</v>
      </c>
      <c r="H98" s="3"/>
      <c r="I98" s="11">
        <v>500</v>
      </c>
      <c r="J98" s="11">
        <v>500</v>
      </c>
      <c r="K98" s="3"/>
      <c r="L98" s="11">
        <v>500</v>
      </c>
      <c r="M98" s="38">
        <f t="shared" si="2"/>
        <v>1</v>
      </c>
    </row>
    <row r="99" spans="1:13" hidden="1" x14ac:dyDescent="0.25">
      <c r="A99" s="14" t="s">
        <v>145</v>
      </c>
      <c r="B99" s="15" t="s">
        <v>146</v>
      </c>
      <c r="C99" s="16">
        <v>4463</v>
      </c>
      <c r="D99" s="11">
        <v>1800.73</v>
      </c>
      <c r="E99" s="11">
        <v>547.07000000000005</v>
      </c>
      <c r="F99" s="11">
        <v>8821.2900000000009</v>
      </c>
      <c r="G99" s="11">
        <v>3991.24</v>
      </c>
      <c r="H99" s="3"/>
      <c r="I99" s="11">
        <v>2500</v>
      </c>
      <c r="J99" s="11">
        <v>2500</v>
      </c>
      <c r="K99" s="3"/>
      <c r="L99" s="11">
        <v>4000</v>
      </c>
      <c r="M99" s="38">
        <f t="shared" si="2"/>
        <v>1.6</v>
      </c>
    </row>
    <row r="100" spans="1:13" hidden="1" x14ac:dyDescent="0.25">
      <c r="A100" s="14" t="s">
        <v>147</v>
      </c>
      <c r="B100" s="15" t="s">
        <v>148</v>
      </c>
      <c r="C100" s="16">
        <v>800</v>
      </c>
      <c r="D100" s="11">
        <v>5400</v>
      </c>
      <c r="E100" s="11">
        <v>4649.26</v>
      </c>
      <c r="F100" s="11">
        <f>27.75+5712.29</f>
        <v>5740.04</v>
      </c>
      <c r="G100" s="11">
        <v>3693.08</v>
      </c>
      <c r="H100" s="3"/>
      <c r="I100" s="11">
        <v>7000</v>
      </c>
      <c r="J100" s="11">
        <v>7000</v>
      </c>
      <c r="K100" s="3"/>
      <c r="L100" s="11">
        <v>7000</v>
      </c>
      <c r="M100" s="38">
        <f t="shared" si="2"/>
        <v>1</v>
      </c>
    </row>
    <row r="101" spans="1:13" hidden="1" x14ac:dyDescent="0.25">
      <c r="A101" s="14" t="s">
        <v>149</v>
      </c>
      <c r="B101" s="15" t="s">
        <v>150</v>
      </c>
      <c r="C101" s="16">
        <v>6393</v>
      </c>
      <c r="D101" s="11">
        <v>13331.78</v>
      </c>
      <c r="E101" s="11">
        <v>6194.78</v>
      </c>
      <c r="F101" s="11">
        <v>10546.53</v>
      </c>
      <c r="G101" s="11">
        <v>8908.3700000000008</v>
      </c>
      <c r="H101" s="3"/>
      <c r="I101" s="11">
        <v>12000</v>
      </c>
      <c r="J101" s="11">
        <v>12000</v>
      </c>
      <c r="K101" s="3"/>
      <c r="L101" s="11">
        <v>10000</v>
      </c>
      <c r="M101" s="38">
        <f t="shared" si="2"/>
        <v>0.83333333333333337</v>
      </c>
    </row>
    <row r="102" spans="1:13" hidden="1" x14ac:dyDescent="0.25">
      <c r="A102" s="14" t="s">
        <v>151</v>
      </c>
      <c r="B102" s="15" t="s">
        <v>152</v>
      </c>
      <c r="C102" s="16">
        <v>123595</v>
      </c>
      <c r="D102" s="11">
        <v>77893.25</v>
      </c>
      <c r="E102" s="11">
        <v>111072.12</v>
      </c>
      <c r="F102" s="11">
        <v>67595.73</v>
      </c>
      <c r="G102" s="11">
        <v>35353.14</v>
      </c>
      <c r="H102" s="3"/>
      <c r="I102" s="11">
        <v>150000</v>
      </c>
      <c r="J102" s="11">
        <v>150000</v>
      </c>
      <c r="K102" s="3"/>
      <c r="L102" s="11">
        <v>55000</v>
      </c>
      <c r="M102" s="38">
        <f t="shared" si="2"/>
        <v>0.36666666666666664</v>
      </c>
    </row>
    <row r="103" spans="1:13" hidden="1" x14ac:dyDescent="0.25">
      <c r="A103" s="14" t="s">
        <v>153</v>
      </c>
      <c r="B103" s="15" t="s">
        <v>154</v>
      </c>
      <c r="C103" s="16">
        <v>69989</v>
      </c>
      <c r="D103" s="11">
        <v>67934.31</v>
      </c>
      <c r="E103" s="11">
        <v>54600.33</v>
      </c>
      <c r="F103" s="11">
        <v>64303.13</v>
      </c>
      <c r="G103" s="11">
        <v>45856.43</v>
      </c>
      <c r="H103" s="3"/>
      <c r="I103" s="11">
        <v>70000</v>
      </c>
      <c r="J103" s="11">
        <v>70000</v>
      </c>
      <c r="K103" s="3"/>
      <c r="L103" s="11">
        <v>70000</v>
      </c>
      <c r="M103" s="38">
        <f t="shared" si="2"/>
        <v>1</v>
      </c>
    </row>
    <row r="104" spans="1:13" hidden="1" x14ac:dyDescent="0.25">
      <c r="A104" s="14" t="s">
        <v>155</v>
      </c>
      <c r="B104" s="15" t="s">
        <v>156</v>
      </c>
      <c r="C104" s="16">
        <v>273</v>
      </c>
      <c r="D104" s="11">
        <v>1021.46</v>
      </c>
      <c r="E104" s="11">
        <v>1050</v>
      </c>
      <c r="F104" s="11">
        <v>847.7</v>
      </c>
      <c r="G104" s="11">
        <v>2742</v>
      </c>
      <c r="H104" s="3"/>
      <c r="I104" s="11">
        <v>2500</v>
      </c>
      <c r="J104" s="11">
        <v>2500</v>
      </c>
      <c r="K104" s="3"/>
      <c r="L104" s="11">
        <v>1500</v>
      </c>
      <c r="M104" s="38">
        <f t="shared" si="2"/>
        <v>0.6</v>
      </c>
    </row>
    <row r="105" spans="1:13" hidden="1" x14ac:dyDescent="0.25">
      <c r="A105" s="14" t="s">
        <v>157</v>
      </c>
      <c r="B105" s="15" t="s">
        <v>158</v>
      </c>
      <c r="C105" s="16">
        <v>1090</v>
      </c>
      <c r="D105" s="11">
        <v>4187.83</v>
      </c>
      <c r="E105" s="11">
        <v>10491.92</v>
      </c>
      <c r="F105" s="11">
        <v>6520.29</v>
      </c>
      <c r="G105" s="11">
        <v>3149.6</v>
      </c>
      <c r="H105" s="3"/>
      <c r="I105" s="11">
        <v>7500</v>
      </c>
      <c r="J105" s="11">
        <v>7500</v>
      </c>
      <c r="K105" s="3"/>
      <c r="L105" s="11">
        <v>7500</v>
      </c>
      <c r="M105" s="38">
        <f t="shared" si="2"/>
        <v>1</v>
      </c>
    </row>
    <row r="106" spans="1:13" hidden="1" x14ac:dyDescent="0.25">
      <c r="A106" s="14" t="s">
        <v>159</v>
      </c>
      <c r="B106" s="15" t="s">
        <v>160</v>
      </c>
      <c r="C106" s="16">
        <v>13862</v>
      </c>
      <c r="D106" s="11">
        <v>15086.37</v>
      </c>
      <c r="E106" s="11">
        <v>14827.27</v>
      </c>
      <c r="F106" s="11">
        <v>14232.8</v>
      </c>
      <c r="G106" s="11">
        <v>9257</v>
      </c>
      <c r="H106" s="3"/>
      <c r="I106" s="11">
        <v>10000</v>
      </c>
      <c r="J106" s="11">
        <v>10000</v>
      </c>
      <c r="K106" s="3"/>
      <c r="L106" s="11">
        <v>10000</v>
      </c>
      <c r="M106" s="38">
        <f t="shared" si="2"/>
        <v>1</v>
      </c>
    </row>
    <row r="107" spans="1:13" hidden="1" x14ac:dyDescent="0.25">
      <c r="A107" s="14" t="s">
        <v>161</v>
      </c>
      <c r="B107" s="15" t="s">
        <v>162</v>
      </c>
      <c r="C107" s="16">
        <v>6413</v>
      </c>
      <c r="D107" s="11">
        <v>4831.68</v>
      </c>
      <c r="E107" s="11">
        <v>987.24</v>
      </c>
      <c r="F107" s="11">
        <v>1546</v>
      </c>
      <c r="G107" s="11">
        <v>0</v>
      </c>
      <c r="H107" s="3"/>
      <c r="I107" s="11">
        <v>2000</v>
      </c>
      <c r="J107" s="11">
        <v>2000</v>
      </c>
      <c r="K107" s="3"/>
      <c r="L107" s="11">
        <v>0</v>
      </c>
      <c r="M107" s="38">
        <f t="shared" si="2"/>
        <v>0</v>
      </c>
    </row>
    <row r="108" spans="1:13" hidden="1" x14ac:dyDescent="0.25">
      <c r="A108" s="14" t="s">
        <v>163</v>
      </c>
      <c r="B108" s="15" t="s">
        <v>80</v>
      </c>
      <c r="C108" s="16">
        <v>2119</v>
      </c>
      <c r="D108" s="11">
        <v>5919.82</v>
      </c>
      <c r="E108" s="11">
        <v>4906.71</v>
      </c>
      <c r="F108" s="11">
        <v>3419.16</v>
      </c>
      <c r="G108" s="11">
        <v>1490.69</v>
      </c>
      <c r="H108" s="3"/>
      <c r="I108" s="11">
        <v>5000</v>
      </c>
      <c r="J108" s="11">
        <v>5000</v>
      </c>
      <c r="K108" s="3"/>
      <c r="L108" s="11">
        <v>5000</v>
      </c>
      <c r="M108" s="38">
        <f t="shared" si="2"/>
        <v>1</v>
      </c>
    </row>
    <row r="109" spans="1:13" hidden="1" x14ac:dyDescent="0.25">
      <c r="A109" s="14">
        <v>6021800</v>
      </c>
      <c r="B109" s="15" t="s">
        <v>164</v>
      </c>
      <c r="C109" s="16"/>
      <c r="D109" s="11"/>
      <c r="E109" s="11"/>
      <c r="F109" s="11">
        <v>187.03</v>
      </c>
      <c r="G109" s="11"/>
      <c r="H109" s="3"/>
      <c r="I109" s="11"/>
      <c r="J109" s="11"/>
      <c r="K109" s="3"/>
      <c r="L109" s="11"/>
    </row>
    <row r="110" spans="1:13" hidden="1" x14ac:dyDescent="0.25">
      <c r="A110" s="14"/>
      <c r="B110" s="15"/>
      <c r="C110" s="16"/>
      <c r="D110" s="11"/>
      <c r="E110" s="11"/>
      <c r="F110" s="11"/>
      <c r="G110" s="11"/>
      <c r="H110" s="3"/>
      <c r="I110" s="11"/>
      <c r="J110" s="11"/>
      <c r="K110" s="3"/>
      <c r="L110" s="11"/>
    </row>
    <row r="111" spans="1:13" hidden="1" x14ac:dyDescent="0.25">
      <c r="A111" s="29"/>
      <c r="B111" s="30" t="s">
        <v>165</v>
      </c>
      <c r="C111" s="16">
        <f>SUM(C88:C109)</f>
        <v>558604</v>
      </c>
      <c r="D111" s="11">
        <f>SUM(D88:D109)</f>
        <v>621221.34999999986</v>
      </c>
      <c r="E111" s="11">
        <f>SUM(E88:E109)</f>
        <v>626244.35000000009</v>
      </c>
      <c r="F111" s="11">
        <f>SUM(F88:F109)</f>
        <v>660847.58600000013</v>
      </c>
      <c r="G111" s="11">
        <f>SUM(G88:G109)</f>
        <v>434031.6</v>
      </c>
      <c r="H111" s="3"/>
      <c r="I111" s="11">
        <f>SUM(I88:I109)</f>
        <v>796901</v>
      </c>
      <c r="J111" s="11">
        <f>SUM(J88:J109)</f>
        <v>800001</v>
      </c>
      <c r="K111" s="3"/>
      <c r="L111" s="11">
        <f>SUM(L88:L109)</f>
        <v>738715.17355188623</v>
      </c>
      <c r="M111" s="38">
        <f>+L111/J111</f>
        <v>0.92339281269884188</v>
      </c>
    </row>
    <row r="112" spans="1:13" hidden="1" x14ac:dyDescent="0.25">
      <c r="A112" s="29"/>
      <c r="B112" s="30"/>
      <c r="C112" s="16"/>
      <c r="D112" s="11"/>
      <c r="E112" s="11"/>
      <c r="F112" s="11"/>
      <c r="G112" s="11"/>
      <c r="H112" s="3"/>
      <c r="I112" s="11"/>
      <c r="J112" s="11"/>
      <c r="K112" s="3"/>
      <c r="L112" s="11"/>
    </row>
    <row r="113" spans="1:13" hidden="1" x14ac:dyDescent="0.25">
      <c r="A113" s="14" t="s">
        <v>166</v>
      </c>
      <c r="B113" s="15" t="s">
        <v>124</v>
      </c>
      <c r="C113" s="16">
        <v>76083</v>
      </c>
      <c r="D113" s="11">
        <v>79040.23</v>
      </c>
      <c r="E113" s="11">
        <v>43912.42</v>
      </c>
      <c r="F113" s="11">
        <v>78104.09</v>
      </c>
      <c r="G113" s="11">
        <v>52944.25</v>
      </c>
      <c r="H113" s="3"/>
      <c r="I113" s="11">
        <v>73917</v>
      </c>
      <c r="J113" s="11">
        <v>73917</v>
      </c>
      <c r="K113" s="3"/>
      <c r="L113" s="11">
        <f>+'[1]Non-Union - 3.5%'!$I$37+'[1]Non-Union - 3.5%'!$V$37</f>
        <v>76501.61099999999</v>
      </c>
      <c r="M113" s="38">
        <f>+L113/J113</f>
        <v>1.034966394740046</v>
      </c>
    </row>
    <row r="114" spans="1:13" hidden="1" x14ac:dyDescent="0.25">
      <c r="A114" s="14" t="s">
        <v>167</v>
      </c>
      <c r="B114" s="15" t="s">
        <v>126</v>
      </c>
      <c r="C114" s="16">
        <v>6414</v>
      </c>
      <c r="D114" s="11">
        <v>6815.97</v>
      </c>
      <c r="E114" s="11">
        <v>3560.42</v>
      </c>
      <c r="F114" s="11">
        <v>6311.4</v>
      </c>
      <c r="G114" s="11">
        <v>4111.22</v>
      </c>
      <c r="H114" s="3"/>
      <c r="I114" s="11">
        <f>539+5374</f>
        <v>5913</v>
      </c>
      <c r="J114" s="11">
        <v>5913</v>
      </c>
      <c r="K114" s="3"/>
      <c r="L114" s="11">
        <f>+'[1]Non-Union - 3.5%'!$P$37+'[1]Non-Union - 3.5%'!$Z$37</f>
        <v>6120.1288800000002</v>
      </c>
      <c r="M114" s="38">
        <f>+L114/J114</f>
        <v>1.0350294063926941</v>
      </c>
    </row>
    <row r="115" spans="1:13" hidden="1" x14ac:dyDescent="0.25">
      <c r="A115" s="14" t="s">
        <v>168</v>
      </c>
      <c r="B115" s="15" t="s">
        <v>128</v>
      </c>
      <c r="C115" s="16">
        <v>33023</v>
      </c>
      <c r="D115" s="11">
        <v>43423.3</v>
      </c>
      <c r="E115" s="11">
        <v>24854.54</v>
      </c>
      <c r="F115" s="11">
        <v>32649.040000000001</v>
      </c>
      <c r="G115" s="11">
        <v>25625</v>
      </c>
      <c r="H115" s="3"/>
      <c r="I115" s="11">
        <v>36757</v>
      </c>
      <c r="J115" s="11">
        <v>36756</v>
      </c>
      <c r="K115" s="3"/>
      <c r="L115" s="11">
        <f>+SUM('[1]Non-Union - 3.5%'!$K$37:$N$37)</f>
        <v>43510.62</v>
      </c>
      <c r="M115" s="38">
        <f>+L115/J115</f>
        <v>1.1837691805419523</v>
      </c>
    </row>
    <row r="116" spans="1:13" hidden="1" x14ac:dyDescent="0.25">
      <c r="A116" s="14" t="s">
        <v>169</v>
      </c>
      <c r="B116" s="15" t="s">
        <v>130</v>
      </c>
      <c r="C116" s="16">
        <v>1206</v>
      </c>
      <c r="D116" s="11">
        <v>1242.4000000000001</v>
      </c>
      <c r="E116" s="11">
        <v>0</v>
      </c>
      <c r="F116" s="11">
        <v>0</v>
      </c>
      <c r="G116" s="11">
        <v>0</v>
      </c>
      <c r="H116" s="3"/>
      <c r="I116" s="11"/>
      <c r="J116" s="11"/>
      <c r="K116" s="3"/>
      <c r="L116" s="11"/>
    </row>
    <row r="117" spans="1:13" hidden="1" x14ac:dyDescent="0.25">
      <c r="A117" s="14" t="s">
        <v>170</v>
      </c>
      <c r="B117" s="15" t="s">
        <v>171</v>
      </c>
      <c r="C117" s="16">
        <v>1435</v>
      </c>
      <c r="D117" s="11">
        <v>-158.06</v>
      </c>
      <c r="E117" s="11">
        <v>0</v>
      </c>
      <c r="F117" s="11">
        <v>0</v>
      </c>
      <c r="G117" s="11">
        <v>284.5</v>
      </c>
      <c r="H117" s="3"/>
      <c r="I117" s="11">
        <v>500</v>
      </c>
      <c r="J117" s="11">
        <v>500</v>
      </c>
      <c r="K117" s="3"/>
      <c r="L117" s="11">
        <v>500</v>
      </c>
      <c r="M117" s="38">
        <f t="shared" ref="M117:M124" si="3">+L117/J117</f>
        <v>1</v>
      </c>
    </row>
    <row r="118" spans="1:13" hidden="1" x14ac:dyDescent="0.25">
      <c r="A118" s="14" t="s">
        <v>172</v>
      </c>
      <c r="B118" s="15" t="s">
        <v>132</v>
      </c>
      <c r="C118" s="16">
        <v>391</v>
      </c>
      <c r="D118" s="11">
        <v>321.33999999999997</v>
      </c>
      <c r="E118" s="11">
        <v>1026.3</v>
      </c>
      <c r="F118" s="11">
        <v>1301.3599999999999</v>
      </c>
      <c r="G118" s="11">
        <v>929.28</v>
      </c>
      <c r="H118" s="3"/>
      <c r="I118" s="11">
        <v>325</v>
      </c>
      <c r="J118" s="11">
        <v>326</v>
      </c>
      <c r="K118" s="3"/>
      <c r="L118" s="11">
        <f>+'[1]Non-Union - 3.5%'!$R$37+'[1]Non-Union - 3.5%'!$Y$37</f>
        <v>337.60708839999995</v>
      </c>
      <c r="M118" s="38">
        <f t="shared" si="3"/>
        <v>1.0356045656441717</v>
      </c>
    </row>
    <row r="119" spans="1:13" hidden="1" x14ac:dyDescent="0.25">
      <c r="A119" s="14" t="s">
        <v>173</v>
      </c>
      <c r="B119" s="15" t="s">
        <v>134</v>
      </c>
      <c r="C119" s="16">
        <v>16553</v>
      </c>
      <c r="D119" s="11">
        <v>57169.25</v>
      </c>
      <c r="E119" s="11">
        <v>81223.45</v>
      </c>
      <c r="F119" s="11">
        <v>80574.27</v>
      </c>
      <c r="G119" s="11">
        <v>91053.41</v>
      </c>
      <c r="H119" s="3"/>
      <c r="I119" s="11">
        <v>83250</v>
      </c>
      <c r="J119" s="11">
        <v>83250</v>
      </c>
      <c r="K119" s="3"/>
      <c r="L119" s="11">
        <v>94825</v>
      </c>
      <c r="M119" s="38">
        <f t="shared" si="3"/>
        <v>1.139039039039039</v>
      </c>
    </row>
    <row r="120" spans="1:13" hidden="1" x14ac:dyDescent="0.25">
      <c r="A120" s="14" t="s">
        <v>174</v>
      </c>
      <c r="B120" s="15" t="s">
        <v>136</v>
      </c>
      <c r="C120" s="16">
        <v>2648</v>
      </c>
      <c r="D120" s="11">
        <v>4799.67</v>
      </c>
      <c r="E120" s="11">
        <f>4917.14+80.26</f>
        <v>4997.4000000000005</v>
      </c>
      <c r="F120" s="11">
        <v>5512.81</v>
      </c>
      <c r="G120" s="11">
        <v>6809.54</v>
      </c>
      <c r="H120" s="3"/>
      <c r="I120" s="11">
        <v>8325</v>
      </c>
      <c r="J120" s="11">
        <v>8325</v>
      </c>
      <c r="K120" s="3"/>
      <c r="L120" s="11">
        <v>9427.25</v>
      </c>
      <c r="M120" s="38">
        <f t="shared" si="3"/>
        <v>1.1324024024024024</v>
      </c>
    </row>
    <row r="121" spans="1:13" hidden="1" x14ac:dyDescent="0.25">
      <c r="A121" s="14" t="s">
        <v>175</v>
      </c>
      <c r="B121" s="15" t="s">
        <v>176</v>
      </c>
      <c r="C121" s="16">
        <v>0</v>
      </c>
      <c r="D121" s="11">
        <v>1173.17</v>
      </c>
      <c r="E121" s="11">
        <v>1248.1099999999999</v>
      </c>
      <c r="F121" s="11">
        <v>2017.2</v>
      </c>
      <c r="G121" s="11">
        <v>2958.49</v>
      </c>
      <c r="H121" s="3"/>
      <c r="I121" s="11">
        <v>3000</v>
      </c>
      <c r="J121" s="11">
        <v>3000</v>
      </c>
      <c r="K121" s="3"/>
      <c r="L121" s="11">
        <v>3000</v>
      </c>
      <c r="M121" s="38">
        <f t="shared" si="3"/>
        <v>1</v>
      </c>
    </row>
    <row r="122" spans="1:13" hidden="1" x14ac:dyDescent="0.25">
      <c r="A122" s="14" t="s">
        <v>177</v>
      </c>
      <c r="B122" s="15" t="s">
        <v>138</v>
      </c>
      <c r="C122" s="16">
        <v>401</v>
      </c>
      <c r="D122" s="11">
        <v>362.49</v>
      </c>
      <c r="E122" s="11">
        <v>717.5</v>
      </c>
      <c r="F122" s="11">
        <v>8095.98</v>
      </c>
      <c r="G122" s="11">
        <v>-2329.25</v>
      </c>
      <c r="H122" s="3"/>
      <c r="I122" s="11">
        <v>366.3</v>
      </c>
      <c r="J122" s="11">
        <v>366.3</v>
      </c>
      <c r="K122" s="3"/>
      <c r="L122" s="11">
        <f>392.92+24.31</f>
        <v>417.23</v>
      </c>
      <c r="M122" s="38">
        <f t="shared" si="3"/>
        <v>1.139039039039039</v>
      </c>
    </row>
    <row r="123" spans="1:13" hidden="1" x14ac:dyDescent="0.25">
      <c r="A123" s="14" t="s">
        <v>178</v>
      </c>
      <c r="B123" s="15" t="s">
        <v>140</v>
      </c>
      <c r="C123" s="16">
        <v>10858</v>
      </c>
      <c r="D123" s="11">
        <v>10186.4</v>
      </c>
      <c r="E123" s="11">
        <v>7670.93</v>
      </c>
      <c r="F123" s="11">
        <v>10989.56</v>
      </c>
      <c r="G123" s="11">
        <v>6400.26</v>
      </c>
      <c r="H123" s="3"/>
      <c r="I123" s="11">
        <v>11130</v>
      </c>
      <c r="J123" s="11">
        <v>11130</v>
      </c>
      <c r="K123" s="3"/>
      <c r="L123" s="11">
        <v>10000</v>
      </c>
      <c r="M123" s="38">
        <f t="shared" si="3"/>
        <v>0.89847259658580414</v>
      </c>
    </row>
    <row r="124" spans="1:13" hidden="1" x14ac:dyDescent="0.25">
      <c r="A124" s="14" t="s">
        <v>179</v>
      </c>
      <c r="B124" s="15" t="s">
        <v>142</v>
      </c>
      <c r="C124" s="16">
        <v>0</v>
      </c>
      <c r="D124" s="11">
        <v>780</v>
      </c>
      <c r="E124" s="11">
        <v>2040</v>
      </c>
      <c r="F124" s="11">
        <v>2880</v>
      </c>
      <c r="G124" s="11">
        <v>1808</v>
      </c>
      <c r="H124" s="3"/>
      <c r="I124" s="11">
        <v>2880</v>
      </c>
      <c r="J124" s="11">
        <v>2880</v>
      </c>
      <c r="K124" s="3"/>
      <c r="L124" s="11">
        <v>3400</v>
      </c>
      <c r="M124" s="38">
        <f t="shared" si="3"/>
        <v>1.1805555555555556</v>
      </c>
    </row>
    <row r="125" spans="1:13" hidden="1" x14ac:dyDescent="0.25">
      <c r="A125" s="14" t="s">
        <v>180</v>
      </c>
      <c r="B125" s="15" t="s">
        <v>146</v>
      </c>
      <c r="C125" s="16">
        <v>9812</v>
      </c>
      <c r="D125" s="11">
        <v>7179.74</v>
      </c>
      <c r="E125" s="11">
        <v>2565.46</v>
      </c>
      <c r="F125" s="11">
        <v>471.52</v>
      </c>
      <c r="G125" s="11">
        <v>2092.15</v>
      </c>
      <c r="H125" s="3"/>
      <c r="I125" s="11"/>
      <c r="J125" s="11">
        <v>0</v>
      </c>
      <c r="K125" s="3"/>
      <c r="L125" s="11"/>
    </row>
    <row r="126" spans="1:13" hidden="1" x14ac:dyDescent="0.25">
      <c r="A126" s="14" t="s">
        <v>181</v>
      </c>
      <c r="B126" s="15" t="s">
        <v>182</v>
      </c>
      <c r="C126" s="16">
        <v>0</v>
      </c>
      <c r="D126" s="11">
        <v>678.62</v>
      </c>
      <c r="E126" s="11">
        <v>13.48</v>
      </c>
      <c r="F126" s="11">
        <v>151.41</v>
      </c>
      <c r="G126" s="11">
        <v>46.12</v>
      </c>
      <c r="H126" s="3"/>
      <c r="I126" s="11">
        <v>200</v>
      </c>
      <c r="J126" s="11">
        <v>200</v>
      </c>
      <c r="K126" s="3"/>
      <c r="L126" s="11">
        <v>100</v>
      </c>
      <c r="M126" s="38">
        <f>+L126/J126</f>
        <v>0.5</v>
      </c>
    </row>
    <row r="127" spans="1:13" hidden="1" x14ac:dyDescent="0.25">
      <c r="A127" s="14" t="s">
        <v>183</v>
      </c>
      <c r="B127" s="15" t="s">
        <v>184</v>
      </c>
      <c r="C127" s="16">
        <v>170</v>
      </c>
      <c r="D127" s="11">
        <v>248.95</v>
      </c>
      <c r="E127" s="11">
        <v>1737.2</v>
      </c>
      <c r="F127" s="11">
        <v>0</v>
      </c>
      <c r="G127" s="11">
        <v>384.3</v>
      </c>
      <c r="H127" s="3"/>
      <c r="I127" s="11">
        <v>2500</v>
      </c>
      <c r="J127" s="11">
        <v>2500</v>
      </c>
      <c r="K127" s="3"/>
      <c r="L127" s="11">
        <v>1000</v>
      </c>
      <c r="M127" s="38">
        <f>+L127/J127</f>
        <v>0.4</v>
      </c>
    </row>
    <row r="128" spans="1:13" hidden="1" x14ac:dyDescent="0.25">
      <c r="A128" s="14" t="s">
        <v>185</v>
      </c>
      <c r="B128" s="15" t="s">
        <v>152</v>
      </c>
      <c r="C128" s="16">
        <v>274</v>
      </c>
      <c r="D128" s="11">
        <v>278.35000000000002</v>
      </c>
      <c r="E128" s="11">
        <v>188.23</v>
      </c>
      <c r="F128" s="11">
        <v>295.79000000000002</v>
      </c>
      <c r="G128" s="11">
        <v>365.12</v>
      </c>
      <c r="H128" s="3"/>
      <c r="I128" s="11">
        <v>500</v>
      </c>
      <c r="J128" s="11">
        <v>500</v>
      </c>
      <c r="K128" s="3"/>
      <c r="L128" s="11">
        <v>500</v>
      </c>
      <c r="M128" s="38">
        <f>+L128/J128</f>
        <v>1</v>
      </c>
    </row>
    <row r="129" spans="1:13" hidden="1" x14ac:dyDescent="0.25">
      <c r="A129" s="14" t="s">
        <v>186</v>
      </c>
      <c r="B129" s="15" t="s">
        <v>156</v>
      </c>
      <c r="C129" s="16">
        <v>0</v>
      </c>
      <c r="D129" s="11">
        <v>849.2</v>
      </c>
      <c r="E129" s="11"/>
      <c r="F129" s="11">
        <v>0</v>
      </c>
      <c r="G129" s="11">
        <v>0</v>
      </c>
      <c r="H129" s="3"/>
      <c r="I129" s="11"/>
      <c r="J129" s="11"/>
      <c r="K129" s="3"/>
      <c r="L129" s="11"/>
    </row>
    <row r="130" spans="1:13" hidden="1" x14ac:dyDescent="0.25">
      <c r="A130" s="14" t="s">
        <v>187</v>
      </c>
      <c r="B130" s="15" t="s">
        <v>158</v>
      </c>
      <c r="C130" s="16">
        <v>156</v>
      </c>
      <c r="D130" s="11">
        <v>0</v>
      </c>
      <c r="E130" s="11">
        <v>0</v>
      </c>
      <c r="F130" s="11">
        <v>0</v>
      </c>
      <c r="G130" s="11">
        <v>0</v>
      </c>
      <c r="H130" s="3"/>
      <c r="I130" s="11">
        <v>1000</v>
      </c>
      <c r="J130" s="11">
        <v>1000</v>
      </c>
      <c r="K130" s="3"/>
      <c r="L130" s="11">
        <v>1000</v>
      </c>
      <c r="M130" s="38">
        <f>+L130/J130</f>
        <v>1</v>
      </c>
    </row>
    <row r="131" spans="1:13" hidden="1" x14ac:dyDescent="0.25">
      <c r="A131" s="14" t="s">
        <v>188</v>
      </c>
      <c r="B131" s="15" t="s">
        <v>160</v>
      </c>
      <c r="C131" s="16">
        <v>3361</v>
      </c>
      <c r="D131" s="11">
        <v>5796.52</v>
      </c>
      <c r="E131" s="11">
        <v>2531.19</v>
      </c>
      <c r="F131" s="11">
        <v>4850.5600000000004</v>
      </c>
      <c r="G131" s="11">
        <v>1651.74</v>
      </c>
      <c r="H131" s="3"/>
      <c r="I131" s="11">
        <v>7000</v>
      </c>
      <c r="J131" s="11">
        <v>7000</v>
      </c>
      <c r="K131" s="3"/>
      <c r="L131" s="11">
        <v>2500</v>
      </c>
      <c r="M131" s="38">
        <f>+L131/J131</f>
        <v>0.35714285714285715</v>
      </c>
    </row>
    <row r="132" spans="1:13" hidden="1" x14ac:dyDescent="0.25">
      <c r="A132" s="14" t="s">
        <v>189</v>
      </c>
      <c r="B132" s="15" t="s">
        <v>80</v>
      </c>
      <c r="C132" s="16">
        <v>2862</v>
      </c>
      <c r="D132" s="11">
        <v>2240.1999999999998</v>
      </c>
      <c r="E132" s="11">
        <v>331.83</v>
      </c>
      <c r="F132" s="11">
        <v>65.14</v>
      </c>
      <c r="G132" s="11">
        <v>447.89</v>
      </c>
      <c r="H132" s="3"/>
      <c r="I132" s="11">
        <v>1500</v>
      </c>
      <c r="J132" s="11">
        <v>1500</v>
      </c>
      <c r="K132" s="3"/>
      <c r="L132" s="11">
        <v>1000</v>
      </c>
      <c r="M132" s="38">
        <f>+L132/J132</f>
        <v>0.66666666666666663</v>
      </c>
    </row>
    <row r="133" spans="1:13" hidden="1" x14ac:dyDescent="0.25">
      <c r="A133" s="14" t="s">
        <v>190</v>
      </c>
      <c r="B133" s="15" t="s">
        <v>164</v>
      </c>
      <c r="C133" s="16">
        <v>1185</v>
      </c>
      <c r="D133" s="11">
        <v>1175.76</v>
      </c>
      <c r="E133" s="11">
        <v>220</v>
      </c>
      <c r="F133" s="11">
        <v>883.97</v>
      </c>
      <c r="G133" s="11">
        <v>703</v>
      </c>
      <c r="H133" s="3"/>
      <c r="I133" s="11">
        <v>1500</v>
      </c>
      <c r="J133" s="11">
        <v>1500</v>
      </c>
      <c r="K133" s="3"/>
      <c r="L133" s="11">
        <v>1500</v>
      </c>
      <c r="M133" s="38">
        <f>+L133/J133</f>
        <v>1</v>
      </c>
    </row>
    <row r="134" spans="1:13" hidden="1" x14ac:dyDescent="0.25">
      <c r="A134" s="14">
        <v>6052000</v>
      </c>
      <c r="B134" s="15" t="s">
        <v>191</v>
      </c>
      <c r="C134" s="16"/>
      <c r="D134" s="11"/>
      <c r="E134" s="11"/>
      <c r="F134" s="11">
        <v>0</v>
      </c>
      <c r="G134" s="11">
        <v>0</v>
      </c>
      <c r="H134" s="3"/>
      <c r="I134" s="11"/>
      <c r="J134" s="11"/>
      <c r="K134" s="3"/>
      <c r="L134" s="11"/>
    </row>
    <row r="135" spans="1:13" hidden="1" x14ac:dyDescent="0.25">
      <c r="A135" s="14"/>
      <c r="B135" s="15"/>
      <c r="C135" s="16"/>
      <c r="D135" s="11"/>
      <c r="E135" s="11"/>
      <c r="F135" s="11"/>
      <c r="G135" s="11"/>
      <c r="H135" s="3"/>
      <c r="I135" s="11"/>
      <c r="J135" s="11"/>
      <c r="K135" s="3"/>
      <c r="L135" s="11"/>
    </row>
    <row r="136" spans="1:13" hidden="1" x14ac:dyDescent="0.25">
      <c r="A136" s="29"/>
      <c r="B136" s="30" t="s">
        <v>192</v>
      </c>
      <c r="C136" s="16">
        <f>SUM(C113:C134)</f>
        <v>166832</v>
      </c>
      <c r="D136" s="11">
        <f>SUM(D113:D134)</f>
        <v>223603.50000000003</v>
      </c>
      <c r="E136" s="11">
        <f>SUM(E113:E134)</f>
        <v>178838.46</v>
      </c>
      <c r="F136" s="11">
        <f>SUM(F113:F134)</f>
        <v>235154.10000000003</v>
      </c>
      <c r="G136" s="11">
        <f>SUM(G113:G134)</f>
        <v>196285.02</v>
      </c>
      <c r="H136" s="3"/>
      <c r="I136" s="11">
        <f>SUM(I113:I134)</f>
        <v>240563.3</v>
      </c>
      <c r="J136" s="11">
        <f>SUM(J113:J134)</f>
        <v>240563.3</v>
      </c>
      <c r="K136" s="3"/>
      <c r="L136" s="11">
        <f>SUM(L113:L134)</f>
        <v>255639.44696840001</v>
      </c>
      <c r="M136" s="38">
        <f>+L136/J136</f>
        <v>1.0626701868838682</v>
      </c>
    </row>
    <row r="137" spans="1:13" hidden="1" x14ac:dyDescent="0.25">
      <c r="A137" s="29"/>
      <c r="B137" s="30"/>
      <c r="C137" s="16"/>
      <c r="D137" s="11"/>
      <c r="E137" s="11"/>
      <c r="F137" s="11"/>
      <c r="G137" s="11"/>
      <c r="H137" s="3"/>
      <c r="I137" s="11"/>
      <c r="J137" s="11"/>
      <c r="K137" s="3"/>
      <c r="L137" s="11"/>
    </row>
    <row r="138" spans="1:13" hidden="1" x14ac:dyDescent="0.25">
      <c r="A138" s="14" t="s">
        <v>193</v>
      </c>
      <c r="B138" s="15" t="s">
        <v>124</v>
      </c>
      <c r="C138" s="16">
        <v>51980</v>
      </c>
      <c r="D138" s="11">
        <v>54667.360000000001</v>
      </c>
      <c r="E138" s="11">
        <v>55705.91</v>
      </c>
      <c r="F138" s="11">
        <v>77351.539999999994</v>
      </c>
      <c r="G138" s="11">
        <v>67077.399999999994</v>
      </c>
      <c r="H138" s="3"/>
      <c r="I138" s="11">
        <v>110589</v>
      </c>
      <c r="J138" s="11">
        <v>110589</v>
      </c>
      <c r="K138" s="3"/>
      <c r="L138" s="11">
        <f>+'[1]Non-Union - 3.5%'!$I$43</f>
        <v>113560.2</v>
      </c>
      <c r="M138" s="38">
        <f t="shared" ref="M138:M145" si="4">+L138/J138</f>
        <v>1.0268670482597726</v>
      </c>
    </row>
    <row r="139" spans="1:13" hidden="1" x14ac:dyDescent="0.25">
      <c r="A139" s="14" t="s">
        <v>194</v>
      </c>
      <c r="B139" s="15" t="s">
        <v>126</v>
      </c>
      <c r="C139" s="16">
        <v>4106</v>
      </c>
      <c r="D139" s="11">
        <v>4775.8500000000004</v>
      </c>
      <c r="E139" s="11">
        <v>4564.83</v>
      </c>
      <c r="F139" s="11">
        <v>6504.31</v>
      </c>
      <c r="G139" s="11">
        <v>4632.8100000000004</v>
      </c>
      <c r="H139" s="3"/>
      <c r="I139" s="11">
        <v>8847</v>
      </c>
      <c r="J139" s="11">
        <v>8847</v>
      </c>
      <c r="K139" s="3"/>
      <c r="L139" s="11">
        <f>+'[1]Non-Union - 3.5%'!$P$43</f>
        <v>9084.8159999999989</v>
      </c>
      <c r="M139" s="38">
        <f t="shared" si="4"/>
        <v>1.026880976602238</v>
      </c>
    </row>
    <row r="140" spans="1:13" hidden="1" x14ac:dyDescent="0.25">
      <c r="A140" s="14" t="s">
        <v>195</v>
      </c>
      <c r="B140" s="15" t="s">
        <v>128</v>
      </c>
      <c r="C140" s="16">
        <v>10250</v>
      </c>
      <c r="D140" s="11">
        <v>10725.34</v>
      </c>
      <c r="E140" s="11">
        <v>11006.55</v>
      </c>
      <c r="F140" s="11">
        <v>14335.23</v>
      </c>
      <c r="G140" s="11">
        <v>11031.78</v>
      </c>
      <c r="H140" s="3"/>
      <c r="I140" s="11">
        <v>15891</v>
      </c>
      <c r="J140" s="11">
        <v>15891</v>
      </c>
      <c r="K140" s="3"/>
      <c r="L140" s="11">
        <f>+SUM('[1]Non-Union - 3.5%'!$K$43:$N$43)</f>
        <v>18515.920000000002</v>
      </c>
      <c r="M140" s="38">
        <f t="shared" si="4"/>
        <v>1.1651828078786737</v>
      </c>
    </row>
    <row r="141" spans="1:13" hidden="1" x14ac:dyDescent="0.25">
      <c r="A141" s="14" t="s">
        <v>196</v>
      </c>
      <c r="B141" s="15" t="s">
        <v>130</v>
      </c>
      <c r="C141" s="16">
        <v>1422</v>
      </c>
      <c r="D141" s="11">
        <v>1599.68</v>
      </c>
      <c r="E141" s="11">
        <v>2038.87</v>
      </c>
      <c r="F141" s="11">
        <v>1812.72</v>
      </c>
      <c r="G141" s="11">
        <v>1272.3599999999999</v>
      </c>
      <c r="H141" s="3"/>
      <c r="I141" s="11">
        <v>1950</v>
      </c>
      <c r="J141" s="11">
        <v>1950</v>
      </c>
      <c r="K141" s="3"/>
      <c r="L141" s="11">
        <f>+'[1]Non-Union - 3.5%'!$O$43</f>
        <v>2018.25</v>
      </c>
      <c r="M141" s="38">
        <f t="shared" si="4"/>
        <v>1.0349999999999999</v>
      </c>
    </row>
    <row r="142" spans="1:13" hidden="1" x14ac:dyDescent="0.25">
      <c r="A142" s="14" t="s">
        <v>197</v>
      </c>
      <c r="B142" s="15" t="s">
        <v>171</v>
      </c>
      <c r="C142" s="16">
        <v>0</v>
      </c>
      <c r="D142" s="11">
        <v>42</v>
      </c>
      <c r="E142" s="11">
        <v>20</v>
      </c>
      <c r="F142" s="11">
        <v>0</v>
      </c>
      <c r="G142" s="11">
        <v>134.38999999999999</v>
      </c>
      <c r="H142" s="3"/>
      <c r="I142" s="11">
        <v>200</v>
      </c>
      <c r="J142" s="11">
        <v>200</v>
      </c>
      <c r="K142" s="3"/>
      <c r="L142" s="11">
        <v>200</v>
      </c>
      <c r="M142" s="38">
        <f t="shared" si="4"/>
        <v>1</v>
      </c>
    </row>
    <row r="143" spans="1:13" hidden="1" x14ac:dyDescent="0.25">
      <c r="A143" s="14" t="s">
        <v>198</v>
      </c>
      <c r="B143" s="15" t="s">
        <v>132</v>
      </c>
      <c r="C143" s="16">
        <v>270</v>
      </c>
      <c r="D143" s="11"/>
      <c r="E143" s="11">
        <v>661.55</v>
      </c>
      <c r="F143" s="11">
        <v>1301.17</v>
      </c>
      <c r="G143" s="11">
        <v>1747.34</v>
      </c>
      <c r="H143" s="3"/>
      <c r="I143" s="11">
        <v>487</v>
      </c>
      <c r="J143" s="11">
        <v>487</v>
      </c>
      <c r="K143" s="3"/>
      <c r="L143" s="11">
        <f>+'[1]Non-Union - 3.5%'!$R$43</f>
        <v>499.66487999999998</v>
      </c>
      <c r="M143" s="38">
        <f t="shared" si="4"/>
        <v>1.0260059137577002</v>
      </c>
    </row>
    <row r="144" spans="1:13" hidden="1" x14ac:dyDescent="0.25">
      <c r="A144" s="14" t="s">
        <v>199</v>
      </c>
      <c r="B144" s="15" t="s">
        <v>200</v>
      </c>
      <c r="C144" s="16">
        <v>502</v>
      </c>
      <c r="D144" s="11">
        <v>545.34</v>
      </c>
      <c r="E144" s="11">
        <v>738.29</v>
      </c>
      <c r="F144" s="11">
        <v>1088.67</v>
      </c>
      <c r="G144" s="11">
        <v>1300.55</v>
      </c>
      <c r="H144" s="3"/>
      <c r="I144" s="11">
        <v>1000</v>
      </c>
      <c r="J144" s="11">
        <v>1000</v>
      </c>
      <c r="K144" s="3"/>
      <c r="L144" s="11">
        <v>1500</v>
      </c>
      <c r="M144" s="38">
        <f t="shared" si="4"/>
        <v>1.5</v>
      </c>
    </row>
    <row r="145" spans="1:13" hidden="1" x14ac:dyDescent="0.25">
      <c r="A145" s="14" t="s">
        <v>201</v>
      </c>
      <c r="B145" s="15" t="s">
        <v>182</v>
      </c>
      <c r="C145" s="16">
        <v>960</v>
      </c>
      <c r="D145" s="11">
        <v>1524.36</v>
      </c>
      <c r="E145" s="11">
        <v>1848.74</v>
      </c>
      <c r="F145" s="11">
        <v>1790.09</v>
      </c>
      <c r="G145" s="11">
        <v>1692.08</v>
      </c>
      <c r="H145" s="3"/>
      <c r="I145" s="11">
        <v>2500</v>
      </c>
      <c r="J145" s="11">
        <v>2500</v>
      </c>
      <c r="K145" s="3"/>
      <c r="L145" s="11">
        <v>2500</v>
      </c>
      <c r="M145" s="38">
        <f t="shared" si="4"/>
        <v>1</v>
      </c>
    </row>
    <row r="146" spans="1:13" hidden="1" x14ac:dyDescent="0.25">
      <c r="A146" s="14">
        <v>6060610</v>
      </c>
      <c r="B146" s="15" t="s">
        <v>184</v>
      </c>
      <c r="C146" s="16"/>
      <c r="D146" s="11"/>
      <c r="E146" s="11"/>
      <c r="F146" s="11">
        <v>453.95</v>
      </c>
      <c r="G146" s="11">
        <v>0</v>
      </c>
      <c r="H146" s="3"/>
      <c r="I146" s="11"/>
      <c r="J146" s="11"/>
      <c r="K146" s="3"/>
      <c r="L146" s="11"/>
    </row>
    <row r="147" spans="1:13" hidden="1" x14ac:dyDescent="0.25">
      <c r="A147" s="14" t="s">
        <v>202</v>
      </c>
      <c r="B147" s="15" t="s">
        <v>156</v>
      </c>
      <c r="C147" s="16">
        <v>145</v>
      </c>
      <c r="D147" s="11">
        <v>200.74</v>
      </c>
      <c r="E147" s="11">
        <v>0</v>
      </c>
      <c r="F147" s="11"/>
      <c r="G147" s="11">
        <v>205</v>
      </c>
      <c r="H147" s="3"/>
      <c r="I147" s="11">
        <v>500</v>
      </c>
      <c r="J147" s="11">
        <v>500</v>
      </c>
      <c r="K147" s="3"/>
      <c r="L147" s="11">
        <v>500</v>
      </c>
      <c r="M147" s="38">
        <f>+L147/J147</f>
        <v>1</v>
      </c>
    </row>
    <row r="148" spans="1:13" hidden="1" x14ac:dyDescent="0.25">
      <c r="A148" s="14" t="s">
        <v>203</v>
      </c>
      <c r="B148" s="15" t="s">
        <v>158</v>
      </c>
      <c r="C148" s="16">
        <v>155</v>
      </c>
      <c r="D148" s="11">
        <v>165</v>
      </c>
      <c r="E148" s="11">
        <v>165</v>
      </c>
      <c r="F148" s="11">
        <v>903.91</v>
      </c>
      <c r="G148" s="11">
        <v>70</v>
      </c>
      <c r="H148" s="3"/>
      <c r="I148" s="11">
        <v>1000</v>
      </c>
      <c r="J148" s="11">
        <v>1000</v>
      </c>
      <c r="K148" s="3"/>
      <c r="L148" s="11">
        <v>500</v>
      </c>
      <c r="M148" s="38">
        <f>+L148/J148</f>
        <v>0.5</v>
      </c>
    </row>
    <row r="149" spans="1:13" hidden="1" x14ac:dyDescent="0.25">
      <c r="A149" s="14" t="s">
        <v>204</v>
      </c>
      <c r="B149" s="15" t="s">
        <v>160</v>
      </c>
      <c r="C149" s="16">
        <v>864</v>
      </c>
      <c r="D149" s="11">
        <v>1547.8</v>
      </c>
      <c r="E149" s="11">
        <v>913.43</v>
      </c>
      <c r="F149" s="11">
        <v>1486.03</v>
      </c>
      <c r="G149" s="11">
        <v>1402.02</v>
      </c>
      <c r="H149" s="3"/>
      <c r="I149" s="11">
        <v>2500</v>
      </c>
      <c r="J149" s="11">
        <v>2500</v>
      </c>
      <c r="K149" s="3"/>
      <c r="L149" s="11">
        <v>2000</v>
      </c>
      <c r="M149" s="38">
        <f>+L149/J149</f>
        <v>0.8</v>
      </c>
    </row>
    <row r="150" spans="1:13" hidden="1" x14ac:dyDescent="0.25">
      <c r="A150" s="14" t="s">
        <v>205</v>
      </c>
      <c r="B150" s="15" t="s">
        <v>80</v>
      </c>
      <c r="C150" s="16">
        <v>99</v>
      </c>
      <c r="D150" s="11">
        <v>53.38</v>
      </c>
      <c r="E150" s="11">
        <v>52</v>
      </c>
      <c r="F150" s="11">
        <v>75.03</v>
      </c>
      <c r="G150" s="11">
        <v>0</v>
      </c>
      <c r="H150" s="3"/>
      <c r="I150" s="11">
        <v>250</v>
      </c>
      <c r="J150" s="11">
        <v>250</v>
      </c>
      <c r="K150" s="3"/>
      <c r="L150" s="11">
        <v>250</v>
      </c>
      <c r="M150" s="38">
        <f>+L150/J150</f>
        <v>1</v>
      </c>
    </row>
    <row r="151" spans="1:13" hidden="1" x14ac:dyDescent="0.25">
      <c r="A151" s="14"/>
      <c r="B151" s="15"/>
      <c r="C151" s="16"/>
      <c r="D151" s="11"/>
      <c r="E151" s="11"/>
      <c r="F151" s="11"/>
      <c r="G151" s="11"/>
      <c r="H151" s="3"/>
      <c r="I151" s="11"/>
      <c r="J151" s="11"/>
      <c r="K151" s="3"/>
      <c r="L151" s="11"/>
    </row>
    <row r="152" spans="1:13" hidden="1" x14ac:dyDescent="0.25">
      <c r="A152" s="29"/>
      <c r="B152" s="30" t="s">
        <v>206</v>
      </c>
      <c r="C152" s="16">
        <f>SUM(C138:C150)</f>
        <v>70753</v>
      </c>
      <c r="D152" s="11">
        <f>SUM(D138:D150)</f>
        <v>75846.850000000006</v>
      </c>
      <c r="E152" s="11">
        <f>SUM(E138:E150)</f>
        <v>77715.17</v>
      </c>
      <c r="F152" s="11">
        <f>SUM(F138:F150)</f>
        <v>107102.64999999998</v>
      </c>
      <c r="G152" s="11">
        <f>SUM(G138:G150)</f>
        <v>90565.73</v>
      </c>
      <c r="H152" s="3"/>
      <c r="I152" s="11">
        <f>SUM(I138:I150)</f>
        <v>145714</v>
      </c>
      <c r="J152" s="11">
        <f>SUM(J138:J150)</f>
        <v>145714</v>
      </c>
      <c r="K152" s="3"/>
      <c r="L152" s="11">
        <f>SUM(L138:L150)</f>
        <v>151128.85088000001</v>
      </c>
      <c r="M152" s="38">
        <f>+L152/J152</f>
        <v>1.0371608141976749</v>
      </c>
    </row>
    <row r="153" spans="1:13" hidden="1" x14ac:dyDescent="0.25">
      <c r="A153" s="29"/>
      <c r="B153" s="30"/>
      <c r="C153" s="16"/>
      <c r="D153" s="11"/>
      <c r="E153" s="11"/>
      <c r="F153" s="11"/>
      <c r="G153" s="11"/>
      <c r="H153" s="3"/>
      <c r="I153" s="11"/>
      <c r="J153" s="11"/>
      <c r="K153" s="3"/>
      <c r="L153" s="11"/>
    </row>
    <row r="154" spans="1:13" hidden="1" x14ac:dyDescent="0.25">
      <c r="A154" s="14" t="s">
        <v>207</v>
      </c>
      <c r="B154" s="15" t="s">
        <v>124</v>
      </c>
      <c r="C154" s="16">
        <v>41240</v>
      </c>
      <c r="D154" s="11">
        <v>60236.07</v>
      </c>
      <c r="E154" s="11">
        <v>33683.4</v>
      </c>
      <c r="F154" s="11">
        <v>39820.85</v>
      </c>
      <c r="G154" s="11">
        <v>25463.07</v>
      </c>
      <c r="H154" s="3"/>
      <c r="I154" s="11">
        <v>62859</v>
      </c>
      <c r="J154" s="11">
        <v>40000</v>
      </c>
      <c r="K154" s="3"/>
      <c r="L154" s="11">
        <f>+'[1]Non-Union - 3.5%'!$I$47</f>
        <v>29062.799999999996</v>
      </c>
      <c r="M154" s="38">
        <f t="shared" ref="M154:M160" si="5">+L154/J154</f>
        <v>0.72656999999999994</v>
      </c>
    </row>
    <row r="155" spans="1:13" hidden="1" x14ac:dyDescent="0.25">
      <c r="A155" s="14" t="s">
        <v>208</v>
      </c>
      <c r="B155" s="15" t="s">
        <v>126</v>
      </c>
      <c r="C155" s="16">
        <v>3874</v>
      </c>
      <c r="D155" s="11">
        <v>5318.45</v>
      </c>
      <c r="E155" s="11">
        <v>2923.34</v>
      </c>
      <c r="F155" s="11">
        <v>3373.75</v>
      </c>
      <c r="G155" s="11">
        <v>1995.67</v>
      </c>
      <c r="H155" s="3"/>
      <c r="I155" s="11">
        <v>5029</v>
      </c>
      <c r="J155" s="11">
        <v>3200</v>
      </c>
      <c r="K155" s="3"/>
      <c r="L155" s="11">
        <f>+'[1]Non-Union - 3.5%'!$P$47</f>
        <v>2325.0239999999999</v>
      </c>
      <c r="M155" s="38">
        <f t="shared" si="5"/>
        <v>0.72656999999999994</v>
      </c>
    </row>
    <row r="156" spans="1:13" hidden="1" x14ac:dyDescent="0.25">
      <c r="A156" s="14" t="s">
        <v>209</v>
      </c>
      <c r="B156" s="15" t="s">
        <v>171</v>
      </c>
      <c r="C156" s="16">
        <v>18</v>
      </c>
      <c r="D156" s="11">
        <v>11.7</v>
      </c>
      <c r="E156" s="11">
        <v>0</v>
      </c>
      <c r="F156" s="11"/>
      <c r="G156" s="11">
        <v>324.13</v>
      </c>
      <c r="H156" s="3"/>
      <c r="I156" s="11"/>
      <c r="J156" s="11"/>
      <c r="K156" s="3"/>
      <c r="L156" s="11">
        <v>250</v>
      </c>
    </row>
    <row r="157" spans="1:13" hidden="1" x14ac:dyDescent="0.25">
      <c r="A157" s="14" t="s">
        <v>210</v>
      </c>
      <c r="B157" s="15" t="s">
        <v>132</v>
      </c>
      <c r="C157" s="16">
        <v>111</v>
      </c>
      <c r="D157" s="11">
        <v>87.01</v>
      </c>
      <c r="E157" s="11">
        <v>647.65</v>
      </c>
      <c r="F157" s="11">
        <v>1301.17</v>
      </c>
      <c r="G157" s="11">
        <v>610.53</v>
      </c>
      <c r="H157" s="3"/>
      <c r="I157" s="11">
        <v>82</v>
      </c>
      <c r="J157" s="11">
        <v>82</v>
      </c>
      <c r="K157" s="3"/>
      <c r="L157" s="11">
        <f>+'[1]Non-Union - 3.5%'!$R$47</f>
        <v>37.781639999999996</v>
      </c>
      <c r="M157" s="38">
        <f t="shared" si="5"/>
        <v>0.4607517073170731</v>
      </c>
    </row>
    <row r="158" spans="1:13" hidden="1" x14ac:dyDescent="0.25">
      <c r="A158" s="14">
        <v>6071300</v>
      </c>
      <c r="B158" s="15" t="s">
        <v>211</v>
      </c>
      <c r="C158" s="16">
        <v>0</v>
      </c>
      <c r="D158" s="11">
        <v>421.17</v>
      </c>
      <c r="E158" s="11">
        <v>188.65</v>
      </c>
      <c r="F158" s="11"/>
      <c r="G158" s="11">
        <v>0</v>
      </c>
      <c r="H158" s="3"/>
      <c r="I158" s="11">
        <v>250</v>
      </c>
      <c r="J158" s="11">
        <v>250</v>
      </c>
      <c r="K158" s="3"/>
      <c r="L158" s="11">
        <v>250</v>
      </c>
      <c r="M158" s="38">
        <f t="shared" si="5"/>
        <v>1</v>
      </c>
    </row>
    <row r="159" spans="1:13" hidden="1" x14ac:dyDescent="0.25">
      <c r="A159" s="14" t="s">
        <v>212</v>
      </c>
      <c r="B159" s="15" t="s">
        <v>160</v>
      </c>
      <c r="C159" s="16">
        <v>749</v>
      </c>
      <c r="D159" s="11">
        <v>1967.46</v>
      </c>
      <c r="E159" s="11">
        <v>1154.2</v>
      </c>
      <c r="F159" s="11">
        <v>629.27</v>
      </c>
      <c r="G159" s="11">
        <v>907.21</v>
      </c>
      <c r="H159" s="3"/>
      <c r="I159" s="11">
        <v>1200</v>
      </c>
      <c r="J159" s="11">
        <v>1200</v>
      </c>
      <c r="K159" s="3"/>
      <c r="L159" s="11">
        <v>1200</v>
      </c>
      <c r="M159" s="38">
        <f t="shared" si="5"/>
        <v>1</v>
      </c>
    </row>
    <row r="160" spans="1:13" hidden="1" x14ac:dyDescent="0.25">
      <c r="A160" s="14" t="s">
        <v>213</v>
      </c>
      <c r="B160" s="15" t="s">
        <v>80</v>
      </c>
      <c r="C160" s="16">
        <v>444</v>
      </c>
      <c r="D160" s="11">
        <v>1106.8800000000001</v>
      </c>
      <c r="E160" s="11">
        <v>0</v>
      </c>
      <c r="F160" s="11"/>
      <c r="G160" s="11">
        <v>0</v>
      </c>
      <c r="H160" s="3"/>
      <c r="I160" s="11">
        <v>500</v>
      </c>
      <c r="J160" s="11">
        <v>500</v>
      </c>
      <c r="K160" s="3"/>
      <c r="L160" s="11">
        <v>250</v>
      </c>
      <c r="M160" s="38">
        <f t="shared" si="5"/>
        <v>0.5</v>
      </c>
    </row>
    <row r="161" spans="1:15" hidden="1" x14ac:dyDescent="0.25">
      <c r="A161" s="14"/>
      <c r="B161" s="15"/>
      <c r="C161" s="16"/>
      <c r="D161" s="11"/>
      <c r="E161" s="11"/>
      <c r="F161" s="11"/>
      <c r="G161" s="11"/>
      <c r="H161" s="3"/>
      <c r="I161" s="11"/>
      <c r="J161" s="11"/>
      <c r="K161" s="3"/>
      <c r="L161" s="11"/>
    </row>
    <row r="162" spans="1:15" hidden="1" x14ac:dyDescent="0.25">
      <c r="A162" s="29"/>
      <c r="B162" s="30" t="s">
        <v>214</v>
      </c>
      <c r="C162" s="16">
        <f>SUM(C154:C160)</f>
        <v>46436</v>
      </c>
      <c r="D162" s="11">
        <f>SUM(D154:D160)</f>
        <v>69148.740000000005</v>
      </c>
      <c r="E162" s="11">
        <f>SUM(E154:E160)</f>
        <v>38597.240000000005</v>
      </c>
      <c r="F162" s="11">
        <f>SUM(F154:F160)</f>
        <v>45125.039999999994</v>
      </c>
      <c r="G162" s="11">
        <f>SUM(G154:G160)</f>
        <v>29300.609999999997</v>
      </c>
      <c r="H162" s="3"/>
      <c r="I162" s="11">
        <f>SUM(I154:I160)</f>
        <v>69920</v>
      </c>
      <c r="J162" s="11">
        <f>SUM(J154:J160)</f>
        <v>45232</v>
      </c>
      <c r="K162" s="3"/>
      <c r="L162" s="11">
        <f>SUM(L154:L160)</f>
        <v>33375.605639999994</v>
      </c>
      <c r="M162" s="38">
        <f>+L162/J162</f>
        <v>0.73787596480367867</v>
      </c>
    </row>
    <row r="163" spans="1:15" hidden="1" x14ac:dyDescent="0.25">
      <c r="A163" s="29"/>
      <c r="B163" s="30"/>
      <c r="C163" s="16"/>
      <c r="D163" s="11"/>
      <c r="E163" s="11"/>
      <c r="F163" s="11"/>
      <c r="G163" s="11"/>
      <c r="H163" s="3"/>
      <c r="I163" s="11"/>
      <c r="J163" s="11"/>
      <c r="K163" s="3"/>
      <c r="L163" s="11"/>
    </row>
    <row r="164" spans="1:15" hidden="1" x14ac:dyDescent="0.25">
      <c r="A164" s="17" t="s">
        <v>21</v>
      </c>
      <c r="B164" s="18" t="s">
        <v>215</v>
      </c>
      <c r="C164" s="11">
        <f>+C162+C152+C136+C111+C86</f>
        <v>1151613</v>
      </c>
      <c r="D164" s="11">
        <f>+D162+D152+D136+D111+D86</f>
        <v>1341454.58</v>
      </c>
      <c r="E164" s="11">
        <f>+E162+E152+E136+E111+E86</f>
        <v>1196697.2400000002</v>
      </c>
      <c r="F164" s="11">
        <f>+F162+F152+F136+F111+F86</f>
        <v>1526616.7560000001</v>
      </c>
      <c r="G164" s="11">
        <f>+G162+G152+G136+G111+G86</f>
        <v>1215212.9099999999</v>
      </c>
      <c r="H164" s="3"/>
      <c r="I164" s="11">
        <f>+I162+I152+I136+I111+I86</f>
        <v>1709098.3</v>
      </c>
      <c r="J164" s="11">
        <f>+J162+J152+J136+J111+J86</f>
        <v>1824010.3</v>
      </c>
      <c r="K164" s="3"/>
      <c r="L164" s="11">
        <f>+L162+L152+L136+L111+L86</f>
        <v>1771859.0770402863</v>
      </c>
      <c r="M164" s="38">
        <f>+L164/J164</f>
        <v>0.97140848220006559</v>
      </c>
    </row>
    <row r="165" spans="1:15" hidden="1" x14ac:dyDescent="0.25">
      <c r="D165" s="11"/>
      <c r="E165" s="11"/>
      <c r="F165" s="11"/>
      <c r="G165" s="11"/>
      <c r="H165" s="3"/>
      <c r="I165" s="11"/>
      <c r="J165" s="11"/>
      <c r="K165" s="3"/>
      <c r="L165" s="11"/>
    </row>
    <row r="166" spans="1:15" x14ac:dyDescent="0.25">
      <c r="A166" s="9" t="s">
        <v>216</v>
      </c>
      <c r="B166" s="10" t="s">
        <v>217</v>
      </c>
      <c r="D166" s="11"/>
      <c r="E166" s="11"/>
      <c r="F166" s="11"/>
      <c r="G166" s="11"/>
      <c r="H166" s="3"/>
      <c r="I166" s="11"/>
      <c r="J166" s="11"/>
      <c r="K166" s="3"/>
      <c r="L166" s="11"/>
    </row>
    <row r="167" spans="1:15" x14ac:dyDescent="0.25">
      <c r="A167" s="12" t="s">
        <v>9</v>
      </c>
      <c r="B167" s="13" t="s">
        <v>10</v>
      </c>
      <c r="D167" s="11"/>
      <c r="E167" s="11"/>
      <c r="F167" s="11"/>
      <c r="G167" s="11"/>
      <c r="H167" s="3"/>
      <c r="I167" s="11"/>
      <c r="J167" s="11"/>
      <c r="K167" s="3"/>
      <c r="L167" s="11"/>
    </row>
    <row r="168" spans="1:15" x14ac:dyDescent="0.25">
      <c r="A168" s="14" t="s">
        <v>218</v>
      </c>
      <c r="B168" s="15" t="s">
        <v>219</v>
      </c>
      <c r="C168" s="16">
        <v>676230</v>
      </c>
      <c r="D168" s="11">
        <v>793144.54</v>
      </c>
      <c r="E168" s="11">
        <v>725138.85</v>
      </c>
      <c r="F168" s="11">
        <v>1037671.5</v>
      </c>
      <c r="G168" s="11">
        <v>861248.2</v>
      </c>
      <c r="H168" s="3"/>
      <c r="I168" s="11">
        <v>1150000</v>
      </c>
      <c r="J168" s="11">
        <v>1320000</v>
      </c>
      <c r="K168" s="3"/>
      <c r="L168" s="11">
        <f>+'[1]Non-Union - 3.5%'!$I$17+[1]Union!$H$22+[1]Union!$U$22+[1]Union!$V$22+[1]Union!$W$22</f>
        <v>1347217.3961057691</v>
      </c>
      <c r="M168" s="38">
        <f>+L168/I168</f>
        <v>1.17149338791806</v>
      </c>
      <c r="O168" s="40">
        <f>+L168-I168</f>
        <v>197217.39610576909</v>
      </c>
    </row>
    <row r="169" spans="1:15" x14ac:dyDescent="0.25">
      <c r="A169" s="14" t="s">
        <v>220</v>
      </c>
      <c r="B169" s="15" t="s">
        <v>221</v>
      </c>
      <c r="C169" s="16">
        <v>0</v>
      </c>
      <c r="D169" s="11">
        <v>2250</v>
      </c>
      <c r="E169" s="11">
        <v>9570</v>
      </c>
      <c r="F169" s="11">
        <v>50469.64</v>
      </c>
      <c r="G169" s="11">
        <v>31345</v>
      </c>
      <c r="H169" s="3"/>
      <c r="I169" s="11">
        <v>55120</v>
      </c>
      <c r="J169" s="11">
        <v>55120</v>
      </c>
      <c r="K169" s="3"/>
      <c r="L169" s="11">
        <v>50000</v>
      </c>
      <c r="M169" s="38">
        <f t="shared" ref="M169:M185" si="6">+L169/I169</f>
        <v>0.90711175616835993</v>
      </c>
      <c r="O169" s="40">
        <f t="shared" ref="O169:O208" si="7">+L169-I169</f>
        <v>-5120</v>
      </c>
    </row>
    <row r="170" spans="1:15" x14ac:dyDescent="0.25">
      <c r="A170" s="14" t="s">
        <v>222</v>
      </c>
      <c r="B170" s="15" t="s">
        <v>223</v>
      </c>
      <c r="C170" s="16">
        <v>55881</v>
      </c>
      <c r="D170" s="11">
        <v>57543.17</v>
      </c>
      <c r="E170" s="11">
        <v>55670.48</v>
      </c>
      <c r="F170" s="11">
        <v>82622.080000000002</v>
      </c>
      <c r="G170" s="11">
        <v>62208.480000000003</v>
      </c>
      <c r="H170" s="3"/>
      <c r="I170" s="11">
        <f>8650+12100+68163</f>
        <v>88913</v>
      </c>
      <c r="J170" s="11">
        <v>110009.60000000001</v>
      </c>
      <c r="K170" s="3"/>
      <c r="L170" s="11">
        <f>9253+[1]Union!$O$22+[1]Union!$Z$22</f>
        <v>107777.22048846152</v>
      </c>
      <c r="M170" s="38">
        <f t="shared" si="6"/>
        <v>1.212164930757724</v>
      </c>
      <c r="O170" s="40">
        <f t="shared" si="7"/>
        <v>18864.22048846152</v>
      </c>
    </row>
    <row r="171" spans="1:15" x14ac:dyDescent="0.25">
      <c r="A171" s="14" t="s">
        <v>224</v>
      </c>
      <c r="B171" s="15" t="s">
        <v>225</v>
      </c>
      <c r="C171" s="16">
        <v>152064</v>
      </c>
      <c r="D171" s="11">
        <v>142017.5</v>
      </c>
      <c r="E171" s="11">
        <v>140830.78</v>
      </c>
      <c r="F171" s="11">
        <v>192240.68</v>
      </c>
      <c r="G171" s="11">
        <v>181109.85</v>
      </c>
      <c r="H171" s="3"/>
      <c r="I171" s="11">
        <f>6469+266647+10641+2672+1879</f>
        <v>288308</v>
      </c>
      <c r="J171" s="11">
        <v>288308</v>
      </c>
      <c r="K171" s="3"/>
      <c r="L171" s="11">
        <f>7200+[1]Union!$J$22+[1]Union!$K$22+[1]Union!$L$22+[1]Union!$M$22</f>
        <v>352847.2680000001</v>
      </c>
      <c r="M171" s="38">
        <f t="shared" si="6"/>
        <v>1.223855279770246</v>
      </c>
      <c r="O171" s="40">
        <f t="shared" si="7"/>
        <v>64539.268000000098</v>
      </c>
    </row>
    <row r="172" spans="1:15" x14ac:dyDescent="0.25">
      <c r="A172" s="14" t="s">
        <v>226</v>
      </c>
      <c r="B172" s="15" t="s">
        <v>227</v>
      </c>
      <c r="C172" s="16">
        <v>80802</v>
      </c>
      <c r="D172" s="11">
        <v>98566.28</v>
      </c>
      <c r="E172" s="11">
        <v>68124.479999999996</v>
      </c>
      <c r="F172" s="11">
        <v>90168.43</v>
      </c>
      <c r="G172" s="11">
        <v>85964.77</v>
      </c>
      <c r="H172" s="3"/>
      <c r="I172" s="11">
        <f>144847+18380</f>
        <v>163227</v>
      </c>
      <c r="J172" s="11">
        <v>163227</v>
      </c>
      <c r="K172" s="3"/>
      <c r="L172" s="11">
        <f>464+[1]Union!$N$22</f>
        <v>157782.92819999999</v>
      </c>
      <c r="M172" s="38">
        <f t="shared" si="6"/>
        <v>0.9666472348324725</v>
      </c>
      <c r="O172" s="40">
        <f t="shared" si="7"/>
        <v>-5444.0718000000052</v>
      </c>
    </row>
    <row r="173" spans="1:15" x14ac:dyDescent="0.25">
      <c r="A173" s="14" t="s">
        <v>228</v>
      </c>
      <c r="B173" s="15" t="s">
        <v>229</v>
      </c>
      <c r="C173" s="16">
        <v>10188</v>
      </c>
      <c r="D173" s="11">
        <v>16231.68</v>
      </c>
      <c r="E173" s="11">
        <v>5561.98</v>
      </c>
      <c r="F173" s="11">
        <v>77009.759999999995</v>
      </c>
      <c r="G173" s="11">
        <v>24155.46</v>
      </c>
      <c r="H173" s="3"/>
      <c r="I173" s="11">
        <v>20000</v>
      </c>
      <c r="J173" s="11">
        <v>20000</v>
      </c>
      <c r="K173" s="3"/>
      <c r="L173" s="11">
        <v>20000</v>
      </c>
      <c r="M173" s="38">
        <f t="shared" si="6"/>
        <v>1</v>
      </c>
      <c r="O173" s="40">
        <f t="shared" si="7"/>
        <v>0</v>
      </c>
    </row>
    <row r="174" spans="1:15" x14ac:dyDescent="0.25">
      <c r="A174" s="14" t="s">
        <v>230</v>
      </c>
      <c r="B174" s="15" t="s">
        <v>231</v>
      </c>
      <c r="C174" s="16">
        <v>25001</v>
      </c>
      <c r="D174" s="11">
        <v>31230.12</v>
      </c>
      <c r="E174" s="11">
        <v>19763.8</v>
      </c>
      <c r="F174" s="11">
        <v>8095.98</v>
      </c>
      <c r="G174" s="11">
        <v>33114.26</v>
      </c>
      <c r="H174" s="3"/>
      <c r="I174" s="11">
        <f>29055+5158+3687</f>
        <v>37900</v>
      </c>
      <c r="J174" s="11">
        <v>37900</v>
      </c>
      <c r="K174" s="3"/>
      <c r="L174" s="11">
        <f>3944+[1]Union!$Q$22+[1]Union!$Y$22</f>
        <v>45939.948983206727</v>
      </c>
      <c r="M174" s="38">
        <f t="shared" si="6"/>
        <v>1.2121358570766947</v>
      </c>
      <c r="O174" s="40">
        <f t="shared" si="7"/>
        <v>8039.9489832067266</v>
      </c>
    </row>
    <row r="175" spans="1:15" x14ac:dyDescent="0.25">
      <c r="A175" s="14" t="s">
        <v>232</v>
      </c>
      <c r="B175" s="15" t="s">
        <v>233</v>
      </c>
      <c r="C175" s="16">
        <v>120533</v>
      </c>
      <c r="D175" s="11">
        <v>128146.94</v>
      </c>
      <c r="E175" s="11">
        <v>101451.3</v>
      </c>
      <c r="F175" s="11">
        <v>223940.33</v>
      </c>
      <c r="G175" s="11">
        <v>221517.37</v>
      </c>
      <c r="H175" s="3"/>
      <c r="I175" s="11">
        <f>270263+51628</f>
        <v>321891</v>
      </c>
      <c r="J175" s="11">
        <v>321891</v>
      </c>
      <c r="K175" s="3"/>
      <c r="L175" s="11">
        <f>+'[1]Non-Union - 3.5%'!$I$27+'[1]Non-Union - 3.5%'!$V$27</f>
        <v>353446.86481349997</v>
      </c>
      <c r="M175" s="38">
        <f t="shared" si="6"/>
        <v>1.098032765170508</v>
      </c>
      <c r="O175" s="40">
        <f t="shared" si="7"/>
        <v>31555.864813499968</v>
      </c>
    </row>
    <row r="176" spans="1:15" x14ac:dyDescent="0.25">
      <c r="A176" s="14" t="s">
        <v>234</v>
      </c>
      <c r="B176" s="15" t="s">
        <v>235</v>
      </c>
      <c r="C176" s="16">
        <v>10228</v>
      </c>
      <c r="D176" s="11">
        <v>11300.56</v>
      </c>
      <c r="E176" s="11">
        <v>8147.5</v>
      </c>
      <c r="F176" s="11">
        <v>17331.79</v>
      </c>
      <c r="G176" s="11">
        <v>15040.61</v>
      </c>
      <c r="H176" s="3"/>
      <c r="I176" s="11">
        <f>21621+4130</f>
        <v>25751</v>
      </c>
      <c r="J176" s="11">
        <v>25751</v>
      </c>
      <c r="K176" s="3"/>
      <c r="L176" s="11">
        <f>+'[1]Non-Union - 3.5%'!$P$27+'[1]Non-Union - 3.5%'!$Z$27</f>
        <v>28275.74918508</v>
      </c>
      <c r="M176" s="38">
        <f t="shared" si="6"/>
        <v>1.0980447044806028</v>
      </c>
      <c r="O176" s="40">
        <f t="shared" si="7"/>
        <v>2524.7491850799997</v>
      </c>
    </row>
    <row r="177" spans="1:15" x14ac:dyDescent="0.25">
      <c r="A177" s="14" t="s">
        <v>236</v>
      </c>
      <c r="B177" s="15" t="s">
        <v>237</v>
      </c>
      <c r="C177" s="16">
        <v>41198</v>
      </c>
      <c r="D177" s="11">
        <v>39635.67</v>
      </c>
      <c r="E177" s="11">
        <v>23581.19</v>
      </c>
      <c r="F177" s="11">
        <v>78593.440000000002</v>
      </c>
      <c r="G177" s="11">
        <v>70617.97</v>
      </c>
      <c r="H177" s="3"/>
      <c r="I177" s="11">
        <f>122947+5856+1474</f>
        <v>130277</v>
      </c>
      <c r="J177" s="11">
        <v>130277</v>
      </c>
      <c r="K177" s="3"/>
      <c r="L177" s="11">
        <f>+SUM('[1]Non-Union - 3.5%'!$K$27:$N$27)</f>
        <v>129595.01999999999</v>
      </c>
      <c r="M177" s="38">
        <f t="shared" si="6"/>
        <v>0.99476515424825551</v>
      </c>
      <c r="O177" s="40">
        <f t="shared" si="7"/>
        <v>-681.98000000001048</v>
      </c>
    </row>
    <row r="178" spans="1:15" x14ac:dyDescent="0.25">
      <c r="A178" s="14" t="s">
        <v>238</v>
      </c>
      <c r="B178" s="15" t="s">
        <v>239</v>
      </c>
      <c r="C178" s="16">
        <v>1799</v>
      </c>
      <c r="D178" s="11">
        <v>2200.7800000000002</v>
      </c>
      <c r="E178" s="11">
        <v>3043.2</v>
      </c>
      <c r="F178" s="11">
        <v>1929.9</v>
      </c>
      <c r="G178" s="11">
        <v>1994.23</v>
      </c>
      <c r="H178" s="3"/>
      <c r="I178" s="11">
        <f>4974+986</f>
        <v>5960</v>
      </c>
      <c r="J178" s="11">
        <v>5960</v>
      </c>
      <c r="K178" s="3"/>
      <c r="L178" s="11">
        <f>+'[1]Non-Union - 3.5%'!$O$27+'[1]Non-Union - 3.5%'!$X$27</f>
        <v>3215.8542699999998</v>
      </c>
      <c r="M178" s="38">
        <f t="shared" si="6"/>
        <v>0.53957286409395966</v>
      </c>
      <c r="O178" s="40">
        <f t="shared" si="7"/>
        <v>-2744.1457300000002</v>
      </c>
    </row>
    <row r="179" spans="1:15" x14ac:dyDescent="0.25">
      <c r="A179" s="14">
        <v>6030250</v>
      </c>
      <c r="B179" s="15" t="s">
        <v>240</v>
      </c>
      <c r="C179" s="16"/>
      <c r="D179" s="11"/>
      <c r="E179" s="11"/>
      <c r="F179" s="11">
        <v>218.25</v>
      </c>
      <c r="G179" s="11">
        <v>2698.36</v>
      </c>
      <c r="H179" s="3"/>
      <c r="I179" s="11"/>
      <c r="J179" s="11">
        <v>2700</v>
      </c>
      <c r="K179" s="3"/>
      <c r="L179" s="11">
        <v>1500</v>
      </c>
      <c r="O179" s="40">
        <f t="shared" si="7"/>
        <v>1500</v>
      </c>
    </row>
    <row r="180" spans="1:15" x14ac:dyDescent="0.25">
      <c r="A180" s="14" t="s">
        <v>241</v>
      </c>
      <c r="B180" s="15" t="s">
        <v>242</v>
      </c>
      <c r="C180" s="16">
        <v>226</v>
      </c>
      <c r="D180" s="11">
        <v>161.86000000000001</v>
      </c>
      <c r="E180" s="11">
        <v>1384.45</v>
      </c>
      <c r="F180" s="11">
        <v>2698.66</v>
      </c>
      <c r="G180" s="11">
        <v>5311.77</v>
      </c>
      <c r="H180" s="3"/>
      <c r="I180" s="11">
        <f>351+67</f>
        <v>418</v>
      </c>
      <c r="J180" s="11">
        <v>7500</v>
      </c>
      <c r="K180" s="3"/>
      <c r="L180" s="11">
        <f>+'[1]Non-Union - 3.5%'!$R$27+'[1]Non-Union - 3.5%'!$Y$27</f>
        <v>459.48092425754999</v>
      </c>
      <c r="M180" s="38">
        <f t="shared" si="6"/>
        <v>1.0992366609032296</v>
      </c>
      <c r="O180" s="40">
        <f t="shared" si="7"/>
        <v>41.480924257549987</v>
      </c>
    </row>
    <row r="181" spans="1:15" x14ac:dyDescent="0.25">
      <c r="A181" s="14" t="s">
        <v>243</v>
      </c>
      <c r="B181" s="15" t="s">
        <v>134</v>
      </c>
      <c r="C181" s="16">
        <v>157168</v>
      </c>
      <c r="D181" s="11">
        <v>166288.71</v>
      </c>
      <c r="E181" s="11">
        <v>205211.96</v>
      </c>
      <c r="F181" s="11">
        <v>202842.41</v>
      </c>
      <c r="G181" s="11">
        <v>177363.55</v>
      </c>
      <c r="H181" s="3"/>
      <c r="I181" s="11">
        <v>190320</v>
      </c>
      <c r="J181" s="11">
        <v>190320</v>
      </c>
      <c r="K181" s="3"/>
      <c r="L181" s="11">
        <v>196737</v>
      </c>
      <c r="M181" s="38">
        <f t="shared" si="6"/>
        <v>1.0337168978562421</v>
      </c>
      <c r="O181" s="40">
        <f t="shared" si="7"/>
        <v>6417</v>
      </c>
    </row>
    <row r="182" spans="1:15" x14ac:dyDescent="0.25">
      <c r="A182" s="14" t="s">
        <v>244</v>
      </c>
      <c r="B182" s="15" t="s">
        <v>136</v>
      </c>
      <c r="C182" s="16">
        <v>13223</v>
      </c>
      <c r="D182" s="11">
        <v>20974.02</v>
      </c>
      <c r="E182" s="11">
        <v>19302.919999999998</v>
      </c>
      <c r="F182" s="11">
        <v>17279.099999999999</v>
      </c>
      <c r="G182" s="11">
        <v>14898.52</v>
      </c>
      <c r="H182" s="3"/>
      <c r="I182" s="11">
        <v>16250</v>
      </c>
      <c r="J182" s="11">
        <v>16250</v>
      </c>
      <c r="K182" s="3"/>
      <c r="L182" s="11">
        <v>19673.7</v>
      </c>
      <c r="M182" s="38">
        <f t="shared" si="6"/>
        <v>1.2106892307692307</v>
      </c>
      <c r="O182" s="40">
        <f t="shared" si="7"/>
        <v>3423.7000000000007</v>
      </c>
    </row>
    <row r="183" spans="1:15" x14ac:dyDescent="0.25">
      <c r="A183" s="14" t="s">
        <v>245</v>
      </c>
      <c r="B183" s="15" t="s">
        <v>176</v>
      </c>
      <c r="C183" s="16">
        <v>3513</v>
      </c>
      <c r="D183" s="11">
        <v>3147.89</v>
      </c>
      <c r="E183" s="11">
        <v>2830.45</v>
      </c>
      <c r="F183" s="11">
        <v>11016.29</v>
      </c>
      <c r="G183" s="11">
        <v>17254.490000000002</v>
      </c>
      <c r="H183" s="3"/>
      <c r="I183" s="11">
        <v>8000</v>
      </c>
      <c r="J183" s="11">
        <v>18000</v>
      </c>
      <c r="K183" s="3"/>
      <c r="L183" s="11">
        <v>12000</v>
      </c>
      <c r="M183" s="38">
        <f t="shared" si="6"/>
        <v>1.5</v>
      </c>
      <c r="O183" s="40">
        <f t="shared" si="7"/>
        <v>4000</v>
      </c>
    </row>
    <row r="184" spans="1:15" x14ac:dyDescent="0.25">
      <c r="A184" s="14" t="s">
        <v>246</v>
      </c>
      <c r="B184" s="15" t="s">
        <v>138</v>
      </c>
      <c r="C184" s="16">
        <v>7876</v>
      </c>
      <c r="D184" s="11">
        <v>8659.57</v>
      </c>
      <c r="E184" s="11">
        <v>4580.3500000000004</v>
      </c>
      <c r="F184" s="11">
        <v>5397.32</v>
      </c>
      <c r="G184" s="11">
        <v>3477.22</v>
      </c>
      <c r="H184" s="3"/>
      <c r="I184" s="11">
        <v>6489.91</v>
      </c>
      <c r="J184" s="11">
        <v>6489.91</v>
      </c>
      <c r="K184" s="3"/>
      <c r="L184" s="11">
        <v>6708.73</v>
      </c>
      <c r="M184" s="38">
        <f t="shared" si="6"/>
        <v>1.0337169544724041</v>
      </c>
      <c r="O184" s="40">
        <f t="shared" si="7"/>
        <v>218.81999999999971</v>
      </c>
    </row>
    <row r="185" spans="1:15" x14ac:dyDescent="0.25">
      <c r="A185" s="14" t="s">
        <v>247</v>
      </c>
      <c r="B185" s="15" t="s">
        <v>140</v>
      </c>
      <c r="C185" s="16">
        <v>22435</v>
      </c>
      <c r="D185" s="11">
        <v>18414.25</v>
      </c>
      <c r="E185" s="11">
        <v>15920.44</v>
      </c>
      <c r="F185" s="11">
        <v>26310.71</v>
      </c>
      <c r="G185" s="11">
        <v>13795.04</v>
      </c>
      <c r="H185" s="3"/>
      <c r="I185" s="11">
        <v>15500</v>
      </c>
      <c r="J185" s="11">
        <v>15500</v>
      </c>
      <c r="K185" s="3"/>
      <c r="L185" s="11">
        <v>16500</v>
      </c>
      <c r="M185" s="38">
        <f t="shared" si="6"/>
        <v>1.064516129032258</v>
      </c>
      <c r="O185" s="40">
        <f t="shared" si="7"/>
        <v>1000</v>
      </c>
    </row>
    <row r="186" spans="1:15" x14ac:dyDescent="0.25">
      <c r="A186" s="14" t="s">
        <v>248</v>
      </c>
      <c r="B186" s="15" t="s">
        <v>142</v>
      </c>
      <c r="C186" s="16">
        <v>2450</v>
      </c>
      <c r="D186" s="11">
        <v>2907.5</v>
      </c>
      <c r="E186" s="11">
        <v>2212.98</v>
      </c>
      <c r="F186" s="11">
        <v>2995</v>
      </c>
      <c r="G186" s="11">
        <v>0</v>
      </c>
      <c r="H186" s="3"/>
      <c r="I186" s="11"/>
      <c r="J186" s="11">
        <v>0</v>
      </c>
      <c r="K186" s="3"/>
      <c r="L186" s="11"/>
      <c r="O186" s="40">
        <f t="shared" si="7"/>
        <v>0</v>
      </c>
    </row>
    <row r="187" spans="1:15" x14ac:dyDescent="0.25">
      <c r="A187" s="14" t="s">
        <v>249</v>
      </c>
      <c r="B187" s="15" t="s">
        <v>144</v>
      </c>
      <c r="C187" s="16">
        <v>212</v>
      </c>
      <c r="D187" s="11">
        <v>427.5</v>
      </c>
      <c r="E187" s="11">
        <v>432</v>
      </c>
      <c r="F187" s="11">
        <v>438</v>
      </c>
      <c r="G187" s="11">
        <v>0</v>
      </c>
      <c r="H187" s="3"/>
      <c r="I187" s="11"/>
      <c r="J187" s="11">
        <v>0</v>
      </c>
      <c r="K187" s="3"/>
      <c r="L187" s="11"/>
      <c r="O187" s="40">
        <f t="shared" si="7"/>
        <v>0</v>
      </c>
    </row>
    <row r="188" spans="1:15" x14ac:dyDescent="0.25">
      <c r="A188" s="14" t="s">
        <v>250</v>
      </c>
      <c r="B188" s="15" t="s">
        <v>146</v>
      </c>
      <c r="C188" s="16">
        <v>3711</v>
      </c>
      <c r="D188" s="11">
        <v>2791.67</v>
      </c>
      <c r="E188" s="11">
        <v>2687.27</v>
      </c>
      <c r="F188" s="11">
        <v>5448.95</v>
      </c>
      <c r="G188" s="11">
        <v>0</v>
      </c>
      <c r="H188" s="3"/>
      <c r="I188" s="11"/>
      <c r="J188" s="11">
        <v>0</v>
      </c>
      <c r="K188" s="3"/>
      <c r="L188" s="11"/>
      <c r="O188" s="40">
        <f t="shared" si="7"/>
        <v>0</v>
      </c>
    </row>
    <row r="189" spans="1:15" x14ac:dyDescent="0.25">
      <c r="A189" s="14" t="s">
        <v>251</v>
      </c>
      <c r="B189" s="15" t="s">
        <v>182</v>
      </c>
      <c r="C189" s="16">
        <v>23160</v>
      </c>
      <c r="D189" s="11">
        <v>40171.89</v>
      </c>
      <c r="E189" s="11">
        <v>39764.980000000003</v>
      </c>
      <c r="F189" s="11">
        <v>47323.88</v>
      </c>
      <c r="G189" s="11">
        <v>39158.04</v>
      </c>
      <c r="H189" s="3"/>
      <c r="I189" s="11">
        <v>55000</v>
      </c>
      <c r="J189" s="11">
        <v>55000</v>
      </c>
      <c r="K189" s="3"/>
      <c r="L189" s="11">
        <v>55000</v>
      </c>
      <c r="M189" s="38">
        <f>+L189/I189</f>
        <v>1</v>
      </c>
      <c r="O189" s="40">
        <f t="shared" si="7"/>
        <v>0</v>
      </c>
    </row>
    <row r="190" spans="1:15" x14ac:dyDescent="0.25">
      <c r="A190" s="14">
        <v>6030603</v>
      </c>
      <c r="B190" s="15" t="s">
        <v>252</v>
      </c>
      <c r="C190" s="16"/>
      <c r="D190" s="11"/>
      <c r="E190" s="11"/>
      <c r="F190" s="11"/>
      <c r="G190" s="11">
        <v>1053.7</v>
      </c>
      <c r="H190" s="3"/>
      <c r="I190" s="11"/>
      <c r="J190" s="11">
        <v>2500</v>
      </c>
      <c r="K190" s="3"/>
      <c r="L190" s="11">
        <v>5000</v>
      </c>
      <c r="O190" s="40">
        <f t="shared" si="7"/>
        <v>5000</v>
      </c>
    </row>
    <row r="191" spans="1:15" x14ac:dyDescent="0.25">
      <c r="A191" s="14">
        <v>6030605</v>
      </c>
      <c r="B191" s="15" t="s">
        <v>148</v>
      </c>
      <c r="C191" s="16"/>
      <c r="D191" s="11"/>
      <c r="E191" s="11"/>
      <c r="F191" s="11">
        <v>60.52</v>
      </c>
      <c r="G191" s="11">
        <v>298.3</v>
      </c>
      <c r="H191" s="3"/>
      <c r="I191" s="11"/>
      <c r="J191" s="11">
        <v>500</v>
      </c>
      <c r="K191" s="3"/>
      <c r="L191" s="11">
        <v>500</v>
      </c>
      <c r="O191" s="40">
        <f t="shared" si="7"/>
        <v>500</v>
      </c>
    </row>
    <row r="192" spans="1:15" x14ac:dyDescent="0.25">
      <c r="A192" s="14" t="s">
        <v>253</v>
      </c>
      <c r="B192" s="15" t="s">
        <v>254</v>
      </c>
      <c r="C192" s="16">
        <v>34396</v>
      </c>
      <c r="D192" s="11">
        <v>27464.74</v>
      </c>
      <c r="E192" s="11">
        <v>37672.65</v>
      </c>
      <c r="F192" s="11">
        <v>37423.78</v>
      </c>
      <c r="G192" s="11">
        <v>30506.62</v>
      </c>
      <c r="H192" s="3"/>
      <c r="I192" s="11">
        <v>25000</v>
      </c>
      <c r="J192" s="11">
        <v>35000</v>
      </c>
      <c r="K192" s="3"/>
      <c r="L192" s="11">
        <v>30000</v>
      </c>
      <c r="M192" s="38">
        <f>+L192/I192</f>
        <v>1.2</v>
      </c>
      <c r="O192" s="40">
        <f t="shared" si="7"/>
        <v>5000</v>
      </c>
    </row>
    <row r="193" spans="1:15" x14ac:dyDescent="0.25">
      <c r="A193" s="14" t="s">
        <v>255</v>
      </c>
      <c r="B193" s="15" t="s">
        <v>152</v>
      </c>
      <c r="C193" s="16">
        <v>10778</v>
      </c>
      <c r="D193" s="11">
        <v>10367.9</v>
      </c>
      <c r="E193" s="11">
        <v>12796.5</v>
      </c>
      <c r="F193" s="11">
        <v>5873</v>
      </c>
      <c r="G193" s="11">
        <v>2134</v>
      </c>
      <c r="H193" s="3"/>
      <c r="I193" s="11">
        <v>20000</v>
      </c>
      <c r="J193" s="11">
        <v>5000</v>
      </c>
      <c r="K193" s="3"/>
      <c r="L193" s="11">
        <v>5000</v>
      </c>
      <c r="M193" s="38">
        <f>+L193/I193</f>
        <v>0.25</v>
      </c>
      <c r="O193" s="40">
        <f t="shared" si="7"/>
        <v>-15000</v>
      </c>
    </row>
    <row r="194" spans="1:15" x14ac:dyDescent="0.25">
      <c r="A194" s="14">
        <v>6031125</v>
      </c>
      <c r="B194" s="15" t="s">
        <v>256</v>
      </c>
      <c r="C194" s="16"/>
      <c r="D194" s="11"/>
      <c r="E194" s="11"/>
      <c r="F194" s="11"/>
      <c r="G194" s="11"/>
      <c r="H194" s="3"/>
      <c r="I194" s="11"/>
      <c r="J194" s="11"/>
      <c r="K194" s="3"/>
      <c r="L194" s="11">
        <v>5000</v>
      </c>
      <c r="O194" s="40">
        <f t="shared" si="7"/>
        <v>5000</v>
      </c>
    </row>
    <row r="195" spans="1:15" x14ac:dyDescent="0.25">
      <c r="A195" s="14" t="s">
        <v>257</v>
      </c>
      <c r="B195" s="15" t="s">
        <v>154</v>
      </c>
      <c r="C195" s="16">
        <v>79702</v>
      </c>
      <c r="D195" s="11">
        <v>130573.42</v>
      </c>
      <c r="E195" s="11">
        <v>122123.95</v>
      </c>
      <c r="F195" s="11">
        <v>133717.14000000001</v>
      </c>
      <c r="G195" s="11">
        <v>93612.93</v>
      </c>
      <c r="H195" s="3"/>
      <c r="I195" s="11">
        <v>150000</v>
      </c>
      <c r="J195" s="11">
        <v>150000</v>
      </c>
      <c r="K195" s="3"/>
      <c r="L195" s="11">
        <v>150000</v>
      </c>
      <c r="M195" s="38">
        <f t="shared" ref="M195:M202" si="8">+L195/I195</f>
        <v>1</v>
      </c>
      <c r="O195" s="40">
        <f t="shared" si="7"/>
        <v>0</v>
      </c>
    </row>
    <row r="196" spans="1:15" x14ac:dyDescent="0.25">
      <c r="A196" s="14" t="s">
        <v>258</v>
      </c>
      <c r="B196" s="15" t="s">
        <v>156</v>
      </c>
      <c r="C196" s="16">
        <v>1251</v>
      </c>
      <c r="D196" s="11">
        <v>1205.47</v>
      </c>
      <c r="E196" s="11">
        <v>676.74</v>
      </c>
      <c r="F196" s="11">
        <v>26669.61</v>
      </c>
      <c r="G196" s="11">
        <v>20247.98</v>
      </c>
      <c r="H196" s="3"/>
      <c r="I196" s="11">
        <v>1000</v>
      </c>
      <c r="J196" s="11">
        <v>25000</v>
      </c>
      <c r="K196" s="3"/>
      <c r="L196" s="11">
        <v>80000</v>
      </c>
      <c r="M196" s="38">
        <f t="shared" si="8"/>
        <v>80</v>
      </c>
      <c r="O196" s="40">
        <f t="shared" si="7"/>
        <v>79000</v>
      </c>
    </row>
    <row r="197" spans="1:15" x14ac:dyDescent="0.25">
      <c r="A197" s="14" t="s">
        <v>259</v>
      </c>
      <c r="B197" s="15" t="s">
        <v>260</v>
      </c>
      <c r="C197" s="16">
        <v>12089</v>
      </c>
      <c r="D197" s="11">
        <v>7365.48</v>
      </c>
      <c r="E197" s="11">
        <v>12852.77</v>
      </c>
      <c r="F197" s="11">
        <v>30031.31</v>
      </c>
      <c r="G197" s="11">
        <v>7534.9</v>
      </c>
      <c r="H197" s="3"/>
      <c r="I197" s="11">
        <v>15000</v>
      </c>
      <c r="J197" s="11">
        <v>13000</v>
      </c>
      <c r="K197" s="3"/>
      <c r="L197" s="11">
        <v>20000</v>
      </c>
      <c r="M197" s="38">
        <f t="shared" si="8"/>
        <v>1.3333333333333333</v>
      </c>
      <c r="O197" s="40">
        <f t="shared" si="7"/>
        <v>5000</v>
      </c>
    </row>
    <row r="198" spans="1:15" x14ac:dyDescent="0.25">
      <c r="A198" s="14">
        <v>6031425</v>
      </c>
      <c r="B198" s="15" t="s">
        <v>261</v>
      </c>
      <c r="C198" s="16">
        <v>0</v>
      </c>
      <c r="D198" s="11"/>
      <c r="E198" s="11"/>
      <c r="F198" s="11">
        <v>95</v>
      </c>
      <c r="G198" s="11">
        <v>596.29999999999995</v>
      </c>
      <c r="H198" s="3"/>
      <c r="I198" s="11"/>
      <c r="J198" s="11">
        <v>1000</v>
      </c>
      <c r="K198" s="3"/>
      <c r="L198" s="11">
        <v>2500</v>
      </c>
      <c r="O198" s="40">
        <f t="shared" si="7"/>
        <v>2500</v>
      </c>
    </row>
    <row r="199" spans="1:15" x14ac:dyDescent="0.25">
      <c r="A199" s="14">
        <v>6031450</v>
      </c>
      <c r="B199" s="15" t="s">
        <v>262</v>
      </c>
      <c r="C199" s="16">
        <v>0</v>
      </c>
      <c r="D199" s="11"/>
      <c r="E199" s="11"/>
      <c r="F199" s="11">
        <v>3769.13</v>
      </c>
      <c r="G199" s="11">
        <v>950</v>
      </c>
      <c r="H199" s="3"/>
      <c r="I199" s="11"/>
      <c r="J199" s="11">
        <v>1000</v>
      </c>
      <c r="K199" s="3"/>
      <c r="L199" s="11">
        <v>2000</v>
      </c>
      <c r="O199" s="40">
        <f t="shared" si="7"/>
        <v>2000</v>
      </c>
    </row>
    <row r="200" spans="1:15" x14ac:dyDescent="0.25">
      <c r="A200" s="14">
        <v>6031475</v>
      </c>
      <c r="B200" s="15" t="s">
        <v>263</v>
      </c>
      <c r="C200" s="16">
        <v>0</v>
      </c>
      <c r="D200" s="11"/>
      <c r="E200" s="11"/>
      <c r="F200" s="11">
        <v>24300.38</v>
      </c>
      <c r="G200" s="11">
        <v>22633.52</v>
      </c>
      <c r="H200" s="3"/>
      <c r="I200" s="11">
        <v>14000</v>
      </c>
      <c r="J200" s="11">
        <v>25000</v>
      </c>
      <c r="K200" s="3"/>
      <c r="L200" s="11">
        <v>30000</v>
      </c>
      <c r="M200" s="38">
        <f t="shared" si="8"/>
        <v>2.1428571428571428</v>
      </c>
      <c r="O200" s="40">
        <f t="shared" si="7"/>
        <v>16000</v>
      </c>
    </row>
    <row r="201" spans="1:15" x14ac:dyDescent="0.25">
      <c r="A201" s="14" t="s">
        <v>264</v>
      </c>
      <c r="B201" s="15" t="s">
        <v>160</v>
      </c>
      <c r="C201" s="16">
        <v>3315</v>
      </c>
      <c r="D201" s="11">
        <v>12980.28</v>
      </c>
      <c r="E201" s="11">
        <v>9569.81</v>
      </c>
      <c r="F201" s="11">
        <v>30857.39</v>
      </c>
      <c r="G201" s="11">
        <v>13232.95</v>
      </c>
      <c r="H201" s="3"/>
      <c r="I201" s="11">
        <v>12000</v>
      </c>
      <c r="J201" s="11">
        <v>15000</v>
      </c>
      <c r="K201" s="3"/>
      <c r="L201" s="11">
        <v>15000</v>
      </c>
      <c r="M201" s="38">
        <f t="shared" si="8"/>
        <v>1.25</v>
      </c>
      <c r="O201" s="40">
        <f t="shared" si="7"/>
        <v>3000</v>
      </c>
    </row>
    <row r="202" spans="1:15" x14ac:dyDescent="0.25">
      <c r="A202" s="14">
        <v>6031550</v>
      </c>
      <c r="B202" s="15" t="s">
        <v>265</v>
      </c>
      <c r="C202" s="16">
        <v>0</v>
      </c>
      <c r="D202" s="11"/>
      <c r="E202" s="11"/>
      <c r="F202" s="11">
        <v>38652.86</v>
      </c>
      <c r="G202" s="11">
        <v>19372.22</v>
      </c>
      <c r="H202" s="3"/>
      <c r="I202" s="11">
        <v>8000</v>
      </c>
      <c r="J202" s="11">
        <v>20000</v>
      </c>
      <c r="K202" s="3"/>
      <c r="L202" s="11">
        <v>12000</v>
      </c>
      <c r="M202" s="38">
        <f t="shared" si="8"/>
        <v>1.5</v>
      </c>
      <c r="O202" s="40">
        <f t="shared" si="7"/>
        <v>4000</v>
      </c>
    </row>
    <row r="203" spans="1:15" x14ac:dyDescent="0.25">
      <c r="A203" s="14">
        <v>6031600</v>
      </c>
      <c r="B203" s="15" t="s">
        <v>162</v>
      </c>
      <c r="C203" s="16">
        <v>0</v>
      </c>
      <c r="D203" s="11"/>
      <c r="E203" s="11"/>
      <c r="F203" s="11">
        <v>127.5</v>
      </c>
      <c r="G203" s="11">
        <v>0</v>
      </c>
      <c r="H203" s="3"/>
      <c r="I203" s="11"/>
      <c r="J203" s="11">
        <v>0</v>
      </c>
      <c r="K203" s="3"/>
      <c r="L203" s="11"/>
      <c r="O203" s="40">
        <f t="shared" si="7"/>
        <v>0</v>
      </c>
    </row>
    <row r="204" spans="1:15" x14ac:dyDescent="0.25">
      <c r="A204" s="14" t="s">
        <v>266</v>
      </c>
      <c r="B204" s="15" t="s">
        <v>80</v>
      </c>
      <c r="C204" s="16">
        <v>7736</v>
      </c>
      <c r="D204" s="11">
        <v>5581.8</v>
      </c>
      <c r="E204" s="11">
        <v>2006.93</v>
      </c>
      <c r="F204" s="11">
        <v>9088.06</v>
      </c>
      <c r="G204" s="11">
        <v>10108.780000000001</v>
      </c>
      <c r="H204" s="3"/>
      <c r="I204" s="11">
        <v>5000</v>
      </c>
      <c r="J204" s="11">
        <v>11000</v>
      </c>
      <c r="K204" s="3"/>
      <c r="L204" s="11">
        <v>15100</v>
      </c>
      <c r="M204" s="38">
        <f>+L204/I204</f>
        <v>3.02</v>
      </c>
      <c r="O204" s="40">
        <f t="shared" si="7"/>
        <v>10100</v>
      </c>
    </row>
    <row r="205" spans="1:15" x14ac:dyDescent="0.25">
      <c r="A205" s="14" t="s">
        <v>267</v>
      </c>
      <c r="B205" s="15" t="s">
        <v>164</v>
      </c>
      <c r="C205" s="16">
        <v>22395</v>
      </c>
      <c r="D205" s="11">
        <v>13233.24</v>
      </c>
      <c r="E205" s="11">
        <v>6173.44</v>
      </c>
      <c r="F205" s="11">
        <v>18739.400000000001</v>
      </c>
      <c r="G205" s="11">
        <v>48228.57</v>
      </c>
      <c r="H205" s="3"/>
      <c r="I205" s="11">
        <v>10000</v>
      </c>
      <c r="J205" s="11">
        <v>50000</v>
      </c>
      <c r="K205" s="3"/>
      <c r="L205" s="11">
        <v>1000</v>
      </c>
      <c r="M205" s="38">
        <f>+L205/I205</f>
        <v>0.1</v>
      </c>
      <c r="O205" s="40">
        <f t="shared" si="7"/>
        <v>-9000</v>
      </c>
    </row>
    <row r="206" spans="1:15" x14ac:dyDescent="0.25">
      <c r="A206" s="14" t="s">
        <v>268</v>
      </c>
      <c r="B206" s="15" t="s">
        <v>269</v>
      </c>
      <c r="C206" s="16">
        <v>0</v>
      </c>
      <c r="D206" s="11">
        <v>1016.49</v>
      </c>
      <c r="E206" s="11">
        <v>746.03</v>
      </c>
      <c r="F206" s="11">
        <v>3306.25</v>
      </c>
      <c r="G206" s="11">
        <v>1580.17</v>
      </c>
      <c r="H206" s="3"/>
      <c r="I206" s="11">
        <v>1000</v>
      </c>
      <c r="J206" s="11">
        <v>1000</v>
      </c>
      <c r="K206" s="3"/>
      <c r="L206" s="11">
        <v>1500</v>
      </c>
      <c r="M206" s="38">
        <f>+L206/I206</f>
        <v>1.5</v>
      </c>
      <c r="O206" s="40">
        <f t="shared" si="7"/>
        <v>500</v>
      </c>
    </row>
    <row r="207" spans="1:15" x14ac:dyDescent="0.25">
      <c r="A207" s="14" t="s">
        <v>270</v>
      </c>
      <c r="B207" s="15" t="s">
        <v>191</v>
      </c>
      <c r="C207" s="16">
        <v>69</v>
      </c>
      <c r="D207" s="11">
        <v>141252</v>
      </c>
      <c r="E207" s="11">
        <v>86987.44</v>
      </c>
      <c r="F207" s="11">
        <v>13770.45</v>
      </c>
      <c r="G207" s="11">
        <v>23304.49</v>
      </c>
      <c r="H207" s="3"/>
      <c r="I207" s="11">
        <v>0</v>
      </c>
      <c r="J207" s="11">
        <v>20000</v>
      </c>
      <c r="K207" s="3"/>
      <c r="L207" s="11">
        <v>10000</v>
      </c>
      <c r="O207" s="40">
        <f t="shared" si="7"/>
        <v>10000</v>
      </c>
    </row>
    <row r="208" spans="1:15" x14ac:dyDescent="0.25">
      <c r="A208" s="21"/>
      <c r="B208" s="22"/>
      <c r="C208" s="16"/>
      <c r="D208" s="11"/>
      <c r="E208" s="11"/>
      <c r="F208" s="11"/>
      <c r="G208" s="11"/>
      <c r="H208" s="3"/>
      <c r="I208" s="11"/>
      <c r="J208" s="11"/>
      <c r="K208" s="3"/>
      <c r="L208" s="11"/>
      <c r="O208" s="40">
        <f t="shared" si="7"/>
        <v>0</v>
      </c>
    </row>
    <row r="209" spans="1:15" x14ac:dyDescent="0.25">
      <c r="A209" s="17" t="s">
        <v>21</v>
      </c>
      <c r="B209" s="18" t="s">
        <v>271</v>
      </c>
      <c r="C209" s="19">
        <f>SUM(C168:C208)</f>
        <v>1579629</v>
      </c>
      <c r="D209" s="11">
        <f>SUM(D168:D208)</f>
        <v>1937252.9199999997</v>
      </c>
      <c r="E209" s="11">
        <f>SUM(E168:E208)</f>
        <v>1746817.6199999994</v>
      </c>
      <c r="F209" s="11">
        <f>SUM(F168:F208)</f>
        <v>2558523.8799999994</v>
      </c>
      <c r="G209" s="11">
        <f>SUM(G168:G208)</f>
        <v>2157668.6200000006</v>
      </c>
      <c r="H209" s="3"/>
      <c r="I209" s="11">
        <f>SUM(I168:I208)</f>
        <v>2840324.91</v>
      </c>
      <c r="J209" s="11">
        <f>SUM(J168:J208)</f>
        <v>3165203.5100000002</v>
      </c>
      <c r="K209" s="3"/>
      <c r="L209" s="11">
        <f>SUM(L168:L208)</f>
        <v>3289277.1609702753</v>
      </c>
      <c r="M209" s="38">
        <f>+L209/I209</f>
        <v>1.158063695244737</v>
      </c>
      <c r="O209" s="40">
        <f>SUM(O168:O208)</f>
        <v>448952.25097027491</v>
      </c>
    </row>
    <row r="210" spans="1:15" x14ac:dyDescent="0.25">
      <c r="D210" s="11"/>
      <c r="E210" s="11"/>
      <c r="F210" s="11"/>
      <c r="G210" s="11"/>
      <c r="H210" s="3"/>
      <c r="I210" s="11"/>
      <c r="J210" s="11"/>
      <c r="K210" s="3"/>
      <c r="L210" s="11"/>
    </row>
    <row r="211" spans="1:15" hidden="1" x14ac:dyDescent="0.25">
      <c r="A211" s="9" t="s">
        <v>272</v>
      </c>
      <c r="B211" s="10" t="s">
        <v>273</v>
      </c>
      <c r="D211" s="11"/>
      <c r="E211" s="11"/>
      <c r="F211" s="11"/>
      <c r="G211" s="11"/>
      <c r="H211" s="3"/>
      <c r="I211" s="11"/>
      <c r="J211" s="11"/>
      <c r="K211" s="3"/>
      <c r="L211" s="11"/>
    </row>
    <row r="212" spans="1:15" hidden="1" x14ac:dyDescent="0.25">
      <c r="A212" s="12" t="s">
        <v>9</v>
      </c>
      <c r="B212" s="13" t="s">
        <v>10</v>
      </c>
      <c r="D212" s="11"/>
      <c r="E212" s="11"/>
      <c r="F212" s="11"/>
      <c r="G212" s="11"/>
      <c r="H212" s="3"/>
      <c r="I212" s="11"/>
      <c r="J212" s="11"/>
      <c r="K212" s="3"/>
      <c r="L212" s="11"/>
    </row>
    <row r="213" spans="1:15" hidden="1" x14ac:dyDescent="0.25">
      <c r="A213" s="14" t="s">
        <v>274</v>
      </c>
      <c r="B213" s="15" t="s">
        <v>275</v>
      </c>
      <c r="C213" s="16">
        <v>9277</v>
      </c>
      <c r="D213" s="11">
        <v>5577.97</v>
      </c>
      <c r="E213" s="11">
        <v>4875.72</v>
      </c>
      <c r="F213" s="11">
        <v>9487.18</v>
      </c>
      <c r="G213" s="11">
        <v>7207</v>
      </c>
      <c r="H213" s="3"/>
      <c r="I213" s="11">
        <v>7500</v>
      </c>
      <c r="J213" s="11">
        <v>7500</v>
      </c>
      <c r="K213" s="3"/>
      <c r="L213" s="11">
        <v>7500</v>
      </c>
      <c r="M213" s="38">
        <f>+L213/J213</f>
        <v>1</v>
      </c>
    </row>
    <row r="214" spans="1:15" hidden="1" x14ac:dyDescent="0.25">
      <c r="A214" s="14" t="s">
        <v>276</v>
      </c>
      <c r="B214" s="15" t="s">
        <v>277</v>
      </c>
      <c r="C214" s="16">
        <v>27128</v>
      </c>
      <c r="D214" s="11">
        <v>25347.39</v>
      </c>
      <c r="E214" s="11">
        <v>24004.85</v>
      </c>
      <c r="F214" s="11">
        <v>50514.7</v>
      </c>
      <c r="G214" s="11">
        <v>49979.66</v>
      </c>
      <c r="H214" s="3"/>
      <c r="I214" s="11">
        <v>70000</v>
      </c>
      <c r="J214" s="11">
        <v>70000</v>
      </c>
      <c r="K214" s="3"/>
      <c r="L214" s="11">
        <v>70000</v>
      </c>
      <c r="M214" s="38">
        <f>+L214/J214</f>
        <v>1</v>
      </c>
    </row>
    <row r="215" spans="1:15" hidden="1" x14ac:dyDescent="0.25">
      <c r="A215" s="14" t="s">
        <v>278</v>
      </c>
      <c r="B215" s="15" t="s">
        <v>279</v>
      </c>
      <c r="C215" s="16">
        <v>14531</v>
      </c>
      <c r="D215" s="11">
        <v>19867.900000000001</v>
      </c>
      <c r="E215" s="11">
        <v>39492.120000000003</v>
      </c>
      <c r="F215" s="11">
        <v>23190.560000000001</v>
      </c>
      <c r="G215" s="11">
        <v>10967.22</v>
      </c>
      <c r="H215" s="3"/>
      <c r="I215" s="11">
        <v>20000</v>
      </c>
      <c r="J215" s="11">
        <v>20000</v>
      </c>
      <c r="K215" s="3"/>
      <c r="L215" s="11">
        <v>20000</v>
      </c>
      <c r="M215" s="38">
        <f>+L215/J215</f>
        <v>1</v>
      </c>
    </row>
    <row r="216" spans="1:15" hidden="1" x14ac:dyDescent="0.25">
      <c r="A216" s="14" t="s">
        <v>280</v>
      </c>
      <c r="B216" s="15" t="s">
        <v>281</v>
      </c>
      <c r="C216" s="16">
        <v>11628</v>
      </c>
      <c r="D216" s="11">
        <v>14296.15</v>
      </c>
      <c r="E216" s="11">
        <v>7727.36</v>
      </c>
      <c r="F216" s="11">
        <v>8328.17</v>
      </c>
      <c r="G216" s="11">
        <v>9746.52</v>
      </c>
      <c r="H216" s="3"/>
      <c r="I216" s="11">
        <v>10000</v>
      </c>
      <c r="J216" s="11">
        <v>10000</v>
      </c>
      <c r="K216" s="3"/>
      <c r="L216" s="11">
        <v>10000</v>
      </c>
      <c r="M216" s="38">
        <f>+L216/J216</f>
        <v>1</v>
      </c>
    </row>
    <row r="217" spans="1:15" hidden="1" x14ac:dyDescent="0.25">
      <c r="A217" s="14" t="s">
        <v>282</v>
      </c>
      <c r="B217" s="15" t="s">
        <v>283</v>
      </c>
      <c r="C217" s="16">
        <v>0</v>
      </c>
      <c r="D217" s="11">
        <v>368.57</v>
      </c>
      <c r="E217" s="11">
        <v>0</v>
      </c>
      <c r="F217" s="11">
        <v>32.909999999999997</v>
      </c>
      <c r="G217" s="11">
        <v>0</v>
      </c>
      <c r="H217" s="3"/>
      <c r="I217" s="11"/>
      <c r="J217" s="11">
        <v>0</v>
      </c>
      <c r="K217" s="3"/>
      <c r="L217" s="11"/>
    </row>
    <row r="218" spans="1:15" hidden="1" x14ac:dyDescent="0.25">
      <c r="A218" s="14" t="s">
        <v>284</v>
      </c>
      <c r="B218" s="15" t="s">
        <v>285</v>
      </c>
      <c r="C218" s="16">
        <v>758</v>
      </c>
      <c r="D218" s="11">
        <v>1656.96</v>
      </c>
      <c r="E218" s="11">
        <v>-2061</v>
      </c>
      <c r="F218" s="11">
        <v>16859.53</v>
      </c>
      <c r="G218" s="11">
        <v>1583.02</v>
      </c>
      <c r="H218" s="3"/>
      <c r="I218" s="11">
        <v>500</v>
      </c>
      <c r="J218" s="11">
        <v>1500</v>
      </c>
      <c r="K218" s="3"/>
      <c r="L218" s="11">
        <v>500</v>
      </c>
      <c r="M218" s="38">
        <f>+L218/J218</f>
        <v>0.33333333333333331</v>
      </c>
    </row>
    <row r="219" spans="1:15" hidden="1" x14ac:dyDescent="0.25">
      <c r="A219" s="14"/>
      <c r="B219" s="15"/>
      <c r="C219" s="16"/>
      <c r="D219" s="11"/>
      <c r="E219" s="11"/>
      <c r="F219" s="11"/>
      <c r="G219" s="11"/>
      <c r="H219" s="3"/>
      <c r="I219" s="11"/>
      <c r="J219" s="11"/>
      <c r="K219" s="3"/>
      <c r="L219" s="11"/>
    </row>
    <row r="220" spans="1:15" hidden="1" x14ac:dyDescent="0.25">
      <c r="A220" s="29"/>
      <c r="B220" s="30" t="s">
        <v>286</v>
      </c>
      <c r="C220" s="16">
        <f>SUM(C213:C218)</f>
        <v>63322</v>
      </c>
      <c r="D220" s="11">
        <f>SUM(D213:D218)</f>
        <v>67114.94</v>
      </c>
      <c r="E220" s="11">
        <f>SUM(E213:E218)</f>
        <v>74039.05</v>
      </c>
      <c r="F220" s="11">
        <f>SUM(F213:F218)</f>
        <v>108413.05</v>
      </c>
      <c r="G220" s="11">
        <f>SUM(G213:G218)</f>
        <v>79483.420000000013</v>
      </c>
      <c r="H220" s="3"/>
      <c r="I220" s="11">
        <f>SUM(I213:I218)</f>
        <v>108000</v>
      </c>
      <c r="J220" s="11">
        <f>SUM(J213:J218)</f>
        <v>109000</v>
      </c>
      <c r="K220" s="3"/>
      <c r="L220" s="11">
        <f>SUM(L213:L218)</f>
        <v>108000</v>
      </c>
      <c r="M220" s="38">
        <f>+L220/J220</f>
        <v>0.99082568807339455</v>
      </c>
    </row>
    <row r="221" spans="1:15" hidden="1" x14ac:dyDescent="0.25">
      <c r="A221" s="29"/>
      <c r="B221" s="30"/>
      <c r="C221" s="16"/>
      <c r="D221" s="11"/>
      <c r="E221" s="11"/>
      <c r="F221" s="11"/>
      <c r="G221" s="11"/>
      <c r="H221" s="3"/>
      <c r="I221" s="11"/>
      <c r="J221" s="11"/>
      <c r="K221" s="3"/>
      <c r="L221" s="11"/>
    </row>
    <row r="222" spans="1:15" hidden="1" x14ac:dyDescent="0.25">
      <c r="A222" s="14" t="s">
        <v>287</v>
      </c>
      <c r="B222" s="15" t="s">
        <v>124</v>
      </c>
      <c r="C222" s="16">
        <v>48451</v>
      </c>
      <c r="D222" s="11">
        <v>88856.51</v>
      </c>
      <c r="E222" s="11">
        <v>74977.039999999994</v>
      </c>
      <c r="F222" s="11">
        <v>104204.26</v>
      </c>
      <c r="G222" s="11">
        <v>66398.89</v>
      </c>
      <c r="H222" s="3"/>
      <c r="I222" s="11">
        <v>103599</v>
      </c>
      <c r="J222" s="11">
        <v>103599</v>
      </c>
      <c r="K222" s="3"/>
      <c r="L222" s="11">
        <f>+'[1]Non-Union - 3.5%'!$I$32+'[1]Non-Union - 3.5%'!$V$32</f>
        <v>108255.20399999998</v>
      </c>
      <c r="M222" s="38">
        <f t="shared" ref="M222:M237" si="9">+L222/J222</f>
        <v>1.0449444878811569</v>
      </c>
    </row>
    <row r="223" spans="1:15" hidden="1" x14ac:dyDescent="0.25">
      <c r="A223" s="14" t="s">
        <v>288</v>
      </c>
      <c r="B223" s="15" t="s">
        <v>126</v>
      </c>
      <c r="C223" s="16">
        <v>3883</v>
      </c>
      <c r="D223" s="11">
        <v>7534.55</v>
      </c>
      <c r="E223" s="11">
        <v>6082.32</v>
      </c>
      <c r="F223" s="11">
        <v>9557.49</v>
      </c>
      <c r="G223" s="11">
        <v>5362.49</v>
      </c>
      <c r="H223" s="3"/>
      <c r="I223" s="11">
        <v>8288</v>
      </c>
      <c r="J223" s="11">
        <v>8288</v>
      </c>
      <c r="K223" s="3"/>
      <c r="L223" s="11">
        <f>+'[1]Non-Union - 3.5%'!$P$32+'[1]Non-Union - 3.5%'!$Z$32</f>
        <v>8660.4163200000003</v>
      </c>
      <c r="M223" s="38">
        <f t="shared" si="9"/>
        <v>1.0449344015444015</v>
      </c>
    </row>
    <row r="224" spans="1:15" hidden="1" x14ac:dyDescent="0.25">
      <c r="A224" s="14" t="s">
        <v>289</v>
      </c>
      <c r="B224" s="15" t="s">
        <v>128</v>
      </c>
      <c r="C224" s="16">
        <v>11397</v>
      </c>
      <c r="D224" s="11">
        <v>11398.2</v>
      </c>
      <c r="E224" s="11">
        <v>12847.24</v>
      </c>
      <c r="F224" s="11">
        <v>36232.839999999997</v>
      </c>
      <c r="G224" s="11">
        <v>43496.77</v>
      </c>
      <c r="H224" s="3"/>
      <c r="I224" s="11">
        <v>50740</v>
      </c>
      <c r="J224" s="11">
        <v>50740</v>
      </c>
      <c r="K224" s="3"/>
      <c r="L224" s="11">
        <f>+SUM('[1]Non-Union - 3.5%'!$K$32:$N$32)</f>
        <v>81043.34</v>
      </c>
      <c r="M224" s="38">
        <f t="shared" si="9"/>
        <v>1.5972278281434764</v>
      </c>
    </row>
    <row r="225" spans="1:13" hidden="1" x14ac:dyDescent="0.25">
      <c r="A225" s="14" t="s">
        <v>290</v>
      </c>
      <c r="B225" s="15" t="s">
        <v>130</v>
      </c>
      <c r="C225" s="16">
        <v>1389</v>
      </c>
      <c r="D225" s="11">
        <v>1644.01</v>
      </c>
      <c r="E225" s="11">
        <v>2017.34</v>
      </c>
      <c r="F225" s="11">
        <v>1439.93</v>
      </c>
      <c r="G225" s="11">
        <v>1134.0999999999999</v>
      </c>
      <c r="H225" s="3"/>
      <c r="I225" s="11">
        <v>3108</v>
      </c>
      <c r="J225" s="11">
        <v>3108</v>
      </c>
      <c r="K225" s="3"/>
      <c r="L225" s="11">
        <f>+'[1]Non-Union - 3.5%'!$O$32+'[1]Non-Union - 3.5%'!$X$32</f>
        <v>1757.7979424999996</v>
      </c>
      <c r="M225" s="38">
        <f t="shared" si="9"/>
        <v>0.56557205357142848</v>
      </c>
    </row>
    <row r="226" spans="1:13" hidden="1" x14ac:dyDescent="0.25">
      <c r="A226" s="14" t="s">
        <v>291</v>
      </c>
      <c r="B226" s="15" t="s">
        <v>171</v>
      </c>
      <c r="C226" s="16">
        <v>619</v>
      </c>
      <c r="D226" s="11">
        <v>1144.03</v>
      </c>
      <c r="E226" s="11">
        <v>1059.58</v>
      </c>
      <c r="F226" s="11">
        <v>1475.13</v>
      </c>
      <c r="G226" s="11">
        <v>853.75</v>
      </c>
      <c r="H226" s="3"/>
      <c r="I226" s="11">
        <v>1000</v>
      </c>
      <c r="J226" s="11">
        <v>1000</v>
      </c>
      <c r="K226" s="3"/>
      <c r="L226" s="11">
        <v>1000</v>
      </c>
      <c r="M226" s="38">
        <f t="shared" si="9"/>
        <v>1</v>
      </c>
    </row>
    <row r="227" spans="1:13" hidden="1" x14ac:dyDescent="0.25">
      <c r="A227" s="14" t="s">
        <v>292</v>
      </c>
      <c r="B227" s="15" t="s">
        <v>132</v>
      </c>
      <c r="C227" s="16">
        <v>2386</v>
      </c>
      <c r="D227" s="11">
        <v>1856.23</v>
      </c>
      <c r="E227" s="11">
        <v>1566.85</v>
      </c>
      <c r="F227" s="11">
        <v>1388.72</v>
      </c>
      <c r="G227" s="11">
        <v>2564.87</v>
      </c>
      <c r="H227" s="3"/>
      <c r="I227" s="11">
        <v>3191</v>
      </c>
      <c r="J227" s="11">
        <v>3191</v>
      </c>
      <c r="K227" s="3"/>
      <c r="L227" s="11">
        <f>+'[1]Non-Union - 3.5%'!$R$32+'[1]Non-Union - 3.5%'!$Y$32</f>
        <v>3334.2602831999998</v>
      </c>
      <c r="M227" s="38">
        <f t="shared" si="9"/>
        <v>1.0448951059855844</v>
      </c>
    </row>
    <row r="228" spans="1:13" hidden="1" x14ac:dyDescent="0.25">
      <c r="A228" s="14">
        <v>6040300</v>
      </c>
      <c r="B228" s="15" t="s">
        <v>134</v>
      </c>
      <c r="C228" s="16">
        <v>0</v>
      </c>
      <c r="D228" s="11">
        <v>0</v>
      </c>
      <c r="E228" s="11">
        <v>8572.33</v>
      </c>
      <c r="F228" s="11">
        <v>8903.25</v>
      </c>
      <c r="G228" s="11">
        <v>11898</v>
      </c>
      <c r="H228" s="3"/>
      <c r="I228" s="11">
        <v>10000</v>
      </c>
      <c r="J228" s="11">
        <v>10000</v>
      </c>
      <c r="K228" s="3"/>
      <c r="L228" s="11">
        <v>10000</v>
      </c>
      <c r="M228" s="38">
        <f t="shared" si="9"/>
        <v>1</v>
      </c>
    </row>
    <row r="229" spans="1:13" hidden="1" x14ac:dyDescent="0.25">
      <c r="A229" s="14">
        <v>6040310</v>
      </c>
      <c r="B229" s="15" t="s">
        <v>136</v>
      </c>
      <c r="C229" s="16">
        <v>0</v>
      </c>
      <c r="D229" s="11">
        <v>0</v>
      </c>
      <c r="E229" s="11">
        <v>706.65</v>
      </c>
      <c r="F229" s="11">
        <v>830.74</v>
      </c>
      <c r="G229" s="11">
        <v>1017.92</v>
      </c>
      <c r="H229" s="3"/>
      <c r="I229" s="11">
        <v>900</v>
      </c>
      <c r="J229" s="11">
        <v>900</v>
      </c>
      <c r="K229" s="3"/>
      <c r="L229" s="11">
        <v>1000</v>
      </c>
      <c r="M229" s="38">
        <f t="shared" si="9"/>
        <v>1.1111111111111112</v>
      </c>
    </row>
    <row r="230" spans="1:13" hidden="1" x14ac:dyDescent="0.25">
      <c r="A230" s="14">
        <v>6040350</v>
      </c>
      <c r="B230" s="15" t="s">
        <v>138</v>
      </c>
      <c r="C230" s="16"/>
      <c r="D230" s="11"/>
      <c r="E230" s="11"/>
      <c r="F230" s="11">
        <v>563.01</v>
      </c>
      <c r="G230" s="11">
        <v>227.32</v>
      </c>
      <c r="H230" s="3"/>
      <c r="I230" s="11"/>
      <c r="J230" s="11">
        <v>0</v>
      </c>
      <c r="K230" s="3"/>
      <c r="L230" s="11">
        <f>+L228*3.08/100</f>
        <v>308</v>
      </c>
    </row>
    <row r="231" spans="1:13" hidden="1" x14ac:dyDescent="0.25">
      <c r="A231" s="14" t="s">
        <v>293</v>
      </c>
      <c r="B231" s="15" t="s">
        <v>140</v>
      </c>
      <c r="C231" s="16">
        <v>4014</v>
      </c>
      <c r="D231" s="11">
        <v>4235.8900000000003</v>
      </c>
      <c r="E231" s="11">
        <v>2757.43</v>
      </c>
      <c r="F231" s="11">
        <v>3496.7</v>
      </c>
      <c r="G231" s="11">
        <v>2711.72</v>
      </c>
      <c r="H231" s="3"/>
      <c r="I231" s="11">
        <v>2500</v>
      </c>
      <c r="J231" s="11">
        <v>2500</v>
      </c>
      <c r="K231" s="3"/>
      <c r="L231" s="11">
        <v>3000</v>
      </c>
      <c r="M231" s="38">
        <f t="shared" si="9"/>
        <v>1.2</v>
      </c>
    </row>
    <row r="232" spans="1:13" hidden="1" x14ac:dyDescent="0.25">
      <c r="A232" s="14" t="s">
        <v>294</v>
      </c>
      <c r="B232" s="15" t="s">
        <v>146</v>
      </c>
      <c r="C232" s="16">
        <v>473</v>
      </c>
      <c r="D232" s="11">
        <v>853.69</v>
      </c>
      <c r="E232" s="11">
        <v>16.989999999999998</v>
      </c>
      <c r="F232" s="11">
        <v>1099.22</v>
      </c>
      <c r="G232" s="11">
        <v>3000</v>
      </c>
      <c r="H232" s="3"/>
      <c r="I232" s="11">
        <v>1000</v>
      </c>
      <c r="J232" s="11">
        <v>1000</v>
      </c>
      <c r="K232" s="3"/>
      <c r="L232" s="11">
        <v>1500</v>
      </c>
      <c r="M232" s="38">
        <f t="shared" si="9"/>
        <v>1.5</v>
      </c>
    </row>
    <row r="233" spans="1:13" hidden="1" x14ac:dyDescent="0.25">
      <c r="A233" s="14" t="s">
        <v>295</v>
      </c>
      <c r="B233" s="15" t="s">
        <v>182</v>
      </c>
      <c r="C233" s="16">
        <v>2193</v>
      </c>
      <c r="D233" s="11">
        <v>5278.05</v>
      </c>
      <c r="E233" s="11">
        <v>5053.07</v>
      </c>
      <c r="F233" s="11">
        <v>5451.43</v>
      </c>
      <c r="G233" s="11">
        <v>4691.25</v>
      </c>
      <c r="H233" s="3"/>
      <c r="I233" s="11">
        <v>8000</v>
      </c>
      <c r="J233" s="11">
        <v>8000</v>
      </c>
      <c r="K233" s="3"/>
      <c r="L233" s="11">
        <v>8000</v>
      </c>
      <c r="M233" s="38">
        <f t="shared" si="9"/>
        <v>1</v>
      </c>
    </row>
    <row r="234" spans="1:13" hidden="1" x14ac:dyDescent="0.25">
      <c r="A234" s="14" t="s">
        <v>296</v>
      </c>
      <c r="B234" s="15" t="s">
        <v>254</v>
      </c>
      <c r="C234" s="16">
        <v>2199</v>
      </c>
      <c r="D234" s="11">
        <v>176.26</v>
      </c>
      <c r="E234" s="11">
        <v>2403.52</v>
      </c>
      <c r="F234" s="11">
        <v>2389.83</v>
      </c>
      <c r="G234" s="11">
        <v>332.52</v>
      </c>
      <c r="H234" s="3"/>
      <c r="I234" s="11">
        <v>2500</v>
      </c>
      <c r="J234" s="11">
        <v>2500</v>
      </c>
      <c r="K234" s="3"/>
      <c r="L234" s="11">
        <v>500</v>
      </c>
      <c r="M234" s="38">
        <f t="shared" si="9"/>
        <v>0.2</v>
      </c>
    </row>
    <row r="235" spans="1:13" hidden="1" x14ac:dyDescent="0.25">
      <c r="A235" s="14" t="s">
        <v>297</v>
      </c>
      <c r="B235" s="15" t="s">
        <v>160</v>
      </c>
      <c r="C235" s="16">
        <v>0</v>
      </c>
      <c r="D235" s="11">
        <v>6329.32</v>
      </c>
      <c r="E235" s="11">
        <v>4338.3</v>
      </c>
      <c r="F235" s="11">
        <v>6937.69</v>
      </c>
      <c r="G235" s="11">
        <v>2950.44</v>
      </c>
      <c r="H235" s="3"/>
      <c r="I235" s="11">
        <v>5000</v>
      </c>
      <c r="J235" s="11">
        <v>5000</v>
      </c>
      <c r="K235" s="3"/>
      <c r="L235" s="11">
        <v>5000</v>
      </c>
      <c r="M235" s="38">
        <f t="shared" si="9"/>
        <v>1</v>
      </c>
    </row>
    <row r="236" spans="1:13" hidden="1" x14ac:dyDescent="0.25">
      <c r="A236" s="14" t="s">
        <v>298</v>
      </c>
      <c r="B236" s="15" t="s">
        <v>80</v>
      </c>
      <c r="C236" s="16">
        <v>2718</v>
      </c>
      <c r="D236" s="11">
        <v>177.96</v>
      </c>
      <c r="E236" s="11">
        <v>142.22999999999999</v>
      </c>
      <c r="F236" s="11">
        <v>521.03</v>
      </c>
      <c r="G236" s="11">
        <v>36.24</v>
      </c>
      <c r="H236" s="3"/>
      <c r="I236" s="11">
        <v>150</v>
      </c>
      <c r="J236" s="11">
        <v>150</v>
      </c>
      <c r="K236" s="3"/>
      <c r="L236" s="11">
        <v>150</v>
      </c>
      <c r="M236" s="38">
        <f t="shared" si="9"/>
        <v>1</v>
      </c>
    </row>
    <row r="237" spans="1:13" hidden="1" x14ac:dyDescent="0.25">
      <c r="A237" s="14" t="s">
        <v>299</v>
      </c>
      <c r="B237" s="15" t="s">
        <v>164</v>
      </c>
      <c r="C237" s="16">
        <v>380</v>
      </c>
      <c r="D237" s="11">
        <v>75.31</v>
      </c>
      <c r="E237" s="11">
        <v>377.06</v>
      </c>
      <c r="F237" s="11">
        <v>117.86</v>
      </c>
      <c r="G237" s="11">
        <v>93.92</v>
      </c>
      <c r="H237" s="3"/>
      <c r="I237" s="11">
        <v>2500</v>
      </c>
      <c r="J237" s="11">
        <v>2500</v>
      </c>
      <c r="K237" s="3"/>
      <c r="L237" s="11">
        <v>2500</v>
      </c>
      <c r="M237" s="38">
        <f t="shared" si="9"/>
        <v>1</v>
      </c>
    </row>
    <row r="238" spans="1:13" hidden="1" x14ac:dyDescent="0.25">
      <c r="A238" s="14">
        <v>6042000</v>
      </c>
      <c r="B238" s="15" t="s">
        <v>300</v>
      </c>
      <c r="C238" s="16">
        <v>3327</v>
      </c>
      <c r="D238" s="11">
        <v>9920</v>
      </c>
      <c r="E238" s="11">
        <v>35098.980000000003</v>
      </c>
      <c r="F238" s="11">
        <v>3079.11</v>
      </c>
      <c r="G238" s="11"/>
      <c r="H238" s="3"/>
      <c r="I238" s="11"/>
      <c r="J238" s="11"/>
      <c r="K238" s="3"/>
      <c r="L238" s="11">
        <v>5000</v>
      </c>
    </row>
    <row r="239" spans="1:13" hidden="1" x14ac:dyDescent="0.25">
      <c r="A239" s="14"/>
      <c r="B239" s="15"/>
      <c r="C239" s="16"/>
      <c r="D239" s="11"/>
      <c r="E239" s="11"/>
      <c r="F239" s="11"/>
      <c r="G239" s="11"/>
      <c r="H239" s="3"/>
      <c r="I239" s="11"/>
      <c r="J239" s="11"/>
      <c r="K239" s="3"/>
      <c r="L239" s="11"/>
    </row>
    <row r="240" spans="1:13" hidden="1" x14ac:dyDescent="0.25">
      <c r="A240" s="29"/>
      <c r="B240" s="30" t="s">
        <v>301</v>
      </c>
      <c r="C240" s="16">
        <f>SUM(C222:C238)</f>
        <v>83429</v>
      </c>
      <c r="D240" s="11">
        <f>SUM(D222:D238)</f>
        <v>139480.01</v>
      </c>
      <c r="E240" s="11">
        <f>SUM(E222:E238)</f>
        <v>158016.93</v>
      </c>
      <c r="F240" s="11">
        <f>SUM(F222:F238)</f>
        <v>187688.23999999996</v>
      </c>
      <c r="G240" s="11">
        <f>SUM(G222:G238)</f>
        <v>146770.20000000001</v>
      </c>
      <c r="H240" s="3"/>
      <c r="I240" s="11">
        <f>SUM(I222:I238)</f>
        <v>202476</v>
      </c>
      <c r="J240" s="11">
        <f>SUM(J222:J238)</f>
        <v>202476</v>
      </c>
      <c r="K240" s="3"/>
      <c r="L240" s="11">
        <f>SUM(L222:L238)</f>
        <v>241009.0185457</v>
      </c>
      <c r="M240" s="38">
        <f>+L240/J240</f>
        <v>1.1903090664854106</v>
      </c>
    </row>
    <row r="241" spans="1:13" hidden="1" x14ac:dyDescent="0.25">
      <c r="A241" s="29"/>
      <c r="B241" s="30"/>
      <c r="C241" s="16"/>
      <c r="D241" s="11"/>
      <c r="E241" s="11"/>
      <c r="F241" s="11"/>
      <c r="G241" s="11"/>
      <c r="H241" s="3"/>
      <c r="I241" s="11"/>
      <c r="J241" s="11"/>
      <c r="K241" s="3"/>
      <c r="L241" s="11"/>
    </row>
    <row r="242" spans="1:13" hidden="1" x14ac:dyDescent="0.25">
      <c r="A242" s="17" t="s">
        <v>21</v>
      </c>
      <c r="B242" s="18" t="s">
        <v>302</v>
      </c>
      <c r="C242" s="25">
        <f>+C240+C220</f>
        <v>146751</v>
      </c>
      <c r="D242" s="11">
        <f>+D240+D220</f>
        <v>206594.95</v>
      </c>
      <c r="E242" s="11">
        <f t="shared" ref="E242:J242" si="10">+E240+E220</f>
        <v>232055.97999999998</v>
      </c>
      <c r="F242" s="11">
        <f t="shared" si="10"/>
        <v>296101.28999999998</v>
      </c>
      <c r="G242" s="11">
        <f t="shared" si="10"/>
        <v>226253.62000000002</v>
      </c>
      <c r="H242" s="3"/>
      <c r="I242" s="11">
        <f t="shared" si="10"/>
        <v>310476</v>
      </c>
      <c r="J242" s="11">
        <f t="shared" si="10"/>
        <v>311476</v>
      </c>
      <c r="K242" s="3"/>
      <c r="L242" s="11">
        <f>+L240+L220</f>
        <v>349009.0185457</v>
      </c>
      <c r="M242" s="38">
        <f>+L242/J242</f>
        <v>1.1205005154352181</v>
      </c>
    </row>
    <row r="243" spans="1:13" hidden="1" x14ac:dyDescent="0.25">
      <c r="D243" s="11"/>
      <c r="E243" s="11"/>
      <c r="F243" s="11"/>
      <c r="G243" s="11"/>
      <c r="H243" s="3"/>
      <c r="I243" s="11"/>
      <c r="J243" s="11"/>
      <c r="K243" s="3"/>
      <c r="L243" s="11"/>
    </row>
    <row r="244" spans="1:13" hidden="1" x14ac:dyDescent="0.25">
      <c r="A244" s="9" t="s">
        <v>303</v>
      </c>
      <c r="B244" s="10" t="s">
        <v>304</v>
      </c>
      <c r="D244" s="11"/>
      <c r="E244" s="11"/>
      <c r="F244" s="11"/>
      <c r="G244" s="11"/>
      <c r="H244" s="3"/>
      <c r="I244" s="11"/>
      <c r="J244" s="11"/>
      <c r="K244" s="3"/>
      <c r="L244" s="11"/>
    </row>
    <row r="245" spans="1:13" hidden="1" x14ac:dyDescent="0.25">
      <c r="A245" s="12" t="s">
        <v>9</v>
      </c>
      <c r="B245" s="13" t="s">
        <v>10</v>
      </c>
      <c r="D245" s="11"/>
      <c r="E245" s="11"/>
      <c r="F245" s="11"/>
      <c r="G245" s="11"/>
      <c r="H245" s="3"/>
      <c r="I245" s="11"/>
      <c r="J245" s="11"/>
      <c r="K245" s="3"/>
      <c r="L245" s="11"/>
    </row>
    <row r="246" spans="1:13" hidden="1" x14ac:dyDescent="0.25">
      <c r="A246" s="14" t="s">
        <v>305</v>
      </c>
      <c r="B246" s="15" t="s">
        <v>124</v>
      </c>
      <c r="C246" s="16">
        <v>342053</v>
      </c>
      <c r="D246" s="11">
        <v>325114.84999999998</v>
      </c>
      <c r="E246" s="11">
        <v>17769.150000000001</v>
      </c>
      <c r="F246" s="11">
        <v>23319.919999999998</v>
      </c>
      <c r="G246" s="11">
        <v>16313.84</v>
      </c>
      <c r="H246" s="3"/>
      <c r="I246" s="11">
        <v>25000</v>
      </c>
      <c r="J246" s="11">
        <v>25000</v>
      </c>
      <c r="K246" s="3"/>
      <c r="L246" s="11">
        <v>25875</v>
      </c>
      <c r="M246" s="38">
        <f t="shared" ref="M246:M251" si="11">+L246/J246</f>
        <v>1.0349999999999999</v>
      </c>
    </row>
    <row r="247" spans="1:13" hidden="1" x14ac:dyDescent="0.25">
      <c r="A247" s="14" t="s">
        <v>306</v>
      </c>
      <c r="B247" s="15" t="s">
        <v>126</v>
      </c>
      <c r="C247" s="16">
        <v>32251</v>
      </c>
      <c r="D247" s="11">
        <v>31248.5</v>
      </c>
      <c r="E247" s="11">
        <v>1603.74</v>
      </c>
      <c r="F247" s="11">
        <v>1976.08</v>
      </c>
      <c r="G247" s="11">
        <v>1306.32</v>
      </c>
      <c r="H247" s="3"/>
      <c r="I247" s="11">
        <v>2000</v>
      </c>
      <c r="J247" s="11">
        <v>2000</v>
      </c>
      <c r="K247" s="3"/>
      <c r="L247" s="11">
        <v>2070</v>
      </c>
      <c r="M247" s="38">
        <f t="shared" si="11"/>
        <v>1.0349999999999999</v>
      </c>
    </row>
    <row r="248" spans="1:13" hidden="1" x14ac:dyDescent="0.25">
      <c r="A248" s="14" t="s">
        <v>307</v>
      </c>
      <c r="B248" s="15" t="s">
        <v>128</v>
      </c>
      <c r="C248" s="16">
        <v>490</v>
      </c>
      <c r="D248" s="11">
        <v>704.4</v>
      </c>
      <c r="E248" s="11">
        <v>587</v>
      </c>
      <c r="F248" s="11">
        <v>704.4</v>
      </c>
      <c r="G248" s="11">
        <v>469.6</v>
      </c>
      <c r="H248" s="3"/>
      <c r="I248" s="11">
        <v>704</v>
      </c>
      <c r="J248" s="11">
        <v>704</v>
      </c>
      <c r="K248" s="3"/>
      <c r="L248" s="11">
        <v>704</v>
      </c>
      <c r="M248" s="38">
        <f t="shared" si="11"/>
        <v>1</v>
      </c>
    </row>
    <row r="249" spans="1:13" hidden="1" x14ac:dyDescent="0.25">
      <c r="A249" s="14" t="s">
        <v>308</v>
      </c>
      <c r="B249" s="15" t="s">
        <v>132</v>
      </c>
      <c r="C249" s="16">
        <v>13150</v>
      </c>
      <c r="D249" s="11">
        <v>11541.18</v>
      </c>
      <c r="E249" s="11">
        <v>782</v>
      </c>
      <c r="F249" s="11">
        <v>1295.52</v>
      </c>
      <c r="G249" s="11">
        <v>444.12</v>
      </c>
      <c r="H249" s="3"/>
      <c r="I249" s="11">
        <v>770</v>
      </c>
      <c r="J249" s="11">
        <v>770</v>
      </c>
      <c r="K249" s="3"/>
      <c r="L249" s="11">
        <v>797</v>
      </c>
      <c r="M249" s="38">
        <f t="shared" si="11"/>
        <v>1.035064935064935</v>
      </c>
    </row>
    <row r="250" spans="1:13" hidden="1" x14ac:dyDescent="0.25">
      <c r="A250" s="14">
        <v>6080300</v>
      </c>
      <c r="B250" s="15" t="s">
        <v>134</v>
      </c>
      <c r="C250" s="16">
        <v>0</v>
      </c>
      <c r="D250" s="11">
        <v>0</v>
      </c>
      <c r="E250" s="11">
        <v>356886.9</v>
      </c>
      <c r="F250" s="11">
        <v>364909.6</v>
      </c>
      <c r="G250" s="11">
        <v>402072.36</v>
      </c>
      <c r="H250" s="3"/>
      <c r="I250" s="11">
        <v>401992.5</v>
      </c>
      <c r="J250" s="11">
        <v>401992.5</v>
      </c>
      <c r="K250" s="3"/>
      <c r="L250" s="11">
        <v>445434.38</v>
      </c>
      <c r="M250" s="38">
        <f t="shared" si="11"/>
        <v>1.1080663942735249</v>
      </c>
    </row>
    <row r="251" spans="1:13" hidden="1" x14ac:dyDescent="0.25">
      <c r="A251" s="14">
        <v>6080310</v>
      </c>
      <c r="B251" s="15" t="s">
        <v>136</v>
      </c>
      <c r="C251" s="16">
        <v>0</v>
      </c>
      <c r="D251" s="11">
        <v>0</v>
      </c>
      <c r="E251" s="11">
        <f>33729.62+40.32</f>
        <v>33769.94</v>
      </c>
      <c r="F251" s="11">
        <v>32756.37</v>
      </c>
      <c r="G251" s="11">
        <v>36872.15</v>
      </c>
      <c r="H251" s="3"/>
      <c r="I251" s="11">
        <v>40199.25</v>
      </c>
      <c r="J251" s="11">
        <v>40199.25</v>
      </c>
      <c r="K251" s="3"/>
      <c r="L251" s="11">
        <v>40089.089999999997</v>
      </c>
      <c r="M251" s="38">
        <f t="shared" si="11"/>
        <v>0.99725965036661124</v>
      </c>
    </row>
    <row r="252" spans="1:13" hidden="1" x14ac:dyDescent="0.25">
      <c r="A252" s="14">
        <v>6080320</v>
      </c>
      <c r="B252" s="15" t="s">
        <v>309</v>
      </c>
      <c r="C252" s="16">
        <v>0</v>
      </c>
      <c r="D252" s="11">
        <v>0</v>
      </c>
      <c r="E252" s="11">
        <v>0</v>
      </c>
      <c r="F252" s="11">
        <v>0</v>
      </c>
      <c r="G252" s="11">
        <v>0</v>
      </c>
      <c r="H252" s="3"/>
      <c r="I252" s="11">
        <v>1000</v>
      </c>
      <c r="J252" s="11">
        <v>1000</v>
      </c>
      <c r="K252" s="3"/>
      <c r="L252" s="11">
        <v>0</v>
      </c>
    </row>
    <row r="253" spans="1:13" hidden="1" x14ac:dyDescent="0.25">
      <c r="A253" s="14">
        <v>6080350</v>
      </c>
      <c r="B253" s="15" t="s">
        <v>176</v>
      </c>
      <c r="C253" s="16">
        <v>0</v>
      </c>
      <c r="D253" s="11">
        <v>6569</v>
      </c>
      <c r="E253" s="11">
        <v>4785.88</v>
      </c>
      <c r="F253" s="11">
        <v>12720.3</v>
      </c>
      <c r="G253" s="11">
        <v>5261.6</v>
      </c>
      <c r="H253" s="3"/>
      <c r="I253" s="11">
        <v>10000</v>
      </c>
      <c r="J253" s="11">
        <v>10000</v>
      </c>
      <c r="K253" s="3"/>
      <c r="L253" s="11">
        <v>10000</v>
      </c>
      <c r="M253" s="38">
        <f t="shared" ref="M253:M258" si="12">+L253/J253</f>
        <v>1</v>
      </c>
    </row>
    <row r="254" spans="1:13" hidden="1" x14ac:dyDescent="0.25">
      <c r="A254" s="14">
        <v>6080360</v>
      </c>
      <c r="B254" s="15" t="s">
        <v>138</v>
      </c>
      <c r="C254" s="16">
        <v>0</v>
      </c>
      <c r="D254" s="11">
        <v>0</v>
      </c>
      <c r="E254" s="11">
        <v>7996.8</v>
      </c>
      <c r="F254" s="11">
        <v>31738.97</v>
      </c>
      <c r="G254" s="11">
        <v>-4259.54</v>
      </c>
      <c r="H254" s="3"/>
      <c r="I254" s="11">
        <v>12381.37</v>
      </c>
      <c r="J254" s="11">
        <v>12381.37</v>
      </c>
      <c r="K254" s="3"/>
      <c r="L254" s="11">
        <v>13719.368</v>
      </c>
      <c r="M254" s="38">
        <f t="shared" si="12"/>
        <v>1.1080654241008869</v>
      </c>
    </row>
    <row r="255" spans="1:13" hidden="1" x14ac:dyDescent="0.25">
      <c r="A255" s="14" t="s">
        <v>310</v>
      </c>
      <c r="B255" s="15" t="s">
        <v>140</v>
      </c>
      <c r="C255" s="16">
        <v>7273</v>
      </c>
      <c r="D255" s="11">
        <v>6086.12</v>
      </c>
      <c r="E255" s="11">
        <v>5902.42</v>
      </c>
      <c r="F255" s="11">
        <v>7997.13</v>
      </c>
      <c r="G255" s="11">
        <v>5212.95</v>
      </c>
      <c r="H255" s="3"/>
      <c r="I255" s="11">
        <v>8000</v>
      </c>
      <c r="J255" s="11">
        <v>8000</v>
      </c>
      <c r="K255" s="3"/>
      <c r="L255" s="11">
        <v>8000</v>
      </c>
      <c r="M255" s="38">
        <f t="shared" si="12"/>
        <v>1</v>
      </c>
    </row>
    <row r="256" spans="1:13" hidden="1" x14ac:dyDescent="0.25">
      <c r="A256" s="14" t="s">
        <v>311</v>
      </c>
      <c r="B256" s="15" t="s">
        <v>142</v>
      </c>
      <c r="C256" s="16">
        <v>1200</v>
      </c>
      <c r="D256" s="11">
        <v>1710</v>
      </c>
      <c r="E256" s="11">
        <v>1800</v>
      </c>
      <c r="F256" s="11">
        <v>3000</v>
      </c>
      <c r="G256" s="11">
        <v>1808</v>
      </c>
      <c r="H256" s="3"/>
      <c r="I256" s="11">
        <v>2340</v>
      </c>
      <c r="J256" s="11">
        <v>2340</v>
      </c>
      <c r="K256" s="3"/>
      <c r="L256" s="11">
        <v>3800</v>
      </c>
      <c r="M256" s="38">
        <f t="shared" si="12"/>
        <v>1.6239316239316239</v>
      </c>
    </row>
    <row r="257" spans="1:13" hidden="1" x14ac:dyDescent="0.25">
      <c r="A257" s="14">
        <v>6080520</v>
      </c>
      <c r="B257" s="15" t="s">
        <v>144</v>
      </c>
      <c r="C257" s="16"/>
      <c r="D257" s="11"/>
      <c r="E257" s="11"/>
      <c r="F257" s="11">
        <v>0</v>
      </c>
      <c r="G257" s="11">
        <v>444</v>
      </c>
      <c r="H257" s="3"/>
      <c r="I257" s="11"/>
      <c r="J257" s="11"/>
      <c r="K257" s="3"/>
      <c r="L257" s="11">
        <v>500</v>
      </c>
    </row>
    <row r="258" spans="1:13" hidden="1" x14ac:dyDescent="0.25">
      <c r="A258" s="14" t="s">
        <v>312</v>
      </c>
      <c r="B258" s="15" t="s">
        <v>146</v>
      </c>
      <c r="C258" s="16">
        <v>4475</v>
      </c>
      <c r="D258" s="11">
        <v>4265.8500000000004</v>
      </c>
      <c r="E258" s="11">
        <v>754.95</v>
      </c>
      <c r="F258" s="11">
        <v>12486.38</v>
      </c>
      <c r="G258" s="11">
        <v>1051.9100000000001</v>
      </c>
      <c r="H258" s="3"/>
      <c r="I258" s="11">
        <v>1500</v>
      </c>
      <c r="J258" s="11">
        <v>1500</v>
      </c>
      <c r="K258" s="3"/>
      <c r="L258" s="11">
        <v>1500</v>
      </c>
      <c r="M258" s="38">
        <f t="shared" si="12"/>
        <v>1</v>
      </c>
    </row>
    <row r="259" spans="1:13" hidden="1" x14ac:dyDescent="0.25">
      <c r="A259" s="14" t="s">
        <v>313</v>
      </c>
      <c r="B259" s="15" t="s">
        <v>314</v>
      </c>
      <c r="C259" s="16">
        <v>0</v>
      </c>
      <c r="D259" s="11">
        <v>5</v>
      </c>
      <c r="E259" s="11">
        <v>0</v>
      </c>
      <c r="F259" s="11">
        <v>0</v>
      </c>
      <c r="G259" s="11">
        <v>0</v>
      </c>
      <c r="H259" s="3"/>
      <c r="I259" s="11"/>
      <c r="J259" s="11"/>
      <c r="K259" s="3"/>
      <c r="L259" s="11"/>
    </row>
    <row r="260" spans="1:13" hidden="1" x14ac:dyDescent="0.25">
      <c r="A260" s="14" t="s">
        <v>315</v>
      </c>
      <c r="B260" s="15" t="s">
        <v>182</v>
      </c>
      <c r="C260" s="16">
        <v>386</v>
      </c>
      <c r="D260" s="11">
        <v>926.91</v>
      </c>
      <c r="E260" s="11">
        <v>988.02</v>
      </c>
      <c r="F260" s="11">
        <v>780.24</v>
      </c>
      <c r="G260" s="11">
        <v>782.45</v>
      </c>
      <c r="H260" s="3"/>
      <c r="I260" s="11">
        <v>1000</v>
      </c>
      <c r="J260" s="11">
        <v>1000</v>
      </c>
      <c r="K260" s="3"/>
      <c r="L260" s="11">
        <v>1000</v>
      </c>
      <c r="M260" s="38">
        <f t="shared" ref="M260:M268" si="13">+L260/J260</f>
        <v>1</v>
      </c>
    </row>
    <row r="261" spans="1:13" hidden="1" x14ac:dyDescent="0.25">
      <c r="A261" s="14" t="s">
        <v>316</v>
      </c>
      <c r="B261" s="15" t="s">
        <v>184</v>
      </c>
      <c r="C261" s="16">
        <v>1368</v>
      </c>
      <c r="D261" s="11">
        <v>1940.01</v>
      </c>
      <c r="E261" s="11">
        <v>2239.4</v>
      </c>
      <c r="F261" s="11">
        <v>2928.07</v>
      </c>
      <c r="G261" s="11">
        <v>666.59</v>
      </c>
      <c r="H261" s="3"/>
      <c r="I261" s="11">
        <v>1500</v>
      </c>
      <c r="J261" s="11">
        <v>1500</v>
      </c>
      <c r="K261" s="3"/>
      <c r="L261" s="11">
        <v>1000</v>
      </c>
      <c r="M261" s="38">
        <f t="shared" si="13"/>
        <v>0.66666666666666663</v>
      </c>
    </row>
    <row r="262" spans="1:13" hidden="1" x14ac:dyDescent="0.25">
      <c r="A262" s="14" t="s">
        <v>317</v>
      </c>
      <c r="B262" s="15" t="s">
        <v>154</v>
      </c>
      <c r="C262" s="16">
        <v>995</v>
      </c>
      <c r="D262" s="11">
        <v>1017.96</v>
      </c>
      <c r="E262" s="11">
        <v>843.3</v>
      </c>
      <c r="F262" s="11">
        <v>1314.66</v>
      </c>
      <c r="G262" s="11">
        <v>975.36</v>
      </c>
      <c r="H262" s="3"/>
      <c r="I262" s="11">
        <v>750</v>
      </c>
      <c r="J262" s="11">
        <v>750</v>
      </c>
      <c r="K262" s="3"/>
      <c r="L262" s="11">
        <v>1000</v>
      </c>
      <c r="M262" s="38">
        <f t="shared" si="13"/>
        <v>1.3333333333333333</v>
      </c>
    </row>
    <row r="263" spans="1:13" hidden="1" x14ac:dyDescent="0.25">
      <c r="A263" s="14" t="s">
        <v>318</v>
      </c>
      <c r="B263" s="15" t="s">
        <v>156</v>
      </c>
      <c r="C263" s="16">
        <v>500</v>
      </c>
      <c r="D263" s="11">
        <v>0</v>
      </c>
      <c r="E263" s="11">
        <v>0</v>
      </c>
      <c r="F263" s="11">
        <v>500</v>
      </c>
      <c r="G263" s="11">
        <v>0</v>
      </c>
      <c r="H263" s="3"/>
      <c r="I263" s="11">
        <v>500</v>
      </c>
      <c r="J263" s="11">
        <v>500</v>
      </c>
      <c r="K263" s="3"/>
      <c r="L263" s="11">
        <v>500</v>
      </c>
      <c r="M263" s="38">
        <f t="shared" si="13"/>
        <v>1</v>
      </c>
    </row>
    <row r="264" spans="1:13" hidden="1" x14ac:dyDescent="0.25">
      <c r="A264" s="14" t="s">
        <v>319</v>
      </c>
      <c r="B264" s="15" t="s">
        <v>158</v>
      </c>
      <c r="C264" s="16">
        <v>10420</v>
      </c>
      <c r="D264" s="11">
        <v>9835.7000000000007</v>
      </c>
      <c r="E264" s="11">
        <v>7220</v>
      </c>
      <c r="F264" s="11">
        <v>5075</v>
      </c>
      <c r="G264" s="11">
        <v>9020</v>
      </c>
      <c r="H264" s="3"/>
      <c r="I264" s="11">
        <v>10000</v>
      </c>
      <c r="J264" s="11">
        <v>10000</v>
      </c>
      <c r="K264" s="3"/>
      <c r="L264" s="11">
        <v>10000</v>
      </c>
      <c r="M264" s="38">
        <f t="shared" si="13"/>
        <v>1</v>
      </c>
    </row>
    <row r="265" spans="1:13" hidden="1" x14ac:dyDescent="0.25">
      <c r="A265" s="14" t="s">
        <v>320</v>
      </c>
      <c r="B265" s="15" t="s">
        <v>160</v>
      </c>
      <c r="C265" s="16">
        <v>1896</v>
      </c>
      <c r="D265" s="11">
        <v>6397.81</v>
      </c>
      <c r="E265" s="11">
        <v>4957.8999999999996</v>
      </c>
      <c r="F265" s="11">
        <v>4915.72</v>
      </c>
      <c r="G265" s="11">
        <v>2333.67</v>
      </c>
      <c r="H265" s="3"/>
      <c r="I265" s="11">
        <v>6000</v>
      </c>
      <c r="J265" s="11">
        <v>6000</v>
      </c>
      <c r="K265" s="3"/>
      <c r="L265" s="11">
        <v>5000</v>
      </c>
      <c r="M265" s="38">
        <f t="shared" si="13"/>
        <v>0.83333333333333337</v>
      </c>
    </row>
    <row r="266" spans="1:13" hidden="1" x14ac:dyDescent="0.25">
      <c r="A266" s="14" t="s">
        <v>321</v>
      </c>
      <c r="B266" s="15" t="s">
        <v>162</v>
      </c>
      <c r="C266" s="16">
        <v>811</v>
      </c>
      <c r="D266" s="11">
        <v>705.48</v>
      </c>
      <c r="E266" s="11">
        <v>1026.3399999999999</v>
      </c>
      <c r="F266" s="11">
        <v>0</v>
      </c>
      <c r="G266" s="11">
        <v>1248.79</v>
      </c>
      <c r="H266" s="3"/>
      <c r="I266" s="11"/>
      <c r="J266" s="11"/>
      <c r="K266" s="3"/>
      <c r="L266" s="11">
        <v>1500</v>
      </c>
    </row>
    <row r="267" spans="1:13" hidden="1" x14ac:dyDescent="0.25">
      <c r="A267" s="14" t="s">
        <v>322</v>
      </c>
      <c r="B267" s="15" t="s">
        <v>80</v>
      </c>
      <c r="C267" s="16">
        <v>388</v>
      </c>
      <c r="D267" s="11">
        <v>703.29</v>
      </c>
      <c r="E267" s="11">
        <v>568.28</v>
      </c>
      <c r="F267" s="11">
        <v>779.64</v>
      </c>
      <c r="G267" s="11">
        <v>483.23</v>
      </c>
      <c r="H267" s="3"/>
      <c r="I267" s="11"/>
      <c r="J267" s="11"/>
      <c r="K267" s="3"/>
      <c r="L267" s="11">
        <v>500</v>
      </c>
    </row>
    <row r="268" spans="1:13" hidden="1" x14ac:dyDescent="0.25">
      <c r="A268" s="14" t="s">
        <v>323</v>
      </c>
      <c r="B268" s="15" t="s">
        <v>164</v>
      </c>
      <c r="C268" s="16">
        <v>7135</v>
      </c>
      <c r="D268" s="11">
        <v>5008.47</v>
      </c>
      <c r="E268" s="11">
        <v>1193.99</v>
      </c>
      <c r="F268" s="11">
        <v>3410.95</v>
      </c>
      <c r="G268" s="11">
        <v>1638.72</v>
      </c>
      <c r="H268" s="3"/>
      <c r="I268" s="11">
        <v>2500</v>
      </c>
      <c r="J268" s="11">
        <v>2500</v>
      </c>
      <c r="K268" s="3"/>
      <c r="L268" s="11">
        <v>2500</v>
      </c>
      <c r="M268" s="38">
        <f t="shared" si="13"/>
        <v>1</v>
      </c>
    </row>
    <row r="269" spans="1:13" hidden="1" x14ac:dyDescent="0.25">
      <c r="A269" s="14">
        <v>6082000</v>
      </c>
      <c r="B269" s="15" t="s">
        <v>191</v>
      </c>
      <c r="C269" s="16">
        <v>7039</v>
      </c>
      <c r="D269" s="11">
        <v>7670</v>
      </c>
      <c r="E269" s="11">
        <v>4505</v>
      </c>
      <c r="F269" s="11">
        <v>3557</v>
      </c>
      <c r="G269" s="11">
        <v>0</v>
      </c>
      <c r="H269" s="3"/>
      <c r="I269" s="11"/>
      <c r="J269" s="11"/>
      <c r="K269" s="3"/>
      <c r="L269" s="11"/>
    </row>
    <row r="270" spans="1:13" hidden="1" x14ac:dyDescent="0.25">
      <c r="A270" s="21"/>
      <c r="B270" s="22"/>
      <c r="C270" s="16"/>
      <c r="D270" s="11"/>
      <c r="E270" s="11"/>
      <c r="F270" s="11"/>
      <c r="G270" s="11"/>
      <c r="H270" s="3"/>
      <c r="I270" s="11"/>
      <c r="J270" s="11"/>
      <c r="K270" s="3"/>
      <c r="L270" s="11"/>
    </row>
    <row r="271" spans="1:13" hidden="1" x14ac:dyDescent="0.25">
      <c r="A271" s="17" t="s">
        <v>21</v>
      </c>
      <c r="B271" s="18" t="s">
        <v>324</v>
      </c>
      <c r="C271" s="19">
        <f>SUM(C246:C270)</f>
        <v>431830</v>
      </c>
      <c r="D271" s="11">
        <f>SUM(D246:D270)</f>
        <v>421450.52999999991</v>
      </c>
      <c r="E271" s="11">
        <f>SUM(E246:E270)</f>
        <v>456181.01000000013</v>
      </c>
      <c r="F271" s="11">
        <f>SUM(F246:F270)</f>
        <v>516165.9499999999</v>
      </c>
      <c r="G271" s="11">
        <f>SUM(G246:G270)</f>
        <v>484146.11999999994</v>
      </c>
      <c r="H271" s="3"/>
      <c r="I271" s="11">
        <f>SUM(I246:I270)</f>
        <v>528137.12</v>
      </c>
      <c r="J271" s="11">
        <f>SUM(J246:J270)</f>
        <v>528137.12</v>
      </c>
      <c r="K271" s="3"/>
      <c r="L271" s="11">
        <f>SUM(L246:L270)</f>
        <v>575488.83799999999</v>
      </c>
      <c r="M271" s="38">
        <f>+L271/J271</f>
        <v>1.0896580001799532</v>
      </c>
    </row>
    <row r="272" spans="1:13" hidden="1" x14ac:dyDescent="0.25">
      <c r="D272" s="11"/>
      <c r="E272" s="11"/>
      <c r="F272" s="11"/>
      <c r="G272" s="11"/>
      <c r="H272" s="3"/>
      <c r="I272" s="11"/>
      <c r="J272" s="11"/>
      <c r="K272" s="3"/>
      <c r="L272" s="11"/>
    </row>
    <row r="273" spans="1:13" hidden="1" x14ac:dyDescent="0.25">
      <c r="A273" s="23" t="s">
        <v>86</v>
      </c>
      <c r="B273" s="24" t="s">
        <v>325</v>
      </c>
      <c r="C273" s="11">
        <f>+C271+C242+C209+C164</f>
        <v>3309823</v>
      </c>
      <c r="D273" s="11">
        <f>+D271+D242+D209+D164</f>
        <v>3906752.9799999995</v>
      </c>
      <c r="E273" s="11">
        <f>+E271+E242+E209+E164</f>
        <v>3631751.8499999996</v>
      </c>
      <c r="F273" s="11">
        <f>+F271+F242+F209+F164</f>
        <v>4897407.8759999992</v>
      </c>
      <c r="G273" s="11">
        <f>+G271+G242+G209+G164</f>
        <v>4083281.2700000005</v>
      </c>
      <c r="H273" s="3"/>
      <c r="I273" s="11">
        <f>+I271+I242+I209+I164</f>
        <v>5388036.3300000001</v>
      </c>
      <c r="J273" s="11">
        <f>+J271+J242+J209+J164</f>
        <v>5828826.9300000006</v>
      </c>
      <c r="K273" s="3"/>
      <c r="L273" s="11">
        <f>+L271+L242+L209+L164</f>
        <v>5985634.0945562609</v>
      </c>
      <c r="M273" s="38">
        <f>+L273/J273</f>
        <v>1.0269020107200644</v>
      </c>
    </row>
    <row r="274" spans="1:13" hidden="1" x14ac:dyDescent="0.25">
      <c r="D274" s="11"/>
      <c r="E274" s="11"/>
      <c r="F274" s="11"/>
      <c r="G274" s="11"/>
      <c r="H274" s="3"/>
      <c r="I274" s="11"/>
      <c r="J274" s="11"/>
      <c r="K274" s="3"/>
      <c r="L274" s="11"/>
    </row>
    <row r="275" spans="1:13" hidden="1" x14ac:dyDescent="0.25">
      <c r="D275" s="11"/>
      <c r="E275" s="11"/>
      <c r="F275" s="11"/>
      <c r="G275" s="11"/>
      <c r="H275" s="3"/>
      <c r="I275" s="11"/>
      <c r="J275" s="11"/>
      <c r="K275" s="3"/>
      <c r="L275" s="11"/>
    </row>
    <row r="276" spans="1:13" hidden="1" x14ac:dyDescent="0.25">
      <c r="A276" s="31"/>
      <c r="B276" s="32" t="s">
        <v>326</v>
      </c>
      <c r="C276" s="11">
        <f>+C63-C273</f>
        <v>933839</v>
      </c>
      <c r="D276" s="11">
        <f>+D63-D273</f>
        <v>2023199.9200000009</v>
      </c>
      <c r="E276" s="11">
        <f>+E63-E273</f>
        <v>1136378.6200000001</v>
      </c>
      <c r="F276" s="11">
        <f>+F63-F273</f>
        <v>874954.35400000121</v>
      </c>
      <c r="G276" s="11">
        <f>+G63-G273</f>
        <v>1688182.71</v>
      </c>
      <c r="H276" s="3"/>
      <c r="I276" s="11">
        <f>+I63-I273</f>
        <v>371968.66999999993</v>
      </c>
      <c r="J276" s="11">
        <f>+J63-J273</f>
        <v>349673.06999999937</v>
      </c>
      <c r="K276" s="3"/>
      <c r="L276" s="11">
        <f>+L63-L273</f>
        <v>-246134.09455626085</v>
      </c>
      <c r="M276" s="38">
        <f>+L276/J276</f>
        <v>-0.70389777101296735</v>
      </c>
    </row>
    <row r="277" spans="1:13" hidden="1" x14ac:dyDescent="0.25">
      <c r="D277" s="11"/>
      <c r="E277" s="11"/>
      <c r="F277" s="11"/>
      <c r="G277" s="11"/>
      <c r="H277" s="11"/>
      <c r="I277" s="11"/>
      <c r="J277" s="11"/>
      <c r="K277" s="11"/>
      <c r="L277" s="11"/>
    </row>
    <row r="278" spans="1:13" hidden="1" x14ac:dyDescent="0.25">
      <c r="A278" s="33"/>
      <c r="B278" s="33"/>
      <c r="C278" s="33"/>
      <c r="D278" s="11"/>
      <c r="E278" s="11"/>
      <c r="F278" s="11"/>
      <c r="G278" s="11"/>
      <c r="H278" s="11"/>
      <c r="I278" s="11"/>
      <c r="J278" s="11"/>
      <c r="K278" s="11"/>
      <c r="L278" s="11"/>
    </row>
    <row r="279" spans="1:13" hidden="1" x14ac:dyDescent="0.25">
      <c r="A279" s="33"/>
      <c r="B279" s="33"/>
      <c r="C279" s="34"/>
      <c r="D279" s="11"/>
      <c r="E279" s="11"/>
      <c r="F279" s="11"/>
      <c r="G279" s="11"/>
      <c r="H279" s="11"/>
      <c r="I279" s="11"/>
      <c r="J279" s="11"/>
      <c r="K279" s="11"/>
      <c r="L279" s="11"/>
    </row>
    <row r="280" spans="1:13" hidden="1" x14ac:dyDescent="0.25">
      <c r="A280" s="33"/>
      <c r="B280" s="33"/>
      <c r="C280" s="33"/>
      <c r="D280" s="35"/>
      <c r="E280" s="35"/>
      <c r="F280" s="35"/>
      <c r="G280" s="35"/>
      <c r="H280" s="11"/>
      <c r="I280" s="36"/>
      <c r="J280" s="36"/>
      <c r="K280" s="11"/>
      <c r="L280" s="36"/>
    </row>
    <row r="281" spans="1:13" hidden="1" x14ac:dyDescent="0.25">
      <c r="A281" s="33"/>
      <c r="B281" s="33"/>
      <c r="C281" s="33"/>
      <c r="D281" s="35"/>
      <c r="E281" s="35"/>
      <c r="F281" s="35"/>
      <c r="G281" s="35"/>
      <c r="H281" s="11"/>
      <c r="I281" s="35"/>
      <c r="J281" s="35"/>
      <c r="K281" s="11"/>
      <c r="L281" s="35"/>
    </row>
    <row r="282" spans="1:13" hidden="1" x14ac:dyDescent="0.25">
      <c r="A282" s="33"/>
      <c r="B282" s="33"/>
      <c r="C282" s="33"/>
      <c r="D282" s="35"/>
      <c r="E282" s="35"/>
      <c r="F282" s="35"/>
      <c r="G282" s="35"/>
      <c r="H282" s="11"/>
      <c r="I282" s="35"/>
      <c r="J282" s="35"/>
      <c r="K282" s="11"/>
      <c r="L282" s="35"/>
    </row>
    <row r="283" spans="1:13" hidden="1" x14ac:dyDescent="0.25">
      <c r="A283" s="33"/>
      <c r="B283" s="33"/>
      <c r="C283" s="33"/>
      <c r="D283" s="35"/>
      <c r="E283" s="35"/>
      <c r="F283" s="35"/>
      <c r="G283" s="35"/>
      <c r="H283" s="11"/>
      <c r="I283" s="35"/>
      <c r="J283" s="35"/>
      <c r="K283" s="11"/>
      <c r="L283" s="35"/>
    </row>
    <row r="284" spans="1:13" hidden="1" x14ac:dyDescent="0.25">
      <c r="A284" s="33"/>
      <c r="B284" s="33"/>
      <c r="C284" s="33"/>
      <c r="D284" s="35"/>
      <c r="E284" s="35"/>
      <c r="F284" s="35"/>
      <c r="G284" s="35"/>
      <c r="H284" s="11"/>
      <c r="I284" s="35"/>
      <c r="J284" s="35"/>
      <c r="K284" s="11"/>
      <c r="L284" s="35"/>
    </row>
    <row r="285" spans="1:13" hidden="1" x14ac:dyDescent="0.25">
      <c r="A285" s="33"/>
      <c r="B285" s="33"/>
      <c r="C285" s="33"/>
      <c r="D285" s="35"/>
      <c r="E285" s="35"/>
      <c r="F285" s="35"/>
      <c r="G285" s="35"/>
      <c r="H285" s="11"/>
      <c r="I285" s="35"/>
      <c r="J285" s="35"/>
      <c r="K285" s="11"/>
      <c r="L285" s="35"/>
    </row>
    <row r="286" spans="1:13" hidden="1" x14ac:dyDescent="0.25">
      <c r="A286" s="33"/>
      <c r="B286" s="33"/>
      <c r="C286" s="33"/>
      <c r="D286" s="35"/>
      <c r="E286" s="35"/>
      <c r="F286" s="35"/>
      <c r="G286" s="35"/>
      <c r="H286" s="11"/>
      <c r="I286" s="35"/>
      <c r="J286" s="35"/>
      <c r="K286" s="11"/>
      <c r="L286" s="35"/>
    </row>
    <row r="287" spans="1:13" hidden="1" x14ac:dyDescent="0.25">
      <c r="A287" s="33"/>
      <c r="B287" s="33"/>
      <c r="C287" s="33"/>
      <c r="D287" s="35"/>
      <c r="E287" s="35"/>
      <c r="F287" s="35"/>
      <c r="G287" s="35"/>
      <c r="H287" s="11"/>
      <c r="I287" s="35"/>
      <c r="J287" s="35"/>
      <c r="K287" s="11"/>
      <c r="L287" s="35"/>
    </row>
    <row r="288" spans="1:13" hidden="1" x14ac:dyDescent="0.25">
      <c r="A288" s="33"/>
      <c r="B288" s="33"/>
      <c r="C288" s="33"/>
      <c r="D288" s="35"/>
      <c r="E288" s="35"/>
      <c r="F288" s="35"/>
      <c r="G288" s="35"/>
      <c r="H288" s="11"/>
      <c r="I288" s="35"/>
      <c r="J288" s="35"/>
      <c r="K288" s="11"/>
      <c r="L288" s="35"/>
    </row>
    <row r="289" spans="1:12" hidden="1" x14ac:dyDescent="0.25">
      <c r="A289" s="33"/>
      <c r="B289" s="33"/>
      <c r="C289" s="33"/>
      <c r="D289" s="35"/>
      <c r="E289" s="35"/>
      <c r="F289" s="35"/>
      <c r="G289" s="35"/>
      <c r="H289" s="11"/>
      <c r="I289" s="35"/>
      <c r="J289" s="35"/>
      <c r="K289" s="11"/>
      <c r="L289" s="35"/>
    </row>
    <row r="290" spans="1:12" hidden="1" x14ac:dyDescent="0.25">
      <c r="A290" s="33"/>
      <c r="B290" s="33"/>
      <c r="C290" s="33"/>
      <c r="D290" s="35"/>
      <c r="E290" s="35"/>
      <c r="F290" s="35"/>
      <c r="G290" s="35"/>
      <c r="H290" s="11"/>
      <c r="I290" s="35"/>
      <c r="J290" s="35"/>
      <c r="K290" s="11"/>
      <c r="L290" s="35"/>
    </row>
    <row r="291" spans="1:12" hidden="1" x14ac:dyDescent="0.25">
      <c r="A291" s="33"/>
      <c r="B291" s="33"/>
      <c r="C291" s="33"/>
      <c r="D291" s="35"/>
      <c r="E291" s="35"/>
      <c r="F291" s="35"/>
      <c r="G291" s="35"/>
      <c r="H291" s="11"/>
      <c r="I291" s="35"/>
      <c r="J291" s="35"/>
      <c r="K291" s="11"/>
      <c r="L291" s="35"/>
    </row>
    <row r="292" spans="1:12" hidden="1" x14ac:dyDescent="0.25">
      <c r="A292" s="33"/>
      <c r="B292" s="33"/>
      <c r="C292" s="33"/>
      <c r="D292" s="35"/>
      <c r="E292" s="35"/>
      <c r="F292" s="35"/>
      <c r="G292" s="35"/>
      <c r="H292" s="11"/>
      <c r="I292" s="35"/>
      <c r="J292" s="35"/>
      <c r="K292" s="11"/>
      <c r="L292" s="35"/>
    </row>
    <row r="293" spans="1:12" hidden="1" x14ac:dyDescent="0.25">
      <c r="A293" s="33"/>
      <c r="B293" s="33"/>
      <c r="C293" s="33"/>
      <c r="D293" s="35"/>
      <c r="E293" s="35"/>
      <c r="F293" s="35"/>
      <c r="G293" s="35"/>
      <c r="H293" s="11"/>
      <c r="I293" s="35"/>
      <c r="J293" s="35"/>
      <c r="K293" s="11"/>
      <c r="L293" s="35"/>
    </row>
    <row r="294" spans="1:12" hidden="1" x14ac:dyDescent="0.25">
      <c r="A294" s="33"/>
      <c r="B294" s="33"/>
      <c r="C294" s="33"/>
      <c r="D294" s="35"/>
      <c r="E294" s="35"/>
      <c r="F294" s="35"/>
      <c r="G294" s="35"/>
      <c r="H294" s="11"/>
      <c r="I294" s="35"/>
      <c r="J294" s="35"/>
      <c r="K294" s="11"/>
      <c r="L294" s="35"/>
    </row>
    <row r="295" spans="1:12" hidden="1" x14ac:dyDescent="0.25">
      <c r="A295" s="33"/>
      <c r="B295" s="33"/>
      <c r="C295" s="33"/>
      <c r="D295" s="35"/>
      <c r="E295" s="35"/>
      <c r="F295" s="35"/>
      <c r="G295" s="35"/>
      <c r="H295" s="11"/>
      <c r="I295" s="35"/>
      <c r="J295" s="35"/>
      <c r="K295" s="11"/>
      <c r="L295" s="35"/>
    </row>
    <row r="296" spans="1:12" hidden="1" x14ac:dyDescent="0.25">
      <c r="A296" s="33"/>
      <c r="B296" s="33"/>
      <c r="C296" s="33"/>
      <c r="D296" s="35"/>
      <c r="E296" s="35"/>
      <c r="F296" s="35"/>
      <c r="G296" s="35"/>
      <c r="H296" s="11"/>
      <c r="I296" s="35"/>
      <c r="J296" s="35"/>
      <c r="K296" s="11"/>
      <c r="L296" s="35"/>
    </row>
    <row r="297" spans="1:12" hidden="1" x14ac:dyDescent="0.25">
      <c r="A297" s="33"/>
      <c r="B297" s="33"/>
      <c r="C297" s="33"/>
      <c r="D297" s="35"/>
      <c r="E297" s="35"/>
      <c r="F297" s="35"/>
      <c r="G297" s="35"/>
      <c r="H297" s="11"/>
      <c r="I297" s="35"/>
      <c r="J297" s="35"/>
      <c r="K297" s="11"/>
      <c r="L297" s="35"/>
    </row>
    <row r="298" spans="1:12" hidden="1" x14ac:dyDescent="0.25">
      <c r="A298" s="33"/>
      <c r="B298" s="33"/>
      <c r="C298" s="33"/>
      <c r="D298" s="35"/>
      <c r="E298" s="35"/>
      <c r="F298" s="35"/>
      <c r="G298" s="35"/>
      <c r="H298" s="11"/>
      <c r="I298" s="35"/>
      <c r="J298" s="35"/>
      <c r="K298" s="11"/>
      <c r="L298" s="35"/>
    </row>
    <row r="299" spans="1:12" hidden="1" x14ac:dyDescent="0.25">
      <c r="A299" s="33"/>
      <c r="B299" s="33"/>
      <c r="C299" s="33"/>
      <c r="D299" s="35"/>
      <c r="E299" s="35"/>
      <c r="F299" s="35"/>
      <c r="G299" s="35"/>
      <c r="H299" s="11"/>
      <c r="I299" s="35"/>
      <c r="J299" s="35"/>
      <c r="K299" s="11"/>
      <c r="L299" s="35"/>
    </row>
    <row r="300" spans="1:12" hidden="1" x14ac:dyDescent="0.25">
      <c r="A300" s="33"/>
      <c r="B300" s="33"/>
      <c r="C300" s="33"/>
      <c r="D300" s="35"/>
      <c r="E300" s="35"/>
      <c r="F300" s="35"/>
      <c r="G300" s="35"/>
      <c r="H300" s="11"/>
      <c r="I300" s="35"/>
      <c r="J300" s="35"/>
      <c r="K300" s="11"/>
      <c r="L300" s="35"/>
    </row>
    <row r="301" spans="1:12" hidden="1" x14ac:dyDescent="0.25">
      <c r="A301" s="33"/>
      <c r="B301" s="33"/>
      <c r="C301" s="33"/>
      <c r="D301" s="35"/>
      <c r="E301" s="35"/>
      <c r="F301" s="35"/>
      <c r="G301" s="35"/>
      <c r="H301" s="11"/>
      <c r="I301" s="35"/>
      <c r="J301" s="35"/>
      <c r="K301" s="11"/>
      <c r="L301" s="35"/>
    </row>
    <row r="302" spans="1:12" hidden="1" x14ac:dyDescent="0.25">
      <c r="A302" s="33"/>
      <c r="B302" s="33"/>
      <c r="C302" s="33"/>
      <c r="D302" s="35"/>
      <c r="E302" s="35"/>
      <c r="F302" s="35"/>
      <c r="G302" s="35"/>
      <c r="H302" s="11"/>
      <c r="I302" s="35"/>
      <c r="J302" s="35"/>
      <c r="K302" s="11"/>
      <c r="L302" s="35"/>
    </row>
    <row r="303" spans="1:12" hidden="1" x14ac:dyDescent="0.25">
      <c r="A303" s="33"/>
      <c r="B303" s="33"/>
      <c r="C303" s="33"/>
      <c r="D303" s="35"/>
      <c r="E303" s="35"/>
      <c r="F303" s="35"/>
      <c r="G303" s="35"/>
      <c r="H303" s="11"/>
      <c r="I303" s="35"/>
      <c r="J303" s="35"/>
      <c r="K303" s="11"/>
      <c r="L303" s="35"/>
    </row>
    <row r="304" spans="1:12" hidden="1" x14ac:dyDescent="0.25">
      <c r="A304" s="33"/>
      <c r="B304" s="33"/>
      <c r="C304" s="33"/>
      <c r="D304" s="35"/>
      <c r="E304" s="35"/>
      <c r="F304" s="35"/>
      <c r="G304" s="35"/>
      <c r="H304" s="11"/>
      <c r="I304" s="35"/>
      <c r="J304" s="35"/>
      <c r="K304" s="11"/>
      <c r="L304" s="35"/>
    </row>
    <row r="305" spans="1:12" hidden="1" x14ac:dyDescent="0.25">
      <c r="A305" s="33"/>
      <c r="B305" s="33"/>
      <c r="C305" s="33"/>
      <c r="D305" s="35"/>
      <c r="E305" s="35"/>
      <c r="F305" s="35"/>
      <c r="G305" s="35"/>
      <c r="H305" s="11"/>
      <c r="I305" s="35"/>
      <c r="J305" s="35"/>
      <c r="K305" s="11"/>
      <c r="L305" s="35"/>
    </row>
    <row r="306" spans="1:12" hidden="1" x14ac:dyDescent="0.25">
      <c r="A306" s="33"/>
      <c r="B306" s="33"/>
      <c r="C306" s="33"/>
      <c r="D306" s="35"/>
      <c r="E306" s="35"/>
      <c r="F306" s="35"/>
      <c r="G306" s="35"/>
      <c r="H306" s="11"/>
      <c r="I306" s="35"/>
      <c r="J306" s="35"/>
      <c r="K306" s="11"/>
      <c r="L306" s="35"/>
    </row>
    <row r="307" spans="1:12" hidden="1" x14ac:dyDescent="0.25">
      <c r="A307" s="33"/>
      <c r="B307" s="33"/>
      <c r="C307" s="33"/>
      <c r="D307" s="35"/>
      <c r="E307" s="35"/>
      <c r="F307" s="35"/>
      <c r="G307" s="35"/>
      <c r="H307" s="11"/>
      <c r="I307" s="35"/>
      <c r="J307" s="35"/>
      <c r="K307" s="11"/>
      <c r="L307" s="35"/>
    </row>
    <row r="308" spans="1:12" hidden="1" x14ac:dyDescent="0.25">
      <c r="A308" s="33"/>
      <c r="B308" s="33"/>
      <c r="C308" s="33"/>
      <c r="D308" s="35"/>
      <c r="E308" s="35"/>
      <c r="F308" s="35"/>
      <c r="G308" s="35"/>
      <c r="H308" s="11"/>
      <c r="I308" s="35"/>
      <c r="J308" s="35"/>
      <c r="K308" s="11"/>
      <c r="L308" s="35"/>
    </row>
    <row r="309" spans="1:12" hidden="1" x14ac:dyDescent="0.25">
      <c r="A309" s="33"/>
      <c r="B309" s="33"/>
      <c r="C309" s="33"/>
      <c r="D309" s="35"/>
      <c r="E309" s="35"/>
      <c r="F309" s="35"/>
      <c r="G309" s="35"/>
      <c r="H309" s="11"/>
      <c r="I309" s="35"/>
      <c r="J309" s="35"/>
      <c r="K309" s="11"/>
      <c r="L309" s="35"/>
    </row>
    <row r="310" spans="1:12" hidden="1" x14ac:dyDescent="0.25">
      <c r="A310" s="33"/>
      <c r="B310" s="33"/>
      <c r="C310" s="33"/>
      <c r="D310" s="35"/>
      <c r="E310" s="35"/>
      <c r="F310" s="35"/>
      <c r="G310" s="35"/>
      <c r="H310" s="11"/>
      <c r="I310" s="35"/>
      <c r="J310" s="35"/>
      <c r="K310" s="11"/>
      <c r="L310" s="35"/>
    </row>
    <row r="311" spans="1:12" hidden="1" x14ac:dyDescent="0.25">
      <c r="A311" s="33"/>
      <c r="B311" s="33"/>
      <c r="C311" s="33"/>
      <c r="D311" s="35"/>
      <c r="E311" s="35"/>
      <c r="F311" s="35"/>
      <c r="G311" s="35"/>
      <c r="H311" s="11"/>
      <c r="I311" s="35"/>
      <c r="J311" s="35"/>
      <c r="K311" s="11"/>
      <c r="L311" s="35"/>
    </row>
    <row r="312" spans="1:12" hidden="1" x14ac:dyDescent="0.25">
      <c r="A312" s="33"/>
      <c r="B312" s="33"/>
      <c r="C312" s="33"/>
      <c r="D312" s="35"/>
      <c r="E312" s="35"/>
      <c r="F312" s="35"/>
      <c r="G312" s="35"/>
      <c r="H312" s="11"/>
      <c r="I312" s="35"/>
      <c r="J312" s="35"/>
      <c r="K312" s="11"/>
      <c r="L312" s="35"/>
    </row>
    <row r="313" spans="1:12" hidden="1" x14ac:dyDescent="0.25">
      <c r="A313" s="33"/>
      <c r="B313" s="33"/>
      <c r="C313" s="33"/>
      <c r="D313" s="35"/>
      <c r="E313" s="35"/>
      <c r="F313" s="35"/>
      <c r="G313" s="35"/>
      <c r="H313" s="11"/>
      <c r="I313" s="35"/>
      <c r="J313" s="35"/>
      <c r="K313" s="11"/>
      <c r="L313" s="35"/>
    </row>
    <row r="314" spans="1:12" hidden="1" x14ac:dyDescent="0.25">
      <c r="A314" s="33"/>
      <c r="B314" s="33"/>
      <c r="C314" s="33"/>
      <c r="D314" s="35"/>
      <c r="E314" s="35"/>
      <c r="F314" s="35"/>
      <c r="G314" s="35"/>
      <c r="H314" s="11"/>
      <c r="I314" s="35"/>
      <c r="J314" s="35"/>
      <c r="K314" s="11"/>
      <c r="L314" s="35"/>
    </row>
    <row r="315" spans="1:12" hidden="1" x14ac:dyDescent="0.25">
      <c r="A315" s="33"/>
      <c r="B315" s="33"/>
      <c r="C315" s="33"/>
      <c r="D315" s="35"/>
      <c r="E315" s="35"/>
      <c r="F315" s="35"/>
      <c r="G315" s="35"/>
      <c r="H315" s="11"/>
      <c r="I315" s="35"/>
      <c r="J315" s="35"/>
      <c r="K315" s="11"/>
      <c r="L315" s="35"/>
    </row>
    <row r="316" spans="1:12" hidden="1" x14ac:dyDescent="0.25">
      <c r="A316" s="33"/>
      <c r="B316" s="33"/>
      <c r="C316" s="33"/>
      <c r="D316" s="35"/>
      <c r="E316" s="35"/>
      <c r="F316" s="35"/>
      <c r="G316" s="35"/>
      <c r="H316" s="11"/>
      <c r="I316" s="35"/>
      <c r="J316" s="35"/>
      <c r="K316" s="11"/>
      <c r="L316" s="35"/>
    </row>
    <row r="317" spans="1:12" hidden="1" x14ac:dyDescent="0.25">
      <c r="A317" s="33"/>
      <c r="B317" s="33"/>
      <c r="C317" s="33"/>
      <c r="D317" s="35"/>
      <c r="E317" s="35"/>
      <c r="F317" s="35"/>
      <c r="G317" s="35"/>
      <c r="H317" s="11"/>
      <c r="I317" s="35"/>
      <c r="J317" s="35"/>
      <c r="K317" s="11"/>
      <c r="L317" s="35"/>
    </row>
    <row r="318" spans="1:12" hidden="1" x14ac:dyDescent="0.25">
      <c r="A318" s="33"/>
      <c r="B318" s="33"/>
      <c r="C318" s="33"/>
      <c r="D318" s="35"/>
      <c r="E318" s="35"/>
      <c r="F318" s="35"/>
      <c r="G318" s="35"/>
      <c r="H318" s="11"/>
      <c r="I318" s="35"/>
      <c r="J318" s="35"/>
      <c r="K318" s="11"/>
      <c r="L318" s="35"/>
    </row>
    <row r="319" spans="1:12" hidden="1" x14ac:dyDescent="0.25">
      <c r="A319" s="33"/>
      <c r="B319" s="33"/>
      <c r="C319" s="33"/>
      <c r="D319" s="35"/>
      <c r="E319" s="35"/>
      <c r="F319" s="35"/>
      <c r="G319" s="35"/>
      <c r="H319" s="11"/>
      <c r="I319" s="35"/>
      <c r="J319" s="35"/>
      <c r="K319" s="11"/>
      <c r="L319" s="35"/>
    </row>
    <row r="320" spans="1:12" hidden="1" x14ac:dyDescent="0.25">
      <c r="A320" s="33"/>
      <c r="B320" s="33"/>
      <c r="C320" s="33"/>
      <c r="D320" s="35"/>
      <c r="E320" s="35"/>
      <c r="F320" s="35"/>
      <c r="G320" s="35"/>
      <c r="H320" s="11"/>
      <c r="I320" s="35"/>
      <c r="J320" s="35"/>
      <c r="K320" s="11"/>
      <c r="L320" s="35"/>
    </row>
    <row r="321" spans="1:12" hidden="1" x14ac:dyDescent="0.25">
      <c r="A321" s="33"/>
      <c r="B321" s="33"/>
      <c r="C321" s="33"/>
      <c r="D321" s="35"/>
      <c r="E321" s="35"/>
      <c r="F321" s="35"/>
      <c r="G321" s="35"/>
      <c r="H321" s="11"/>
      <c r="I321" s="35"/>
      <c r="J321" s="35"/>
      <c r="K321" s="11"/>
      <c r="L321" s="35"/>
    </row>
    <row r="322" spans="1:12" hidden="1" x14ac:dyDescent="0.25">
      <c r="A322" s="33"/>
      <c r="B322" s="33"/>
      <c r="C322" s="33"/>
      <c r="D322" s="35"/>
      <c r="E322" s="35"/>
      <c r="F322" s="35"/>
      <c r="G322" s="35"/>
      <c r="H322" s="11"/>
      <c r="I322" s="35"/>
      <c r="J322" s="35"/>
      <c r="K322" s="11"/>
      <c r="L322" s="35"/>
    </row>
    <row r="323" spans="1:12" hidden="1" x14ac:dyDescent="0.25">
      <c r="A323" s="33"/>
      <c r="B323" s="33"/>
      <c r="C323" s="33"/>
      <c r="D323" s="35"/>
      <c r="E323" s="35"/>
      <c r="F323" s="35"/>
      <c r="G323" s="35"/>
      <c r="H323" s="11"/>
      <c r="I323" s="35"/>
      <c r="J323" s="35"/>
      <c r="K323" s="11"/>
      <c r="L323" s="35"/>
    </row>
    <row r="324" spans="1:12" hidden="1" x14ac:dyDescent="0.25">
      <c r="A324" s="33"/>
      <c r="B324" s="33"/>
      <c r="C324" s="33"/>
      <c r="D324" s="35"/>
      <c r="E324" s="35"/>
      <c r="F324" s="35"/>
      <c r="G324" s="35"/>
      <c r="H324" s="11"/>
      <c r="I324" s="35"/>
      <c r="J324" s="35"/>
      <c r="K324" s="11"/>
      <c r="L324" s="35"/>
    </row>
    <row r="325" spans="1:12" hidden="1" x14ac:dyDescent="0.25">
      <c r="A325" s="33"/>
      <c r="B325" s="33"/>
      <c r="C325" s="33"/>
      <c r="D325" s="35"/>
      <c r="E325" s="35"/>
      <c r="F325" s="35"/>
      <c r="G325" s="35"/>
      <c r="H325" s="11"/>
      <c r="I325" s="35"/>
      <c r="J325" s="35"/>
      <c r="K325" s="11"/>
      <c r="L325" s="35"/>
    </row>
    <row r="326" spans="1:12" hidden="1" x14ac:dyDescent="0.25">
      <c r="A326" s="33"/>
      <c r="B326" s="33"/>
      <c r="C326" s="33"/>
      <c r="D326" s="35"/>
      <c r="E326" s="35"/>
      <c r="F326" s="35"/>
      <c r="G326" s="35"/>
      <c r="H326" s="11"/>
      <c r="I326" s="35"/>
      <c r="J326" s="35"/>
      <c r="K326" s="11"/>
      <c r="L326" s="35"/>
    </row>
    <row r="327" spans="1:12" hidden="1" x14ac:dyDescent="0.25">
      <c r="A327" s="33"/>
      <c r="B327" s="33"/>
      <c r="C327" s="33"/>
      <c r="D327" s="35"/>
      <c r="E327" s="35"/>
      <c r="F327" s="35"/>
      <c r="G327" s="35"/>
      <c r="H327" s="11"/>
      <c r="I327" s="35"/>
      <c r="J327" s="35"/>
      <c r="K327" s="11"/>
      <c r="L327" s="35"/>
    </row>
    <row r="328" spans="1:12" hidden="1" x14ac:dyDescent="0.25">
      <c r="A328" s="33"/>
      <c r="B328" s="33"/>
      <c r="C328" s="33"/>
      <c r="D328" s="35"/>
      <c r="E328" s="35"/>
      <c r="F328" s="35"/>
      <c r="G328" s="35"/>
      <c r="H328" s="11"/>
      <c r="I328" s="35"/>
      <c r="J328" s="35"/>
      <c r="K328" s="11"/>
      <c r="L328" s="35"/>
    </row>
    <row r="329" spans="1:12" hidden="1" x14ac:dyDescent="0.25">
      <c r="A329" s="33"/>
      <c r="B329" s="33"/>
      <c r="C329" s="33"/>
      <c r="D329" s="35"/>
      <c r="E329" s="35"/>
      <c r="F329" s="35"/>
      <c r="G329" s="35"/>
      <c r="H329" s="11"/>
      <c r="I329" s="35"/>
      <c r="J329" s="35"/>
      <c r="K329" s="11"/>
      <c r="L329" s="35"/>
    </row>
    <row r="330" spans="1:12" hidden="1" x14ac:dyDescent="0.25">
      <c r="A330" s="33"/>
      <c r="B330" s="33"/>
      <c r="C330" s="33"/>
      <c r="D330" s="35"/>
      <c r="E330" s="35"/>
      <c r="F330" s="35"/>
      <c r="G330" s="35"/>
      <c r="H330" s="11"/>
      <c r="I330" s="35"/>
      <c r="J330" s="35"/>
      <c r="K330" s="11"/>
      <c r="L330" s="35"/>
    </row>
    <row r="331" spans="1:12" hidden="1" x14ac:dyDescent="0.25">
      <c r="A331" s="33"/>
      <c r="B331" s="33"/>
      <c r="C331" s="33"/>
      <c r="D331" s="35"/>
      <c r="E331" s="35"/>
      <c r="F331" s="35"/>
      <c r="G331" s="35"/>
      <c r="H331" s="11"/>
      <c r="I331" s="35"/>
      <c r="J331" s="35"/>
      <c r="K331" s="11"/>
      <c r="L331" s="35"/>
    </row>
    <row r="332" spans="1:12" hidden="1" x14ac:dyDescent="0.25">
      <c r="A332" s="33"/>
      <c r="B332" s="33"/>
      <c r="C332" s="33"/>
      <c r="D332" s="35"/>
      <c r="E332" s="35"/>
      <c r="F332" s="35"/>
      <c r="G332" s="35"/>
      <c r="H332" s="11"/>
      <c r="I332" s="35"/>
      <c r="J332" s="35"/>
      <c r="K332" s="11"/>
      <c r="L332" s="35"/>
    </row>
    <row r="333" spans="1:12" hidden="1" x14ac:dyDescent="0.25">
      <c r="A333" s="33"/>
      <c r="B333" s="33"/>
      <c r="C333" s="33"/>
      <c r="D333" s="35"/>
      <c r="E333" s="35"/>
      <c r="F333" s="35"/>
      <c r="G333" s="35"/>
      <c r="H333" s="11"/>
      <c r="I333" s="35"/>
      <c r="J333" s="35"/>
      <c r="K333" s="11"/>
      <c r="L333" s="35"/>
    </row>
    <row r="334" spans="1:12" hidden="1" x14ac:dyDescent="0.25">
      <c r="A334" s="33"/>
      <c r="B334" s="33"/>
      <c r="C334" s="33"/>
      <c r="D334" s="35"/>
      <c r="E334" s="35"/>
      <c r="F334" s="35"/>
      <c r="G334" s="35"/>
      <c r="H334" s="11"/>
      <c r="I334" s="35"/>
      <c r="J334" s="35"/>
      <c r="K334" s="11"/>
      <c r="L334" s="35"/>
    </row>
    <row r="335" spans="1:12" hidden="1" x14ac:dyDescent="0.25">
      <c r="A335" s="33"/>
      <c r="B335" s="33"/>
      <c r="C335" s="33"/>
      <c r="D335" s="35"/>
      <c r="E335" s="35"/>
      <c r="F335" s="35"/>
      <c r="G335" s="35"/>
      <c r="H335" s="11"/>
      <c r="I335" s="35"/>
      <c r="J335" s="35"/>
      <c r="K335" s="11"/>
      <c r="L335" s="35"/>
    </row>
    <row r="336" spans="1:12" hidden="1" x14ac:dyDescent="0.25">
      <c r="A336" s="33"/>
      <c r="B336" s="33"/>
      <c r="C336" s="33"/>
      <c r="D336" s="35"/>
      <c r="E336" s="35"/>
      <c r="F336" s="35"/>
      <c r="G336" s="35"/>
      <c r="H336" s="11"/>
      <c r="I336" s="35"/>
      <c r="J336" s="35"/>
      <c r="K336" s="11"/>
      <c r="L336" s="35"/>
    </row>
    <row r="337" spans="1:12" hidden="1" x14ac:dyDescent="0.25">
      <c r="A337" s="33"/>
      <c r="B337" s="33"/>
      <c r="C337" s="33"/>
      <c r="D337" s="35"/>
      <c r="E337" s="35"/>
      <c r="F337" s="35"/>
      <c r="G337" s="35"/>
      <c r="H337" s="11"/>
      <c r="I337" s="35"/>
      <c r="J337" s="35"/>
      <c r="K337" s="11"/>
      <c r="L337" s="35"/>
    </row>
    <row r="338" spans="1:12" hidden="1" x14ac:dyDescent="0.25">
      <c r="A338" s="33"/>
      <c r="B338" s="33"/>
      <c r="C338" s="33"/>
      <c r="D338" s="35"/>
      <c r="E338" s="35"/>
      <c r="F338" s="35"/>
      <c r="G338" s="35"/>
      <c r="H338" s="11"/>
      <c r="I338" s="35"/>
      <c r="J338" s="35"/>
      <c r="K338" s="11"/>
      <c r="L338" s="35"/>
    </row>
    <row r="339" spans="1:12" hidden="1" x14ac:dyDescent="0.25">
      <c r="A339" s="33"/>
      <c r="B339" s="33"/>
      <c r="C339" s="33"/>
      <c r="D339" s="35"/>
      <c r="E339" s="35"/>
      <c r="F339" s="35"/>
      <c r="G339" s="35"/>
      <c r="H339" s="11"/>
      <c r="I339" s="35"/>
      <c r="J339" s="35"/>
      <c r="K339" s="11"/>
      <c r="L339" s="35"/>
    </row>
    <row r="340" spans="1:12" hidden="1" x14ac:dyDescent="0.25">
      <c r="A340" s="33"/>
      <c r="B340" s="33"/>
      <c r="C340" s="33"/>
      <c r="D340" s="35"/>
      <c r="E340" s="35"/>
      <c r="F340" s="35"/>
      <c r="G340" s="35"/>
      <c r="H340" s="11"/>
      <c r="I340" s="35"/>
      <c r="J340" s="35"/>
      <c r="K340" s="11"/>
      <c r="L340" s="35"/>
    </row>
    <row r="341" spans="1:12" hidden="1" x14ac:dyDescent="0.25">
      <c r="A341" s="33"/>
      <c r="B341" s="33"/>
      <c r="C341" s="33"/>
      <c r="D341" s="35"/>
      <c r="E341" s="35"/>
      <c r="F341" s="35"/>
      <c r="G341" s="35"/>
      <c r="H341" s="11"/>
      <c r="I341" s="35"/>
      <c r="J341" s="35"/>
      <c r="K341" s="11"/>
      <c r="L341" s="35"/>
    </row>
    <row r="342" spans="1:12" hidden="1" x14ac:dyDescent="0.25">
      <c r="A342" s="33"/>
      <c r="B342" s="33"/>
      <c r="C342" s="33"/>
      <c r="D342" s="35"/>
      <c r="E342" s="35"/>
      <c r="F342" s="35"/>
      <c r="G342" s="35"/>
      <c r="H342" s="11"/>
      <c r="I342" s="35"/>
      <c r="J342" s="35"/>
      <c r="K342" s="11"/>
      <c r="L342" s="35"/>
    </row>
    <row r="343" spans="1:12" hidden="1" x14ac:dyDescent="0.25">
      <c r="A343" s="33"/>
      <c r="B343" s="33"/>
      <c r="C343" s="33"/>
      <c r="D343" s="35"/>
      <c r="E343" s="35"/>
      <c r="F343" s="35"/>
      <c r="G343" s="35"/>
      <c r="H343" s="11"/>
      <c r="I343" s="35"/>
      <c r="J343" s="35"/>
      <c r="K343" s="11"/>
      <c r="L343" s="35"/>
    </row>
    <row r="344" spans="1:12" hidden="1" x14ac:dyDescent="0.25">
      <c r="A344" s="33"/>
      <c r="B344" s="33"/>
      <c r="C344" s="33"/>
      <c r="D344" s="35"/>
      <c r="E344" s="35"/>
      <c r="F344" s="35"/>
      <c r="G344" s="35"/>
      <c r="H344" s="11"/>
      <c r="I344" s="35"/>
      <c r="J344" s="35"/>
      <c r="K344" s="11"/>
      <c r="L344" s="35"/>
    </row>
    <row r="345" spans="1:12" hidden="1" x14ac:dyDescent="0.25">
      <c r="A345" s="33"/>
      <c r="B345" s="33"/>
      <c r="C345" s="33"/>
      <c r="D345" s="35"/>
      <c r="E345" s="35"/>
      <c r="F345" s="35"/>
      <c r="G345" s="35"/>
      <c r="H345" s="11"/>
      <c r="I345" s="35"/>
      <c r="J345" s="35"/>
      <c r="K345" s="11"/>
      <c r="L345" s="35"/>
    </row>
    <row r="346" spans="1:12" hidden="1" x14ac:dyDescent="0.25">
      <c r="A346" s="33"/>
      <c r="B346" s="33"/>
      <c r="C346" s="33"/>
      <c r="D346" s="35"/>
      <c r="E346" s="35"/>
      <c r="F346" s="35"/>
      <c r="G346" s="35"/>
      <c r="H346" s="11"/>
      <c r="I346" s="35"/>
      <c r="J346" s="35"/>
      <c r="K346" s="11"/>
      <c r="L346" s="35"/>
    </row>
    <row r="347" spans="1:12" hidden="1" x14ac:dyDescent="0.25">
      <c r="A347" s="33"/>
      <c r="B347" s="33"/>
      <c r="C347" s="33"/>
      <c r="D347" s="35"/>
      <c r="E347" s="35"/>
      <c r="F347" s="35"/>
      <c r="G347" s="35"/>
      <c r="H347" s="11"/>
      <c r="I347" s="35"/>
      <c r="J347" s="35"/>
      <c r="K347" s="11"/>
      <c r="L347" s="35"/>
    </row>
    <row r="348" spans="1:12" hidden="1" x14ac:dyDescent="0.25">
      <c r="A348" s="33"/>
      <c r="B348" s="33"/>
      <c r="C348" s="33"/>
      <c r="D348" s="35"/>
      <c r="E348" s="35"/>
      <c r="F348" s="35"/>
      <c r="G348" s="35"/>
      <c r="H348" s="11"/>
      <c r="I348" s="35"/>
      <c r="J348" s="35"/>
      <c r="K348" s="11"/>
      <c r="L348" s="35"/>
    </row>
    <row r="349" spans="1:12" hidden="1" x14ac:dyDescent="0.25">
      <c r="A349" s="33"/>
      <c r="B349" s="33"/>
      <c r="C349" s="33"/>
      <c r="D349" s="35"/>
      <c r="E349" s="35"/>
      <c r="F349" s="35"/>
      <c r="G349" s="35"/>
      <c r="H349" s="11"/>
      <c r="I349" s="35"/>
      <c r="J349" s="35"/>
      <c r="K349" s="11"/>
      <c r="L349" s="35"/>
    </row>
    <row r="350" spans="1:12" hidden="1" x14ac:dyDescent="0.25">
      <c r="A350" s="33"/>
      <c r="B350" s="33"/>
      <c r="C350" s="33"/>
      <c r="D350" s="35"/>
      <c r="E350" s="35"/>
      <c r="F350" s="35"/>
      <c r="G350" s="35"/>
      <c r="H350" s="11"/>
      <c r="I350" s="35"/>
      <c r="J350" s="35"/>
      <c r="K350" s="11"/>
      <c r="L350" s="35"/>
    </row>
    <row r="351" spans="1:12" hidden="1" x14ac:dyDescent="0.25">
      <c r="A351" s="33"/>
      <c r="B351" s="33"/>
      <c r="C351" s="33"/>
      <c r="D351" s="35"/>
      <c r="E351" s="35"/>
      <c r="F351" s="35"/>
      <c r="G351" s="35"/>
      <c r="H351" s="11"/>
      <c r="I351" s="35"/>
      <c r="J351" s="35"/>
      <c r="K351" s="11"/>
      <c r="L351" s="35"/>
    </row>
    <row r="352" spans="1:12" hidden="1" x14ac:dyDescent="0.25">
      <c r="A352" s="33"/>
      <c r="B352" s="33"/>
      <c r="C352" s="33"/>
      <c r="D352" s="35"/>
      <c r="E352" s="35"/>
      <c r="F352" s="35"/>
      <c r="G352" s="35"/>
      <c r="H352" s="11"/>
      <c r="I352" s="35"/>
      <c r="J352" s="35"/>
      <c r="K352" s="11"/>
      <c r="L352" s="35"/>
    </row>
    <row r="353" spans="1:12" hidden="1" x14ac:dyDescent="0.25">
      <c r="A353" s="33"/>
      <c r="B353" s="33"/>
      <c r="C353" s="33"/>
      <c r="D353" s="35"/>
      <c r="E353" s="35"/>
      <c r="F353" s="35"/>
      <c r="G353" s="35"/>
      <c r="H353" s="11"/>
      <c r="I353" s="35"/>
      <c r="J353" s="35"/>
      <c r="K353" s="11"/>
      <c r="L353" s="35"/>
    </row>
    <row r="354" spans="1:12" hidden="1" x14ac:dyDescent="0.25">
      <c r="A354" s="33"/>
      <c r="B354" s="33"/>
      <c r="C354" s="33"/>
      <c r="D354" s="35"/>
      <c r="E354" s="35"/>
      <c r="F354" s="35"/>
      <c r="G354" s="35"/>
      <c r="H354" s="11"/>
      <c r="I354" s="35"/>
      <c r="J354" s="35"/>
      <c r="K354" s="11"/>
      <c r="L354" s="35"/>
    </row>
    <row r="355" spans="1:12" hidden="1" x14ac:dyDescent="0.25">
      <c r="A355" s="33"/>
      <c r="B355" s="33"/>
      <c r="C355" s="33"/>
      <c r="D355" s="35"/>
      <c r="E355" s="35"/>
      <c r="F355" s="35"/>
      <c r="G355" s="35"/>
      <c r="H355" s="11"/>
      <c r="I355" s="35"/>
      <c r="J355" s="35"/>
      <c r="K355" s="11"/>
      <c r="L355" s="35"/>
    </row>
    <row r="356" spans="1:12" hidden="1" x14ac:dyDescent="0.25">
      <c r="A356" s="33"/>
      <c r="B356" s="33"/>
      <c r="C356" s="33"/>
      <c r="D356" s="35"/>
      <c r="E356" s="35"/>
      <c r="F356" s="35"/>
      <c r="G356" s="35"/>
      <c r="H356" s="11"/>
      <c r="I356" s="35"/>
      <c r="J356" s="35"/>
      <c r="K356" s="11"/>
      <c r="L356" s="35"/>
    </row>
    <row r="357" spans="1:12" hidden="1" x14ac:dyDescent="0.25">
      <c r="A357" s="33"/>
      <c r="B357" s="33"/>
      <c r="C357" s="33"/>
      <c r="D357" s="35"/>
      <c r="E357" s="35"/>
      <c r="F357" s="35"/>
      <c r="G357" s="35"/>
      <c r="H357" s="11"/>
      <c r="I357" s="35"/>
      <c r="J357" s="35"/>
      <c r="K357" s="11"/>
      <c r="L357" s="35"/>
    </row>
    <row r="358" spans="1:12" hidden="1" x14ac:dyDescent="0.25">
      <c r="D358" s="11"/>
      <c r="E358" s="11"/>
      <c r="F358" s="11"/>
      <c r="G358" s="11"/>
      <c r="H358" s="11"/>
      <c r="I358" s="11"/>
      <c r="J358" s="11"/>
      <c r="K358" s="11"/>
      <c r="L358" s="11"/>
    </row>
    <row r="359" spans="1:12" hidden="1" x14ac:dyDescent="0.25">
      <c r="D359" s="11"/>
      <c r="E359" s="11"/>
      <c r="F359" s="11"/>
      <c r="G359" s="11"/>
      <c r="H359" s="11"/>
      <c r="I359" s="11"/>
      <c r="J359" s="11"/>
      <c r="K359" s="11"/>
      <c r="L359" s="11"/>
    </row>
    <row r="360" spans="1:12" hidden="1" x14ac:dyDescent="0.25">
      <c r="D360" s="11"/>
      <c r="E360" s="11"/>
      <c r="F360" s="11"/>
      <c r="G360" s="11"/>
      <c r="H360" s="11"/>
      <c r="I360" s="11"/>
      <c r="J360" s="11"/>
      <c r="K360" s="11"/>
      <c r="L360" s="11"/>
    </row>
    <row r="361" spans="1:12" hidden="1" x14ac:dyDescent="0.25">
      <c r="D361" s="11"/>
      <c r="E361" s="11"/>
      <c r="F361" s="11"/>
      <c r="G361" s="11"/>
      <c r="H361" s="11"/>
      <c r="I361" s="11"/>
      <c r="J361" s="11"/>
      <c r="K361" s="11"/>
      <c r="L361" s="11"/>
    </row>
    <row r="362" spans="1:12" hidden="1" x14ac:dyDescent="0.25">
      <c r="D362" s="11"/>
      <c r="E362" s="11"/>
      <c r="F362" s="11"/>
      <c r="G362" s="11"/>
      <c r="H362" s="11"/>
      <c r="I362" s="11"/>
      <c r="J362" s="11"/>
      <c r="K362" s="11"/>
      <c r="L362" s="11"/>
    </row>
    <row r="363" spans="1:12" hidden="1" x14ac:dyDescent="0.25">
      <c r="D363" s="11"/>
      <c r="E363" s="11"/>
      <c r="F363" s="11"/>
      <c r="G363" s="11"/>
      <c r="H363" s="11"/>
      <c r="I363" s="11"/>
      <c r="J363" s="11"/>
      <c r="K363" s="11"/>
      <c r="L363" s="11"/>
    </row>
    <row r="364" spans="1:12" hidden="1" x14ac:dyDescent="0.25">
      <c r="D364" s="11"/>
      <c r="E364" s="11"/>
      <c r="F364" s="11"/>
      <c r="G364" s="11"/>
      <c r="H364" s="11"/>
      <c r="I364" s="11"/>
      <c r="J364" s="11"/>
      <c r="K364" s="11"/>
      <c r="L364" s="11"/>
    </row>
    <row r="365" spans="1:12" hidden="1" x14ac:dyDescent="0.25">
      <c r="D365" s="11"/>
      <c r="E365" s="11"/>
      <c r="F365" s="11"/>
      <c r="G365" s="11"/>
      <c r="H365" s="11"/>
      <c r="I365" s="11"/>
      <c r="J365" s="11"/>
      <c r="K365" s="11"/>
      <c r="L365" s="11"/>
    </row>
    <row r="366" spans="1:12" hidden="1" x14ac:dyDescent="0.25">
      <c r="D366" s="11"/>
      <c r="E366" s="11"/>
      <c r="F366" s="11"/>
      <c r="G366" s="11"/>
      <c r="H366" s="11"/>
      <c r="I366" s="11"/>
      <c r="J366" s="11"/>
      <c r="K366" s="11"/>
      <c r="L366" s="11"/>
    </row>
    <row r="367" spans="1:12" hidden="1" x14ac:dyDescent="0.25">
      <c r="D367" s="11"/>
      <c r="E367" s="11"/>
      <c r="F367" s="11"/>
      <c r="G367" s="11"/>
      <c r="H367" s="11"/>
      <c r="I367" s="11"/>
      <c r="J367" s="11"/>
      <c r="K367" s="11"/>
      <c r="L367" s="11"/>
    </row>
    <row r="368" spans="1:12" hidden="1" x14ac:dyDescent="0.25">
      <c r="D368" s="11"/>
      <c r="E368" s="11"/>
      <c r="F368" s="11"/>
      <c r="G368" s="11"/>
      <c r="H368" s="11"/>
      <c r="I368" s="11"/>
      <c r="J368" s="11"/>
      <c r="K368" s="11"/>
      <c r="L368" s="11"/>
    </row>
    <row r="369" spans="4:12" hidden="1" x14ac:dyDescent="0.25">
      <c r="D369" s="11"/>
      <c r="E369" s="11"/>
      <c r="F369" s="11"/>
      <c r="G369" s="11"/>
      <c r="H369" s="11"/>
      <c r="I369" s="11"/>
      <c r="J369" s="11"/>
      <c r="K369" s="11"/>
      <c r="L369" s="11"/>
    </row>
    <row r="370" spans="4:12" hidden="1" x14ac:dyDescent="0.25">
      <c r="D370" s="11"/>
      <c r="E370" s="11"/>
      <c r="F370" s="11"/>
      <c r="G370" s="11"/>
      <c r="H370" s="11"/>
      <c r="I370" s="11"/>
      <c r="J370" s="11"/>
      <c r="K370" s="11"/>
      <c r="L370" s="11"/>
    </row>
    <row r="371" spans="4:12" hidden="1" x14ac:dyDescent="0.25">
      <c r="D371" s="11"/>
      <c r="E371" s="11"/>
      <c r="F371" s="11"/>
      <c r="G371" s="11"/>
      <c r="H371" s="11"/>
      <c r="I371" s="11"/>
      <c r="J371" s="11"/>
      <c r="K371" s="11"/>
      <c r="L371" s="11"/>
    </row>
    <row r="372" spans="4:12" hidden="1" x14ac:dyDescent="0.25">
      <c r="D372" s="11"/>
      <c r="E372" s="11"/>
      <c r="F372" s="11"/>
      <c r="G372" s="11"/>
      <c r="H372" s="11"/>
      <c r="I372" s="11"/>
      <c r="J372" s="11"/>
      <c r="K372" s="11"/>
      <c r="L372" s="11"/>
    </row>
    <row r="373" spans="4:12" hidden="1" x14ac:dyDescent="0.25">
      <c r="D373" s="11"/>
      <c r="E373" s="11"/>
      <c r="F373" s="11"/>
      <c r="G373" s="11"/>
      <c r="H373" s="11"/>
      <c r="I373" s="11"/>
      <c r="J373" s="11"/>
      <c r="K373" s="11"/>
      <c r="L373" s="11"/>
    </row>
    <row r="374" spans="4:12" hidden="1" x14ac:dyDescent="0.25">
      <c r="D374" s="11"/>
      <c r="E374" s="11"/>
      <c r="F374" s="11"/>
      <c r="G374" s="11"/>
      <c r="H374" s="11"/>
      <c r="I374" s="11"/>
      <c r="J374" s="11"/>
      <c r="K374" s="11"/>
      <c r="L374" s="11"/>
    </row>
    <row r="375" spans="4:12" hidden="1" x14ac:dyDescent="0.25">
      <c r="D375" s="11"/>
      <c r="E375" s="11"/>
      <c r="F375" s="11"/>
      <c r="G375" s="11"/>
      <c r="H375" s="11"/>
      <c r="I375" s="11"/>
      <c r="J375" s="11"/>
      <c r="K375" s="11"/>
      <c r="L375" s="11"/>
    </row>
    <row r="376" spans="4:12" hidden="1" x14ac:dyDescent="0.25">
      <c r="D376" s="11"/>
      <c r="E376" s="11"/>
      <c r="F376" s="11"/>
      <c r="G376" s="11"/>
      <c r="H376" s="11"/>
      <c r="I376" s="11"/>
      <c r="J376" s="11"/>
      <c r="K376" s="11"/>
      <c r="L376" s="11"/>
    </row>
    <row r="377" spans="4:12" hidden="1" x14ac:dyDescent="0.25">
      <c r="D377" s="11"/>
      <c r="E377" s="11"/>
      <c r="F377" s="11"/>
      <c r="G377" s="11"/>
      <c r="H377" s="11"/>
      <c r="I377" s="11"/>
      <c r="J377" s="11"/>
      <c r="K377" s="11"/>
      <c r="L377" s="11"/>
    </row>
    <row r="378" spans="4:12" hidden="1" x14ac:dyDescent="0.25">
      <c r="D378" s="11"/>
      <c r="E378" s="11"/>
      <c r="F378" s="11"/>
      <c r="G378" s="11"/>
      <c r="H378" s="11"/>
      <c r="I378" s="11"/>
      <c r="J378" s="11"/>
      <c r="K378" s="11"/>
      <c r="L378" s="11"/>
    </row>
    <row r="379" spans="4:12" hidden="1" x14ac:dyDescent="0.25">
      <c r="D379" s="11"/>
      <c r="E379" s="11"/>
      <c r="F379" s="11"/>
      <c r="G379" s="11"/>
      <c r="H379" s="11"/>
      <c r="I379" s="11"/>
      <c r="J379" s="11"/>
      <c r="K379" s="11"/>
      <c r="L379" s="11"/>
    </row>
    <row r="380" spans="4:12" hidden="1" x14ac:dyDescent="0.25">
      <c r="D380" s="11"/>
      <c r="E380" s="11"/>
      <c r="F380" s="11"/>
      <c r="G380" s="11"/>
      <c r="H380" s="11"/>
      <c r="I380" s="11"/>
      <c r="J380" s="11"/>
      <c r="K380" s="11"/>
      <c r="L380" s="11"/>
    </row>
    <row r="381" spans="4:12" hidden="1" x14ac:dyDescent="0.25">
      <c r="D381" s="11"/>
      <c r="E381" s="11"/>
      <c r="F381" s="11"/>
      <c r="G381" s="11"/>
      <c r="H381" s="11"/>
      <c r="I381" s="11"/>
      <c r="J381" s="11"/>
      <c r="K381" s="11"/>
      <c r="L381" s="11"/>
    </row>
    <row r="382" spans="4:12" hidden="1" x14ac:dyDescent="0.25">
      <c r="D382" s="11"/>
      <c r="E382" s="11"/>
      <c r="F382" s="11"/>
      <c r="G382" s="11"/>
      <c r="H382" s="11"/>
      <c r="I382" s="11"/>
      <c r="J382" s="11"/>
      <c r="K382" s="11"/>
      <c r="L382" s="11"/>
    </row>
    <row r="383" spans="4:12" hidden="1" x14ac:dyDescent="0.25">
      <c r="D383" s="11"/>
      <c r="E383" s="11"/>
      <c r="F383" s="11"/>
      <c r="G383" s="11"/>
      <c r="H383" s="11"/>
      <c r="I383" s="11"/>
      <c r="J383" s="11"/>
      <c r="K383" s="11"/>
      <c r="L383" s="11"/>
    </row>
    <row r="384" spans="4:12" hidden="1" x14ac:dyDescent="0.25">
      <c r="D384" s="11"/>
      <c r="E384" s="11"/>
      <c r="F384" s="11"/>
      <c r="G384" s="11"/>
      <c r="H384" s="11"/>
      <c r="I384" s="11"/>
      <c r="J384" s="11"/>
      <c r="K384" s="11"/>
      <c r="L384" s="11"/>
    </row>
    <row r="385" spans="4:12" hidden="1" x14ac:dyDescent="0.25">
      <c r="D385" s="11"/>
      <c r="E385" s="11"/>
      <c r="F385" s="11"/>
      <c r="G385" s="11"/>
      <c r="H385" s="11"/>
      <c r="I385" s="11"/>
      <c r="J385" s="11"/>
      <c r="K385" s="11"/>
      <c r="L385" s="11"/>
    </row>
    <row r="386" spans="4:12" hidden="1" x14ac:dyDescent="0.25">
      <c r="D386" s="11"/>
      <c r="E386" s="11"/>
      <c r="F386" s="11"/>
      <c r="G386" s="11"/>
      <c r="H386" s="11"/>
      <c r="I386" s="11"/>
      <c r="J386" s="11"/>
      <c r="K386" s="11"/>
      <c r="L386" s="11"/>
    </row>
    <row r="387" spans="4:12" hidden="1" x14ac:dyDescent="0.25">
      <c r="D387" s="11"/>
      <c r="E387" s="11"/>
      <c r="F387" s="11"/>
      <c r="G387" s="11"/>
      <c r="H387" s="11"/>
      <c r="I387" s="11"/>
      <c r="J387" s="11"/>
      <c r="K387" s="11"/>
      <c r="L387" s="11"/>
    </row>
    <row r="388" spans="4:12" hidden="1" x14ac:dyDescent="0.25">
      <c r="D388" s="11"/>
      <c r="E388" s="11"/>
      <c r="F388" s="11"/>
      <c r="G388" s="11"/>
      <c r="H388" s="11"/>
      <c r="I388" s="11"/>
      <c r="J388" s="11"/>
      <c r="K388" s="11"/>
      <c r="L388" s="11"/>
    </row>
    <row r="389" spans="4:12" hidden="1" x14ac:dyDescent="0.25">
      <c r="D389" s="11"/>
      <c r="E389" s="11"/>
      <c r="F389" s="11"/>
      <c r="G389" s="11"/>
      <c r="H389" s="11"/>
      <c r="I389" s="11"/>
      <c r="J389" s="11"/>
      <c r="K389" s="11"/>
      <c r="L389" s="11"/>
    </row>
    <row r="390" spans="4:12" hidden="1" x14ac:dyDescent="0.25">
      <c r="D390" s="11"/>
      <c r="E390" s="11"/>
      <c r="F390" s="11"/>
      <c r="G390" s="11"/>
      <c r="H390" s="11"/>
      <c r="I390" s="11"/>
      <c r="J390" s="11"/>
      <c r="K390" s="11"/>
      <c r="L390" s="11"/>
    </row>
    <row r="391" spans="4:12" hidden="1" x14ac:dyDescent="0.25">
      <c r="D391" s="11"/>
      <c r="E391" s="11"/>
      <c r="F391" s="11"/>
      <c r="G391" s="11"/>
      <c r="H391" s="11"/>
      <c r="I391" s="11"/>
      <c r="J391" s="11"/>
      <c r="K391" s="11"/>
      <c r="L391" s="11"/>
    </row>
    <row r="392" spans="4:12" hidden="1" x14ac:dyDescent="0.25">
      <c r="D392" s="11"/>
      <c r="E392" s="11"/>
      <c r="F392" s="11"/>
      <c r="G392" s="11"/>
      <c r="H392" s="11"/>
      <c r="I392" s="11"/>
      <c r="J392" s="11"/>
      <c r="K392" s="11"/>
      <c r="L392" s="11"/>
    </row>
    <row r="393" spans="4:12" hidden="1" x14ac:dyDescent="0.25">
      <c r="D393" s="11"/>
      <c r="E393" s="11"/>
      <c r="F393" s="11"/>
      <c r="G393" s="11"/>
      <c r="H393" s="11"/>
      <c r="I393" s="11"/>
      <c r="J393" s="11"/>
      <c r="K393" s="11"/>
      <c r="L393" s="11"/>
    </row>
    <row r="394" spans="4:12" hidden="1" x14ac:dyDescent="0.25">
      <c r="D394" s="11"/>
      <c r="E394" s="11"/>
      <c r="F394" s="11"/>
      <c r="G394" s="11"/>
      <c r="H394" s="11"/>
      <c r="I394" s="11"/>
      <c r="J394" s="11"/>
      <c r="K394" s="11"/>
      <c r="L394" s="11"/>
    </row>
    <row r="395" spans="4:12" hidden="1" x14ac:dyDescent="0.25">
      <c r="D395" s="11"/>
      <c r="E395" s="11"/>
      <c r="F395" s="11"/>
      <c r="G395" s="11"/>
      <c r="H395" s="11"/>
      <c r="I395" s="11"/>
      <c r="J395" s="11"/>
      <c r="K395" s="11"/>
      <c r="L395" s="11"/>
    </row>
    <row r="396" spans="4:12" hidden="1" x14ac:dyDescent="0.25">
      <c r="D396" s="11"/>
      <c r="E396" s="11"/>
      <c r="F396" s="11"/>
      <c r="G396" s="11"/>
      <c r="H396" s="11"/>
      <c r="I396" s="11"/>
      <c r="J396" s="11"/>
      <c r="K396" s="11"/>
      <c r="L396" s="11"/>
    </row>
    <row r="397" spans="4:12" hidden="1" x14ac:dyDescent="0.25">
      <c r="D397" s="11"/>
      <c r="E397" s="11"/>
      <c r="F397" s="11"/>
      <c r="G397" s="11"/>
      <c r="H397" s="11"/>
      <c r="I397" s="11"/>
      <c r="J397" s="11"/>
      <c r="K397" s="11"/>
      <c r="L397" s="11"/>
    </row>
    <row r="398" spans="4:12" hidden="1" x14ac:dyDescent="0.25">
      <c r="D398" s="11"/>
      <c r="E398" s="11"/>
      <c r="F398" s="11"/>
      <c r="G398" s="11"/>
      <c r="H398" s="11"/>
      <c r="I398" s="11"/>
      <c r="J398" s="11"/>
      <c r="K398" s="11"/>
      <c r="L398" s="11"/>
    </row>
    <row r="399" spans="4:12" hidden="1" x14ac:dyDescent="0.25">
      <c r="D399" s="11"/>
      <c r="E399" s="11"/>
      <c r="F399" s="11"/>
      <c r="G399" s="11"/>
      <c r="H399" s="11"/>
      <c r="I399" s="11"/>
      <c r="J399" s="11"/>
      <c r="K399" s="11"/>
      <c r="L399" s="11"/>
    </row>
    <row r="400" spans="4:12" hidden="1" x14ac:dyDescent="0.25">
      <c r="D400" s="11"/>
      <c r="E400" s="11"/>
      <c r="F400" s="11"/>
      <c r="G400" s="11"/>
      <c r="H400" s="11"/>
      <c r="I400" s="11"/>
      <c r="J400" s="11"/>
      <c r="K400" s="11"/>
      <c r="L400" s="11"/>
    </row>
    <row r="401" spans="4:12" hidden="1" x14ac:dyDescent="0.25">
      <c r="D401" s="11"/>
      <c r="E401" s="11"/>
      <c r="F401" s="11"/>
      <c r="G401" s="11"/>
      <c r="H401" s="11"/>
      <c r="I401" s="11"/>
      <c r="J401" s="11"/>
      <c r="K401" s="11"/>
      <c r="L401" s="11"/>
    </row>
    <row r="402" spans="4:12" hidden="1" x14ac:dyDescent="0.25">
      <c r="D402" s="11"/>
      <c r="E402" s="11"/>
      <c r="F402" s="11"/>
      <c r="G402" s="11"/>
      <c r="H402" s="11"/>
      <c r="I402" s="11"/>
      <c r="J402" s="11"/>
      <c r="K402" s="11"/>
      <c r="L402" s="11"/>
    </row>
    <row r="403" spans="4:12" hidden="1" x14ac:dyDescent="0.25">
      <c r="D403" s="11"/>
      <c r="E403" s="11"/>
      <c r="F403" s="11"/>
      <c r="G403" s="11"/>
      <c r="H403" s="11"/>
      <c r="I403" s="11"/>
      <c r="J403" s="11"/>
      <c r="K403" s="11"/>
      <c r="L403" s="11"/>
    </row>
    <row r="404" spans="4:12" hidden="1" x14ac:dyDescent="0.25">
      <c r="D404" s="11"/>
      <c r="E404" s="11"/>
      <c r="F404" s="11"/>
      <c r="G404" s="11"/>
      <c r="H404" s="11"/>
      <c r="I404" s="11"/>
      <c r="J404" s="11"/>
      <c r="K404" s="11"/>
      <c r="L404" s="11"/>
    </row>
    <row r="405" spans="4:12" hidden="1" x14ac:dyDescent="0.25">
      <c r="D405" s="11"/>
      <c r="E405" s="11"/>
      <c r="F405" s="11"/>
      <c r="G405" s="11"/>
      <c r="H405" s="11"/>
      <c r="I405" s="11"/>
      <c r="J405" s="11"/>
      <c r="K405" s="11"/>
      <c r="L405" s="11"/>
    </row>
    <row r="406" spans="4:12" hidden="1" x14ac:dyDescent="0.25">
      <c r="D406" s="11"/>
      <c r="E406" s="11"/>
      <c r="F406" s="11"/>
      <c r="G406" s="11"/>
      <c r="H406" s="11"/>
      <c r="I406" s="11"/>
      <c r="J406" s="11"/>
      <c r="K406" s="11"/>
      <c r="L406" s="11"/>
    </row>
    <row r="407" spans="4:12" hidden="1" x14ac:dyDescent="0.25">
      <c r="D407" s="11"/>
      <c r="E407" s="11"/>
      <c r="F407" s="11"/>
      <c r="G407" s="11"/>
      <c r="H407" s="11"/>
      <c r="I407" s="11"/>
      <c r="J407" s="11"/>
      <c r="K407" s="11"/>
      <c r="L407" s="11"/>
    </row>
    <row r="408" spans="4:12" hidden="1" x14ac:dyDescent="0.25">
      <c r="D408" s="11"/>
      <c r="E408" s="11"/>
      <c r="F408" s="11"/>
      <c r="G408" s="11"/>
      <c r="H408" s="11"/>
      <c r="I408" s="11"/>
      <c r="J408" s="11"/>
      <c r="K408" s="11"/>
      <c r="L408" s="11"/>
    </row>
    <row r="409" spans="4:12" hidden="1" x14ac:dyDescent="0.25">
      <c r="D409" s="11"/>
      <c r="E409" s="11"/>
      <c r="F409" s="11"/>
      <c r="G409" s="11"/>
      <c r="H409" s="11"/>
      <c r="I409" s="11"/>
      <c r="J409" s="11"/>
      <c r="K409" s="11"/>
      <c r="L409" s="11"/>
    </row>
    <row r="410" spans="4:12" hidden="1" x14ac:dyDescent="0.25">
      <c r="D410" s="11"/>
      <c r="E410" s="11"/>
      <c r="F410" s="11"/>
      <c r="G410" s="11"/>
      <c r="H410" s="11"/>
      <c r="I410" s="11"/>
      <c r="J410" s="11"/>
      <c r="K410" s="11"/>
      <c r="L410" s="11"/>
    </row>
    <row r="411" spans="4:12" hidden="1" x14ac:dyDescent="0.25">
      <c r="D411" s="11"/>
      <c r="E411" s="11"/>
      <c r="F411" s="11"/>
      <c r="G411" s="11"/>
      <c r="H411" s="11"/>
      <c r="I411" s="11"/>
      <c r="J411" s="11"/>
      <c r="K411" s="11"/>
      <c r="L411" s="11"/>
    </row>
    <row r="412" spans="4:12" hidden="1" x14ac:dyDescent="0.25">
      <c r="D412" s="11"/>
      <c r="E412" s="11"/>
      <c r="F412" s="11"/>
      <c r="G412" s="11"/>
      <c r="H412" s="11"/>
      <c r="I412" s="11"/>
      <c r="J412" s="11"/>
      <c r="K412" s="11"/>
      <c r="L412" s="11"/>
    </row>
    <row r="413" spans="4:12" hidden="1" x14ac:dyDescent="0.25">
      <c r="D413" s="11"/>
      <c r="E413" s="11"/>
      <c r="F413" s="11"/>
      <c r="G413" s="11"/>
      <c r="H413" s="11"/>
      <c r="I413" s="11"/>
      <c r="J413" s="11"/>
      <c r="K413" s="11"/>
      <c r="L413" s="11"/>
    </row>
    <row r="414" spans="4:12" hidden="1" x14ac:dyDescent="0.25">
      <c r="D414" s="11"/>
      <c r="E414" s="11"/>
      <c r="F414" s="11"/>
      <c r="G414" s="11"/>
      <c r="H414" s="11"/>
      <c r="I414" s="11"/>
      <c r="J414" s="11"/>
      <c r="K414" s="11"/>
      <c r="L414" s="11"/>
    </row>
    <row r="415" spans="4:12" hidden="1" x14ac:dyDescent="0.25">
      <c r="D415" s="11"/>
      <c r="E415" s="11"/>
      <c r="F415" s="11"/>
      <c r="G415" s="11"/>
      <c r="H415" s="11"/>
      <c r="I415" s="11"/>
      <c r="J415" s="11"/>
      <c r="K415" s="11"/>
      <c r="L415" s="11"/>
    </row>
    <row r="416" spans="4:12" hidden="1" x14ac:dyDescent="0.25">
      <c r="D416" s="11"/>
      <c r="E416" s="11"/>
      <c r="F416" s="11"/>
      <c r="G416" s="11"/>
      <c r="H416" s="11"/>
      <c r="I416" s="11"/>
      <c r="J416" s="11"/>
      <c r="K416" s="11"/>
      <c r="L416" s="11"/>
    </row>
    <row r="417" spans="4:12" hidden="1" x14ac:dyDescent="0.25">
      <c r="D417" s="11"/>
      <c r="E417" s="11"/>
      <c r="F417" s="11"/>
      <c r="G417" s="11"/>
      <c r="H417" s="11"/>
      <c r="I417" s="11"/>
      <c r="J417" s="11"/>
      <c r="K417" s="11"/>
      <c r="L417" s="11"/>
    </row>
    <row r="418" spans="4:12" hidden="1" x14ac:dyDescent="0.25">
      <c r="D418" s="11"/>
      <c r="E418" s="11"/>
      <c r="F418" s="11"/>
      <c r="G418" s="11"/>
      <c r="H418" s="11"/>
      <c r="I418" s="11"/>
      <c r="J418" s="11"/>
      <c r="K418" s="11"/>
      <c r="L418" s="11"/>
    </row>
    <row r="419" spans="4:12" hidden="1" x14ac:dyDescent="0.25">
      <c r="D419" s="11"/>
      <c r="E419" s="11"/>
      <c r="F419" s="11"/>
      <c r="G419" s="11"/>
      <c r="H419" s="11"/>
      <c r="I419" s="11"/>
      <c r="J419" s="11"/>
      <c r="K419" s="11"/>
      <c r="L419" s="11"/>
    </row>
    <row r="420" spans="4:12" hidden="1" x14ac:dyDescent="0.25">
      <c r="D420" s="11"/>
      <c r="E420" s="11"/>
      <c r="F420" s="11"/>
      <c r="G420" s="11"/>
      <c r="H420" s="11"/>
      <c r="I420" s="11"/>
      <c r="J420" s="11"/>
      <c r="K420" s="11"/>
      <c r="L420" s="11"/>
    </row>
    <row r="421" spans="4:12" hidden="1" x14ac:dyDescent="0.25">
      <c r="D421" s="11"/>
      <c r="E421" s="11"/>
      <c r="F421" s="11"/>
      <c r="G421" s="11"/>
      <c r="H421" s="11"/>
      <c r="I421" s="11"/>
      <c r="J421" s="11"/>
      <c r="K421" s="11"/>
      <c r="L421" s="11"/>
    </row>
    <row r="422" spans="4:12" hidden="1" x14ac:dyDescent="0.25">
      <c r="D422" s="11"/>
      <c r="E422" s="11"/>
      <c r="F422" s="11"/>
      <c r="G422" s="11"/>
      <c r="H422" s="11"/>
      <c r="I422" s="11"/>
      <c r="J422" s="11"/>
      <c r="K422" s="11"/>
      <c r="L422" s="11"/>
    </row>
    <row r="423" spans="4:12" hidden="1" x14ac:dyDescent="0.25">
      <c r="D423" s="11"/>
      <c r="E423" s="11"/>
      <c r="F423" s="11"/>
      <c r="G423" s="11"/>
      <c r="H423" s="11"/>
      <c r="I423" s="11"/>
      <c r="J423" s="11"/>
      <c r="K423" s="11"/>
      <c r="L423" s="11"/>
    </row>
    <row r="424" spans="4:12" hidden="1" x14ac:dyDescent="0.25">
      <c r="D424" s="11"/>
      <c r="E424" s="11"/>
      <c r="F424" s="11"/>
      <c r="G424" s="11"/>
      <c r="H424" s="11"/>
      <c r="I424" s="11"/>
      <c r="J424" s="11"/>
      <c r="K424" s="11"/>
      <c r="L424" s="11"/>
    </row>
    <row r="425" spans="4:12" hidden="1" x14ac:dyDescent="0.25">
      <c r="D425" s="11"/>
      <c r="E425" s="11"/>
      <c r="F425" s="11"/>
      <c r="G425" s="11"/>
      <c r="H425" s="11"/>
      <c r="I425" s="11"/>
      <c r="J425" s="11"/>
      <c r="K425" s="11"/>
      <c r="L425" s="11"/>
    </row>
    <row r="426" spans="4:12" hidden="1" x14ac:dyDescent="0.25">
      <c r="D426" s="11"/>
      <c r="E426" s="11"/>
      <c r="F426" s="11"/>
      <c r="G426" s="11"/>
      <c r="H426" s="11"/>
      <c r="I426" s="11"/>
      <c r="J426" s="11"/>
      <c r="K426" s="11"/>
      <c r="L426" s="11"/>
    </row>
    <row r="427" spans="4:12" hidden="1" x14ac:dyDescent="0.25">
      <c r="D427" s="11"/>
      <c r="E427" s="11"/>
      <c r="F427" s="11"/>
      <c r="G427" s="11"/>
      <c r="H427" s="11"/>
      <c r="I427" s="11"/>
      <c r="J427" s="11"/>
      <c r="K427" s="11"/>
      <c r="L427" s="11"/>
    </row>
    <row r="428" spans="4:12" hidden="1" x14ac:dyDescent="0.25">
      <c r="D428" s="11"/>
      <c r="E428" s="11"/>
      <c r="F428" s="11"/>
      <c r="G428" s="11"/>
      <c r="H428" s="11"/>
      <c r="I428" s="11"/>
      <c r="J428" s="11"/>
      <c r="K428" s="11"/>
      <c r="L428" s="11"/>
    </row>
    <row r="429" spans="4:12" hidden="1" x14ac:dyDescent="0.25">
      <c r="D429" s="11"/>
      <c r="E429" s="11"/>
      <c r="F429" s="11"/>
      <c r="G429" s="11"/>
      <c r="H429" s="11"/>
      <c r="I429" s="11"/>
      <c r="J429" s="11"/>
      <c r="K429" s="11"/>
      <c r="L429" s="11"/>
    </row>
    <row r="430" spans="4:12" hidden="1" x14ac:dyDescent="0.25">
      <c r="D430" s="11"/>
      <c r="E430" s="11"/>
      <c r="F430" s="11"/>
      <c r="G430" s="11"/>
      <c r="H430" s="11"/>
      <c r="I430" s="11"/>
      <c r="J430" s="11"/>
      <c r="K430" s="11"/>
      <c r="L430" s="11"/>
    </row>
    <row r="431" spans="4:12" hidden="1" x14ac:dyDescent="0.25">
      <c r="D431" s="11"/>
      <c r="E431" s="11"/>
      <c r="F431" s="11"/>
      <c r="G431" s="11"/>
      <c r="H431" s="11"/>
      <c r="I431" s="11"/>
      <c r="J431" s="11"/>
      <c r="K431" s="11"/>
      <c r="L431" s="11"/>
    </row>
    <row r="432" spans="4:12" hidden="1" x14ac:dyDescent="0.25">
      <c r="D432" s="11"/>
      <c r="E432" s="11"/>
      <c r="F432" s="11"/>
      <c r="G432" s="11"/>
      <c r="H432" s="11"/>
      <c r="I432" s="11"/>
      <c r="J432" s="11"/>
      <c r="K432" s="11"/>
      <c r="L432" s="11"/>
    </row>
    <row r="433" spans="4:12" hidden="1" x14ac:dyDescent="0.25">
      <c r="D433" s="11"/>
      <c r="E433" s="11"/>
      <c r="F433" s="11"/>
      <c r="G433" s="11"/>
      <c r="H433" s="11"/>
      <c r="I433" s="11"/>
      <c r="J433" s="11"/>
      <c r="K433" s="11"/>
      <c r="L433" s="11"/>
    </row>
    <row r="434" spans="4:12" hidden="1" x14ac:dyDescent="0.25">
      <c r="D434" s="11"/>
      <c r="E434" s="11"/>
      <c r="F434" s="11"/>
      <c r="G434" s="11"/>
      <c r="H434" s="11"/>
      <c r="I434" s="11"/>
      <c r="J434" s="11"/>
      <c r="K434" s="11"/>
      <c r="L434" s="11"/>
    </row>
    <row r="435" spans="4:12" hidden="1" x14ac:dyDescent="0.25">
      <c r="D435" s="11"/>
      <c r="E435" s="11"/>
      <c r="F435" s="11"/>
      <c r="G435" s="11"/>
      <c r="H435" s="11"/>
      <c r="I435" s="11"/>
      <c r="J435" s="11"/>
      <c r="K435" s="11"/>
      <c r="L435" s="11"/>
    </row>
    <row r="436" spans="4:12" hidden="1" x14ac:dyDescent="0.25">
      <c r="D436" s="11"/>
      <c r="E436" s="11"/>
      <c r="F436" s="11"/>
      <c r="G436" s="11"/>
      <c r="H436" s="11"/>
      <c r="I436" s="11"/>
      <c r="J436" s="11"/>
      <c r="K436" s="11"/>
      <c r="L436" s="11"/>
    </row>
    <row r="437" spans="4:12" hidden="1" x14ac:dyDescent="0.25">
      <c r="D437" s="11"/>
      <c r="E437" s="11"/>
      <c r="F437" s="11"/>
      <c r="G437" s="11"/>
      <c r="H437" s="11"/>
      <c r="I437" s="11"/>
      <c r="J437" s="11"/>
      <c r="K437" s="11"/>
      <c r="L437" s="11"/>
    </row>
    <row r="438" spans="4:12" hidden="1" x14ac:dyDescent="0.25">
      <c r="D438" s="11"/>
      <c r="E438" s="11"/>
      <c r="F438" s="11"/>
      <c r="G438" s="11"/>
      <c r="H438" s="11"/>
      <c r="I438" s="11"/>
      <c r="J438" s="11"/>
      <c r="K438" s="11"/>
      <c r="L438" s="11"/>
    </row>
    <row r="439" spans="4:12" hidden="1" x14ac:dyDescent="0.25">
      <c r="D439" s="11"/>
      <c r="E439" s="11"/>
      <c r="F439" s="11"/>
      <c r="G439" s="11"/>
      <c r="H439" s="11"/>
      <c r="I439" s="11"/>
      <c r="J439" s="11"/>
      <c r="K439" s="11"/>
      <c r="L439" s="11"/>
    </row>
    <row r="440" spans="4:12" hidden="1" x14ac:dyDescent="0.25">
      <c r="D440" s="11"/>
      <c r="E440" s="11"/>
      <c r="F440" s="11"/>
      <c r="G440" s="11"/>
      <c r="H440" s="11"/>
      <c r="I440" s="11"/>
      <c r="J440" s="11"/>
      <c r="K440" s="11"/>
      <c r="L440" s="11"/>
    </row>
    <row r="441" spans="4:12" hidden="1" x14ac:dyDescent="0.25">
      <c r="D441" s="11"/>
      <c r="E441" s="11"/>
      <c r="F441" s="11"/>
      <c r="G441" s="11"/>
      <c r="H441" s="11"/>
      <c r="I441" s="11"/>
      <c r="J441" s="11"/>
      <c r="K441" s="11"/>
      <c r="L441" s="11"/>
    </row>
    <row r="442" spans="4:12" hidden="1" x14ac:dyDescent="0.25">
      <c r="D442" s="11"/>
      <c r="E442" s="11"/>
      <c r="F442" s="11"/>
      <c r="G442" s="11"/>
      <c r="H442" s="11"/>
      <c r="I442" s="11"/>
      <c r="J442" s="11"/>
      <c r="K442" s="11"/>
      <c r="L442" s="11"/>
    </row>
    <row r="443" spans="4:12" hidden="1" x14ac:dyDescent="0.25">
      <c r="D443" s="11"/>
      <c r="E443" s="11"/>
      <c r="F443" s="11"/>
      <c r="G443" s="11"/>
      <c r="H443" s="11"/>
      <c r="I443" s="11"/>
      <c r="J443" s="11"/>
      <c r="K443" s="11"/>
      <c r="L443" s="11"/>
    </row>
    <row r="444" spans="4:12" hidden="1" x14ac:dyDescent="0.25">
      <c r="D444" s="11"/>
      <c r="E444" s="11"/>
      <c r="F444" s="11"/>
      <c r="G444" s="11"/>
      <c r="H444" s="11"/>
      <c r="I444" s="11"/>
      <c r="J444" s="11"/>
      <c r="K444" s="11"/>
      <c r="L444" s="11"/>
    </row>
    <row r="445" spans="4:12" hidden="1" x14ac:dyDescent="0.25">
      <c r="D445" s="11"/>
      <c r="E445" s="11"/>
      <c r="F445" s="11"/>
      <c r="G445" s="11"/>
      <c r="H445" s="11"/>
      <c r="I445" s="11"/>
      <c r="J445" s="11"/>
      <c r="K445" s="11"/>
      <c r="L445" s="11"/>
    </row>
    <row r="446" spans="4:12" hidden="1" x14ac:dyDescent="0.25">
      <c r="D446" s="11"/>
      <c r="E446" s="11"/>
      <c r="F446" s="11"/>
      <c r="G446" s="11"/>
      <c r="H446" s="11"/>
      <c r="I446" s="11"/>
      <c r="J446" s="11"/>
      <c r="K446" s="11"/>
      <c r="L446" s="11"/>
    </row>
    <row r="447" spans="4:12" hidden="1" x14ac:dyDescent="0.25">
      <c r="D447" s="11"/>
      <c r="E447" s="11"/>
      <c r="F447" s="11"/>
      <c r="G447" s="11"/>
      <c r="H447" s="11"/>
      <c r="I447" s="11"/>
      <c r="J447" s="11"/>
      <c r="K447" s="11"/>
      <c r="L447" s="11"/>
    </row>
    <row r="448" spans="4:12" hidden="1" x14ac:dyDescent="0.25">
      <c r="D448" s="11"/>
      <c r="E448" s="11"/>
      <c r="F448" s="11"/>
      <c r="G448" s="11"/>
      <c r="H448" s="11"/>
      <c r="I448" s="11"/>
      <c r="J448" s="11"/>
      <c r="K448" s="11"/>
      <c r="L448" s="11"/>
    </row>
    <row r="449" spans="4:12" hidden="1" x14ac:dyDescent="0.25">
      <c r="D449" s="11"/>
      <c r="E449" s="11"/>
      <c r="F449" s="11"/>
      <c r="G449" s="11"/>
      <c r="H449" s="11"/>
      <c r="I449" s="11"/>
      <c r="J449" s="11"/>
      <c r="K449" s="11"/>
      <c r="L449" s="11"/>
    </row>
    <row r="450" spans="4:12" hidden="1" x14ac:dyDescent="0.25">
      <c r="D450" s="11"/>
      <c r="E450" s="11"/>
      <c r="F450" s="11"/>
      <c r="G450" s="11"/>
      <c r="H450" s="11"/>
      <c r="I450" s="11"/>
      <c r="J450" s="11"/>
      <c r="K450" s="11"/>
      <c r="L450" s="11"/>
    </row>
    <row r="451" spans="4:12" hidden="1" x14ac:dyDescent="0.25">
      <c r="D451" s="11"/>
      <c r="E451" s="11"/>
      <c r="F451" s="11"/>
      <c r="G451" s="11"/>
      <c r="H451" s="11"/>
      <c r="I451" s="11"/>
      <c r="J451" s="11"/>
      <c r="K451" s="11"/>
      <c r="L451" s="11"/>
    </row>
    <row r="452" spans="4:12" hidden="1" x14ac:dyDescent="0.25">
      <c r="D452" s="11"/>
      <c r="E452" s="11"/>
      <c r="F452" s="11"/>
      <c r="G452" s="11"/>
      <c r="H452" s="11"/>
      <c r="I452" s="11"/>
      <c r="J452" s="11"/>
      <c r="K452" s="11"/>
      <c r="L452" s="11"/>
    </row>
    <row r="453" spans="4:12" hidden="1" x14ac:dyDescent="0.25">
      <c r="D453" s="11"/>
      <c r="E453" s="11"/>
      <c r="F453" s="11"/>
      <c r="G453" s="11"/>
      <c r="H453" s="11"/>
      <c r="I453" s="11"/>
      <c r="J453" s="11"/>
      <c r="K453" s="11"/>
      <c r="L453" s="11"/>
    </row>
    <row r="454" spans="4:12" hidden="1" x14ac:dyDescent="0.25">
      <c r="D454" s="11"/>
      <c r="E454" s="11"/>
      <c r="F454" s="11"/>
      <c r="G454" s="11"/>
      <c r="H454" s="11"/>
      <c r="I454" s="11"/>
      <c r="J454" s="11"/>
      <c r="K454" s="11"/>
      <c r="L454" s="11"/>
    </row>
    <row r="455" spans="4:12" hidden="1" x14ac:dyDescent="0.25">
      <c r="D455" s="11"/>
      <c r="E455" s="11"/>
      <c r="F455" s="11"/>
      <c r="G455" s="11"/>
      <c r="H455" s="11"/>
      <c r="I455" s="11"/>
      <c r="J455" s="11"/>
      <c r="K455" s="11"/>
      <c r="L455" s="11"/>
    </row>
    <row r="456" spans="4:12" hidden="1" x14ac:dyDescent="0.25">
      <c r="D456" s="11"/>
      <c r="E456" s="11"/>
      <c r="F456" s="11"/>
      <c r="G456" s="11"/>
      <c r="H456" s="11"/>
      <c r="I456" s="11"/>
      <c r="J456" s="11"/>
      <c r="K456" s="11"/>
      <c r="L456" s="11"/>
    </row>
    <row r="457" spans="4:12" hidden="1" x14ac:dyDescent="0.25">
      <c r="D457" s="11"/>
      <c r="E457" s="11"/>
      <c r="F457" s="11"/>
      <c r="G457" s="11"/>
      <c r="H457" s="11"/>
      <c r="I457" s="11"/>
      <c r="J457" s="11"/>
      <c r="K457" s="11"/>
      <c r="L457" s="11"/>
    </row>
    <row r="458" spans="4:12" hidden="1" x14ac:dyDescent="0.25">
      <c r="D458" s="11"/>
      <c r="E458" s="11"/>
      <c r="F458" s="11"/>
      <c r="G458" s="11"/>
      <c r="H458" s="11"/>
      <c r="I458" s="11"/>
      <c r="J458" s="11"/>
      <c r="K458" s="11"/>
      <c r="L458" s="11"/>
    </row>
    <row r="459" spans="4:12" hidden="1" x14ac:dyDescent="0.25">
      <c r="D459" s="11"/>
      <c r="E459" s="11"/>
      <c r="F459" s="11"/>
      <c r="G459" s="11"/>
      <c r="H459" s="11"/>
      <c r="I459" s="11"/>
      <c r="J459" s="11"/>
      <c r="K459" s="11"/>
      <c r="L459" s="11"/>
    </row>
    <row r="460" spans="4:12" hidden="1" x14ac:dyDescent="0.25">
      <c r="D460" s="11"/>
      <c r="E460" s="11"/>
      <c r="F460" s="11"/>
      <c r="G460" s="11"/>
      <c r="H460" s="11"/>
      <c r="I460" s="11"/>
      <c r="J460" s="11"/>
      <c r="K460" s="11"/>
      <c r="L460" s="11"/>
    </row>
    <row r="461" spans="4:12" hidden="1" x14ac:dyDescent="0.25">
      <c r="D461" s="11"/>
      <c r="E461" s="11"/>
      <c r="F461" s="11"/>
      <c r="G461" s="11"/>
      <c r="H461" s="11"/>
      <c r="I461" s="11"/>
      <c r="J461" s="11"/>
      <c r="K461" s="11"/>
      <c r="L461" s="11"/>
    </row>
    <row r="462" spans="4:12" hidden="1" x14ac:dyDescent="0.25">
      <c r="D462" s="11"/>
      <c r="E462" s="11"/>
      <c r="F462" s="11"/>
      <c r="G462" s="11"/>
      <c r="H462" s="11"/>
      <c r="I462" s="11"/>
      <c r="J462" s="11"/>
      <c r="K462" s="11"/>
      <c r="L462" s="11"/>
    </row>
    <row r="463" spans="4:12" hidden="1" x14ac:dyDescent="0.25">
      <c r="D463" s="11"/>
      <c r="E463" s="11"/>
      <c r="F463" s="11"/>
      <c r="G463" s="11"/>
      <c r="H463" s="11"/>
      <c r="I463" s="11"/>
      <c r="J463" s="11"/>
      <c r="K463" s="11"/>
      <c r="L463" s="11"/>
    </row>
    <row r="464" spans="4:12" hidden="1" x14ac:dyDescent="0.25">
      <c r="D464" s="11"/>
      <c r="E464" s="11"/>
      <c r="F464" s="11"/>
      <c r="G464" s="11"/>
      <c r="H464" s="11"/>
      <c r="I464" s="11"/>
      <c r="J464" s="11"/>
      <c r="K464" s="11"/>
      <c r="L464" s="11"/>
    </row>
    <row r="465" spans="4:12" hidden="1" x14ac:dyDescent="0.25">
      <c r="D465" s="11"/>
      <c r="E465" s="11"/>
      <c r="F465" s="11"/>
      <c r="G465" s="11"/>
      <c r="H465" s="11"/>
      <c r="I465" s="11"/>
      <c r="J465" s="11"/>
      <c r="K465" s="11"/>
      <c r="L465" s="11"/>
    </row>
    <row r="466" spans="4:12" hidden="1" x14ac:dyDescent="0.25">
      <c r="D466" s="11"/>
      <c r="E466" s="11"/>
      <c r="F466" s="11"/>
      <c r="G466" s="11"/>
      <c r="H466" s="11"/>
      <c r="I466" s="11"/>
      <c r="J466" s="11"/>
      <c r="K466" s="11"/>
      <c r="L466" s="11"/>
    </row>
    <row r="467" spans="4:12" hidden="1" x14ac:dyDescent="0.25">
      <c r="D467" s="11"/>
      <c r="E467" s="11"/>
      <c r="F467" s="11"/>
      <c r="G467" s="11"/>
      <c r="H467" s="11"/>
      <c r="I467" s="11"/>
      <c r="J467" s="11"/>
      <c r="K467" s="11"/>
      <c r="L467" s="11"/>
    </row>
    <row r="468" spans="4:12" hidden="1" x14ac:dyDescent="0.25">
      <c r="D468" s="11"/>
      <c r="E468" s="11"/>
      <c r="F468" s="11"/>
      <c r="G468" s="11"/>
      <c r="H468" s="11"/>
      <c r="I468" s="11"/>
      <c r="J468" s="11"/>
      <c r="K468" s="11"/>
      <c r="L468" s="11"/>
    </row>
    <row r="469" spans="4:12" hidden="1" x14ac:dyDescent="0.25">
      <c r="D469" s="11"/>
      <c r="E469" s="11"/>
      <c r="F469" s="11"/>
      <c r="G469" s="11"/>
      <c r="H469" s="11"/>
      <c r="I469" s="11"/>
      <c r="J469" s="11"/>
      <c r="K469" s="11"/>
      <c r="L469" s="11"/>
    </row>
    <row r="470" spans="4:12" hidden="1" x14ac:dyDescent="0.25">
      <c r="D470" s="11"/>
      <c r="E470" s="11"/>
      <c r="F470" s="11"/>
      <c r="G470" s="11"/>
      <c r="H470" s="11"/>
      <c r="I470" s="11"/>
      <c r="J470" s="11"/>
      <c r="K470" s="11"/>
      <c r="L470" s="11"/>
    </row>
    <row r="471" spans="4:12" hidden="1" x14ac:dyDescent="0.25">
      <c r="D471" s="11"/>
      <c r="E471" s="11"/>
      <c r="F471" s="11"/>
      <c r="G471" s="11"/>
      <c r="H471" s="11"/>
      <c r="I471" s="11"/>
      <c r="J471" s="11"/>
      <c r="K471" s="11"/>
      <c r="L471" s="11"/>
    </row>
    <row r="472" spans="4:12" hidden="1" x14ac:dyDescent="0.25">
      <c r="D472" s="11"/>
      <c r="E472" s="11"/>
      <c r="F472" s="11"/>
      <c r="G472" s="11"/>
      <c r="H472" s="11"/>
      <c r="I472" s="11"/>
      <c r="J472" s="11"/>
      <c r="K472" s="11"/>
      <c r="L472" s="11"/>
    </row>
    <row r="473" spans="4:12" hidden="1" x14ac:dyDescent="0.25">
      <c r="D473" s="11"/>
      <c r="E473" s="11"/>
      <c r="F473" s="11"/>
      <c r="G473" s="11"/>
      <c r="H473" s="11"/>
      <c r="I473" s="11"/>
      <c r="J473" s="11"/>
      <c r="K473" s="11"/>
      <c r="L473" s="11"/>
    </row>
    <row r="474" spans="4:12" hidden="1" x14ac:dyDescent="0.25">
      <c r="D474" s="11"/>
      <c r="E474" s="11"/>
      <c r="F474" s="11"/>
      <c r="G474" s="11"/>
      <c r="H474" s="11"/>
      <c r="I474" s="11"/>
      <c r="J474" s="11"/>
      <c r="K474" s="11"/>
      <c r="L474" s="11"/>
    </row>
    <row r="475" spans="4:12" hidden="1" x14ac:dyDescent="0.25">
      <c r="D475" s="11"/>
      <c r="E475" s="11"/>
      <c r="F475" s="11"/>
      <c r="G475" s="11"/>
      <c r="H475" s="11"/>
      <c r="I475" s="11"/>
      <c r="J475" s="11"/>
      <c r="K475" s="11"/>
      <c r="L475" s="11"/>
    </row>
    <row r="476" spans="4:12" hidden="1" x14ac:dyDescent="0.25">
      <c r="D476" s="11"/>
      <c r="E476" s="11"/>
      <c r="F476" s="11"/>
      <c r="G476" s="11"/>
      <c r="H476" s="11"/>
      <c r="I476" s="11"/>
      <c r="J476" s="11"/>
      <c r="K476" s="11"/>
      <c r="L476" s="11"/>
    </row>
    <row r="477" spans="4:12" hidden="1" x14ac:dyDescent="0.25">
      <c r="D477" s="11"/>
      <c r="E477" s="11"/>
      <c r="F477" s="11"/>
      <c r="G477" s="11"/>
      <c r="H477" s="11"/>
      <c r="I477" s="11"/>
      <c r="J477" s="11"/>
      <c r="K477" s="11"/>
      <c r="L477" s="11"/>
    </row>
    <row r="478" spans="4:12" hidden="1" x14ac:dyDescent="0.25">
      <c r="D478" s="11"/>
      <c r="E478" s="11"/>
      <c r="F478" s="11"/>
      <c r="G478" s="11"/>
      <c r="H478" s="11"/>
      <c r="I478" s="11"/>
      <c r="J478" s="11"/>
      <c r="K478" s="11"/>
      <c r="L478" s="11"/>
    </row>
    <row r="479" spans="4:12" hidden="1" x14ac:dyDescent="0.25">
      <c r="D479" s="11"/>
      <c r="E479" s="11"/>
      <c r="F479" s="11"/>
      <c r="G479" s="11"/>
      <c r="H479" s="11"/>
      <c r="I479" s="11"/>
      <c r="J479" s="11"/>
      <c r="K479" s="11"/>
      <c r="L479" s="11"/>
    </row>
    <row r="480" spans="4:12" hidden="1" x14ac:dyDescent="0.25">
      <c r="D480" s="11"/>
      <c r="E480" s="11"/>
      <c r="F480" s="11"/>
      <c r="G480" s="11"/>
      <c r="H480" s="11"/>
      <c r="I480" s="11"/>
      <c r="J480" s="11"/>
      <c r="K480" s="11"/>
      <c r="L480" s="11"/>
    </row>
    <row r="481" spans="4:12" hidden="1" x14ac:dyDescent="0.25">
      <c r="D481" s="11"/>
      <c r="E481" s="11"/>
      <c r="F481" s="11"/>
      <c r="G481" s="11"/>
      <c r="H481" s="11"/>
      <c r="I481" s="11"/>
      <c r="J481" s="11"/>
      <c r="K481" s="11"/>
      <c r="L481" s="11"/>
    </row>
    <row r="482" spans="4:12" hidden="1" x14ac:dyDescent="0.25">
      <c r="D482" s="11"/>
      <c r="E482" s="11"/>
      <c r="F482" s="11"/>
      <c r="G482" s="11"/>
      <c r="H482" s="11"/>
      <c r="I482" s="11"/>
      <c r="J482" s="11"/>
      <c r="K482" s="11"/>
      <c r="L482" s="11"/>
    </row>
    <row r="483" spans="4:12" hidden="1" x14ac:dyDescent="0.25">
      <c r="D483" s="11"/>
      <c r="E483" s="11"/>
      <c r="F483" s="11"/>
      <c r="G483" s="11"/>
      <c r="H483" s="11"/>
      <c r="I483" s="11"/>
      <c r="J483" s="11"/>
      <c r="K483" s="11"/>
      <c r="L483" s="11"/>
    </row>
    <row r="484" spans="4:12" hidden="1" x14ac:dyDescent="0.25">
      <c r="D484" s="11"/>
      <c r="E484" s="11"/>
      <c r="F484" s="11"/>
      <c r="G484" s="11"/>
      <c r="H484" s="11"/>
      <c r="I484" s="11"/>
      <c r="J484" s="11"/>
      <c r="K484" s="11"/>
      <c r="L484" s="11"/>
    </row>
    <row r="485" spans="4:12" hidden="1" x14ac:dyDescent="0.25">
      <c r="D485" s="11"/>
      <c r="E485" s="11"/>
      <c r="F485" s="11"/>
      <c r="G485" s="11"/>
      <c r="H485" s="11"/>
      <c r="I485" s="11"/>
      <c r="J485" s="11"/>
      <c r="K485" s="11"/>
      <c r="L485" s="11"/>
    </row>
    <row r="486" spans="4:12" hidden="1" x14ac:dyDescent="0.25">
      <c r="D486" s="11"/>
      <c r="E486" s="11"/>
      <c r="F486" s="11"/>
      <c r="G486" s="11"/>
      <c r="H486" s="11"/>
      <c r="I486" s="11"/>
      <c r="J486" s="11"/>
      <c r="K486" s="11"/>
      <c r="L486" s="11"/>
    </row>
    <row r="487" spans="4:12" hidden="1" x14ac:dyDescent="0.25">
      <c r="D487" s="11"/>
      <c r="E487" s="11"/>
      <c r="F487" s="11"/>
      <c r="G487" s="11"/>
      <c r="H487" s="11"/>
      <c r="I487" s="11"/>
      <c r="J487" s="11"/>
      <c r="K487" s="11"/>
      <c r="L487" s="11"/>
    </row>
    <row r="488" spans="4:12" hidden="1" x14ac:dyDescent="0.25">
      <c r="D488" s="11"/>
      <c r="E488" s="11"/>
      <c r="F488" s="11"/>
      <c r="G488" s="11"/>
      <c r="H488" s="11"/>
      <c r="I488" s="11"/>
      <c r="J488" s="11"/>
      <c r="K488" s="11"/>
      <c r="L488" s="11"/>
    </row>
    <row r="489" spans="4:12" hidden="1" x14ac:dyDescent="0.25">
      <c r="D489" s="11"/>
      <c r="E489" s="11"/>
      <c r="F489" s="11"/>
      <c r="G489" s="11"/>
      <c r="H489" s="11"/>
      <c r="I489" s="11"/>
      <c r="J489" s="11"/>
      <c r="K489" s="11"/>
      <c r="L489" s="11"/>
    </row>
    <row r="490" spans="4:12" hidden="1" x14ac:dyDescent="0.25">
      <c r="D490" s="11"/>
      <c r="E490" s="11"/>
      <c r="F490" s="11"/>
      <c r="G490" s="11"/>
      <c r="H490" s="11"/>
      <c r="I490" s="11"/>
      <c r="J490" s="11"/>
      <c r="K490" s="11"/>
      <c r="L490" s="11"/>
    </row>
    <row r="491" spans="4:12" hidden="1" x14ac:dyDescent="0.25">
      <c r="D491" s="11"/>
      <c r="E491" s="11"/>
      <c r="F491" s="11"/>
      <c r="G491" s="11"/>
      <c r="H491" s="11"/>
      <c r="I491" s="11"/>
      <c r="J491" s="11"/>
      <c r="K491" s="11"/>
      <c r="L491" s="11"/>
    </row>
    <row r="492" spans="4:12" hidden="1" x14ac:dyDescent="0.25">
      <c r="D492" s="11"/>
      <c r="E492" s="11"/>
      <c r="F492" s="11"/>
      <c r="G492" s="11"/>
      <c r="H492" s="11"/>
      <c r="I492" s="11"/>
      <c r="J492" s="11"/>
      <c r="K492" s="11"/>
      <c r="L492" s="11"/>
    </row>
    <row r="493" spans="4:12" hidden="1" x14ac:dyDescent="0.25">
      <c r="D493" s="11"/>
      <c r="E493" s="11"/>
      <c r="F493" s="11"/>
      <c r="G493" s="11"/>
      <c r="H493" s="11"/>
      <c r="I493" s="11"/>
      <c r="J493" s="11"/>
      <c r="K493" s="11"/>
      <c r="L493" s="11"/>
    </row>
    <row r="494" spans="4:12" hidden="1" x14ac:dyDescent="0.25">
      <c r="D494" s="11"/>
      <c r="E494" s="11"/>
      <c r="F494" s="11"/>
      <c r="G494" s="11"/>
      <c r="H494" s="11"/>
      <c r="I494" s="11"/>
      <c r="J494" s="11"/>
      <c r="K494" s="11"/>
      <c r="L494" s="11"/>
    </row>
    <row r="495" spans="4:12" hidden="1" x14ac:dyDescent="0.25">
      <c r="D495" s="11"/>
      <c r="E495" s="11"/>
      <c r="F495" s="11"/>
      <c r="G495" s="11"/>
      <c r="H495" s="11"/>
      <c r="I495" s="11"/>
      <c r="J495" s="11"/>
      <c r="K495" s="11"/>
      <c r="L495" s="11"/>
    </row>
    <row r="496" spans="4:12" hidden="1" x14ac:dyDescent="0.25">
      <c r="D496" s="11"/>
      <c r="E496" s="11"/>
      <c r="F496" s="11"/>
      <c r="G496" s="11"/>
      <c r="H496" s="11"/>
      <c r="I496" s="11"/>
      <c r="J496" s="11"/>
      <c r="K496" s="11"/>
      <c r="L496" s="11"/>
    </row>
    <row r="497" spans="4:12" hidden="1" x14ac:dyDescent="0.25">
      <c r="D497" s="11"/>
      <c r="E497" s="11"/>
      <c r="F497" s="11"/>
      <c r="G497" s="11"/>
      <c r="H497" s="11"/>
      <c r="I497" s="11"/>
      <c r="J497" s="11"/>
      <c r="K497" s="11"/>
      <c r="L497" s="11"/>
    </row>
    <row r="498" spans="4:12" hidden="1" x14ac:dyDescent="0.25">
      <c r="D498" s="11"/>
      <c r="E498" s="11"/>
      <c r="F498" s="11"/>
      <c r="G498" s="11"/>
      <c r="H498" s="11"/>
      <c r="I498" s="11"/>
      <c r="J498" s="11"/>
      <c r="K498" s="11"/>
      <c r="L498" s="11"/>
    </row>
    <row r="499" spans="4:12" hidden="1" x14ac:dyDescent="0.25">
      <c r="D499" s="11"/>
      <c r="E499" s="11"/>
      <c r="F499" s="11"/>
      <c r="G499" s="11"/>
      <c r="H499" s="11"/>
      <c r="I499" s="11"/>
      <c r="J499" s="11"/>
      <c r="K499" s="11"/>
      <c r="L499" s="11"/>
    </row>
    <row r="500" spans="4:12" hidden="1" x14ac:dyDescent="0.25">
      <c r="D500" s="11"/>
      <c r="E500" s="11"/>
      <c r="F500" s="11"/>
      <c r="G500" s="11"/>
      <c r="H500" s="11"/>
      <c r="I500" s="11"/>
      <c r="J500" s="11"/>
      <c r="K500" s="11"/>
      <c r="L500" s="11"/>
    </row>
    <row r="501" spans="4:12" hidden="1" x14ac:dyDescent="0.25">
      <c r="D501" s="11"/>
      <c r="E501" s="11"/>
      <c r="F501" s="11"/>
      <c r="G501" s="11"/>
      <c r="H501" s="11"/>
      <c r="I501" s="11"/>
      <c r="J501" s="11"/>
      <c r="K501" s="11"/>
      <c r="L501" s="11"/>
    </row>
    <row r="502" spans="4:12" hidden="1" x14ac:dyDescent="0.25">
      <c r="D502" s="11"/>
      <c r="E502" s="11"/>
      <c r="F502" s="11"/>
      <c r="G502" s="11"/>
      <c r="H502" s="11"/>
      <c r="I502" s="11"/>
      <c r="J502" s="11"/>
      <c r="K502" s="11"/>
      <c r="L502" s="11"/>
    </row>
    <row r="503" spans="4:12" hidden="1" x14ac:dyDescent="0.25">
      <c r="D503" s="11"/>
      <c r="E503" s="11"/>
      <c r="F503" s="11"/>
      <c r="G503" s="11"/>
      <c r="H503" s="11"/>
      <c r="I503" s="11"/>
      <c r="J503" s="11"/>
      <c r="K503" s="11"/>
      <c r="L503" s="11"/>
    </row>
    <row r="504" spans="4:12" hidden="1" x14ac:dyDescent="0.25">
      <c r="D504" s="11"/>
      <c r="E504" s="11"/>
      <c r="F504" s="11"/>
      <c r="G504" s="11"/>
      <c r="H504" s="11"/>
      <c r="I504" s="11"/>
      <c r="J504" s="11"/>
      <c r="K504" s="11"/>
      <c r="L504" s="11"/>
    </row>
    <row r="505" spans="4:12" hidden="1" x14ac:dyDescent="0.25">
      <c r="D505" s="11"/>
      <c r="E505" s="11"/>
      <c r="F505" s="11"/>
      <c r="G505" s="11"/>
      <c r="H505" s="11"/>
      <c r="I505" s="11"/>
      <c r="J505" s="11"/>
      <c r="K505" s="11"/>
      <c r="L505" s="11"/>
    </row>
    <row r="506" spans="4:12" hidden="1" x14ac:dyDescent="0.25">
      <c r="D506" s="11"/>
      <c r="E506" s="11"/>
      <c r="F506" s="11"/>
      <c r="G506" s="11"/>
      <c r="H506" s="11"/>
      <c r="I506" s="11"/>
      <c r="J506" s="11"/>
      <c r="K506" s="11"/>
      <c r="L506" s="11"/>
    </row>
    <row r="507" spans="4:12" hidden="1" x14ac:dyDescent="0.25">
      <c r="D507" s="11"/>
      <c r="E507" s="11"/>
      <c r="F507" s="11"/>
      <c r="G507" s="11"/>
      <c r="H507" s="11"/>
      <c r="I507" s="11"/>
      <c r="J507" s="11"/>
      <c r="K507" s="11"/>
      <c r="L507" s="11"/>
    </row>
    <row r="508" spans="4:12" hidden="1" x14ac:dyDescent="0.25">
      <c r="D508" s="11"/>
      <c r="E508" s="11"/>
      <c r="F508" s="11"/>
      <c r="G508" s="11"/>
      <c r="H508" s="11"/>
      <c r="I508" s="11"/>
      <c r="J508" s="11"/>
      <c r="K508" s="11"/>
      <c r="L508" s="11"/>
    </row>
    <row r="509" spans="4:12" hidden="1" x14ac:dyDescent="0.25">
      <c r="D509" s="11"/>
      <c r="E509" s="11"/>
      <c r="F509" s="11"/>
      <c r="G509" s="11"/>
      <c r="H509" s="11"/>
      <c r="I509" s="11"/>
      <c r="J509" s="11"/>
      <c r="K509" s="11"/>
      <c r="L509" s="11"/>
    </row>
    <row r="510" spans="4:12" hidden="1" x14ac:dyDescent="0.25">
      <c r="D510" s="11"/>
      <c r="E510" s="11"/>
      <c r="F510" s="11"/>
      <c r="G510" s="11"/>
      <c r="H510" s="11"/>
      <c r="I510" s="11"/>
      <c r="J510" s="11"/>
      <c r="K510" s="11"/>
      <c r="L510" s="11"/>
    </row>
    <row r="511" spans="4:12" hidden="1" x14ac:dyDescent="0.25">
      <c r="D511" s="11"/>
      <c r="E511" s="11"/>
      <c r="F511" s="11"/>
      <c r="G511" s="11"/>
      <c r="H511" s="11"/>
      <c r="I511" s="11"/>
      <c r="J511" s="11"/>
      <c r="K511" s="11"/>
      <c r="L511" s="11"/>
    </row>
    <row r="512" spans="4:12" hidden="1" x14ac:dyDescent="0.25">
      <c r="D512" s="11"/>
      <c r="E512" s="11"/>
      <c r="F512" s="11"/>
      <c r="G512" s="11"/>
      <c r="H512" s="11"/>
      <c r="I512" s="11"/>
      <c r="J512" s="11"/>
      <c r="K512" s="11"/>
      <c r="L512" s="11"/>
    </row>
    <row r="513" spans="4:12" hidden="1" x14ac:dyDescent="0.25">
      <c r="D513" s="11"/>
      <c r="E513" s="11"/>
      <c r="F513" s="11"/>
      <c r="G513" s="11"/>
      <c r="H513" s="11"/>
      <c r="I513" s="11"/>
      <c r="J513" s="11"/>
      <c r="K513" s="11"/>
      <c r="L513" s="11"/>
    </row>
    <row r="514" spans="4:12" hidden="1" x14ac:dyDescent="0.25">
      <c r="D514" s="11"/>
      <c r="E514" s="11"/>
      <c r="F514" s="11"/>
      <c r="G514" s="11"/>
      <c r="H514" s="11"/>
      <c r="I514" s="11"/>
      <c r="J514" s="11"/>
      <c r="K514" s="11"/>
      <c r="L514" s="11"/>
    </row>
    <row r="515" spans="4:12" hidden="1" x14ac:dyDescent="0.25">
      <c r="D515" s="11"/>
      <c r="E515" s="11"/>
      <c r="F515" s="11"/>
      <c r="G515" s="11"/>
      <c r="H515" s="11"/>
      <c r="I515" s="11"/>
      <c r="J515" s="11"/>
      <c r="K515" s="11"/>
      <c r="L515" s="11"/>
    </row>
    <row r="516" spans="4:12" hidden="1" x14ac:dyDescent="0.25">
      <c r="D516" s="11"/>
      <c r="E516" s="11"/>
      <c r="F516" s="11"/>
      <c r="G516" s="11"/>
      <c r="H516" s="11"/>
      <c r="I516" s="11"/>
      <c r="J516" s="11"/>
      <c r="K516" s="11"/>
      <c r="L516" s="11"/>
    </row>
    <row r="517" spans="4:12" hidden="1" x14ac:dyDescent="0.25">
      <c r="D517" s="11"/>
      <c r="E517" s="11"/>
      <c r="F517" s="11"/>
      <c r="G517" s="11"/>
      <c r="H517" s="11"/>
      <c r="I517" s="11"/>
      <c r="J517" s="11"/>
      <c r="K517" s="11"/>
      <c r="L517" s="11"/>
    </row>
    <row r="518" spans="4:12" hidden="1" x14ac:dyDescent="0.25">
      <c r="D518" s="11"/>
      <c r="E518" s="11"/>
      <c r="F518" s="11"/>
      <c r="G518" s="11"/>
      <c r="H518" s="11"/>
      <c r="I518" s="11"/>
      <c r="J518" s="11"/>
      <c r="K518" s="11"/>
      <c r="L518" s="11"/>
    </row>
    <row r="519" spans="4:12" hidden="1" x14ac:dyDescent="0.25">
      <c r="D519" s="11"/>
      <c r="E519" s="11"/>
      <c r="F519" s="11"/>
      <c r="G519" s="11"/>
      <c r="H519" s="11"/>
      <c r="I519" s="11"/>
      <c r="J519" s="11"/>
      <c r="K519" s="11"/>
      <c r="L519" s="11"/>
    </row>
    <row r="520" spans="4:12" hidden="1" x14ac:dyDescent="0.25">
      <c r="D520" s="11"/>
      <c r="E520" s="11"/>
      <c r="F520" s="11"/>
      <c r="G520" s="11"/>
      <c r="H520" s="11"/>
      <c r="I520" s="11"/>
      <c r="J520" s="11"/>
      <c r="K520" s="11"/>
      <c r="L520" s="11"/>
    </row>
    <row r="521" spans="4:12" hidden="1" x14ac:dyDescent="0.25">
      <c r="D521" s="11"/>
      <c r="E521" s="11"/>
      <c r="F521" s="11"/>
      <c r="G521" s="11"/>
      <c r="H521" s="11"/>
      <c r="I521" s="11"/>
      <c r="J521" s="11"/>
      <c r="K521" s="11"/>
      <c r="L521" s="11"/>
    </row>
    <row r="522" spans="4:12" hidden="1" x14ac:dyDescent="0.25">
      <c r="D522" s="11"/>
      <c r="E522" s="11"/>
      <c r="F522" s="11"/>
      <c r="G522" s="11"/>
      <c r="H522" s="11"/>
      <c r="I522" s="11"/>
      <c r="J522" s="11"/>
      <c r="K522" s="11"/>
      <c r="L522" s="11"/>
    </row>
    <row r="523" spans="4:12" hidden="1" x14ac:dyDescent="0.25">
      <c r="D523" s="11"/>
      <c r="E523" s="11"/>
      <c r="F523" s="11"/>
      <c r="G523" s="11"/>
      <c r="H523" s="11"/>
      <c r="I523" s="11"/>
      <c r="J523" s="11"/>
      <c r="K523" s="11"/>
      <c r="L523" s="11"/>
    </row>
    <row r="524" spans="4:12" hidden="1" x14ac:dyDescent="0.25">
      <c r="D524" s="11"/>
      <c r="E524" s="11"/>
      <c r="F524" s="11"/>
      <c r="G524" s="11"/>
      <c r="H524" s="11"/>
      <c r="I524" s="11"/>
      <c r="J524" s="11"/>
      <c r="K524" s="11"/>
      <c r="L524" s="11"/>
    </row>
    <row r="525" spans="4:12" hidden="1" x14ac:dyDescent="0.25">
      <c r="D525" s="11"/>
      <c r="E525" s="11"/>
      <c r="F525" s="11"/>
      <c r="G525" s="11"/>
      <c r="H525" s="11"/>
      <c r="I525" s="11"/>
      <c r="J525" s="11"/>
      <c r="K525" s="11"/>
      <c r="L525" s="11"/>
    </row>
    <row r="526" spans="4:12" hidden="1" x14ac:dyDescent="0.25">
      <c r="D526" s="11"/>
      <c r="E526" s="11"/>
      <c r="F526" s="11"/>
      <c r="G526" s="11"/>
      <c r="H526" s="11"/>
      <c r="I526" s="11"/>
      <c r="J526" s="11"/>
      <c r="K526" s="11"/>
      <c r="L526" s="11"/>
    </row>
    <row r="527" spans="4:12" hidden="1" x14ac:dyDescent="0.25">
      <c r="D527" s="11"/>
      <c r="E527" s="11"/>
      <c r="F527" s="11"/>
      <c r="G527" s="11"/>
      <c r="H527" s="11"/>
      <c r="I527" s="11"/>
      <c r="J527" s="11"/>
      <c r="K527" s="11"/>
      <c r="L527" s="11"/>
    </row>
    <row r="528" spans="4:12" hidden="1" x14ac:dyDescent="0.25">
      <c r="D528" s="11"/>
      <c r="E528" s="11"/>
      <c r="F528" s="11"/>
      <c r="G528" s="11"/>
      <c r="H528" s="11"/>
      <c r="I528" s="11"/>
      <c r="J528" s="11"/>
      <c r="K528" s="11"/>
      <c r="L528" s="11"/>
    </row>
    <row r="529" spans="4:12" hidden="1" x14ac:dyDescent="0.25">
      <c r="D529" s="11"/>
      <c r="E529" s="11"/>
      <c r="F529" s="11"/>
      <c r="G529" s="11"/>
      <c r="H529" s="11"/>
      <c r="I529" s="11"/>
      <c r="J529" s="11"/>
      <c r="K529" s="11"/>
      <c r="L529" s="11"/>
    </row>
    <row r="530" spans="4:12" hidden="1" x14ac:dyDescent="0.25">
      <c r="D530" s="11"/>
      <c r="E530" s="11"/>
      <c r="F530" s="11"/>
      <c r="G530" s="11"/>
      <c r="H530" s="11"/>
      <c r="I530" s="11"/>
      <c r="J530" s="11"/>
      <c r="K530" s="11"/>
      <c r="L530" s="11"/>
    </row>
    <row r="531" spans="4:12" hidden="1" x14ac:dyDescent="0.25">
      <c r="D531" s="11"/>
      <c r="E531" s="11"/>
      <c r="F531" s="11"/>
      <c r="G531" s="11"/>
      <c r="H531" s="11"/>
      <c r="I531" s="11"/>
      <c r="J531" s="11"/>
      <c r="K531" s="11"/>
      <c r="L531" s="11"/>
    </row>
    <row r="532" spans="4:12" hidden="1" x14ac:dyDescent="0.25">
      <c r="D532" s="11"/>
      <c r="E532" s="11"/>
      <c r="F532" s="11"/>
      <c r="G532" s="11"/>
      <c r="H532" s="11"/>
      <c r="I532" s="11"/>
      <c r="J532" s="11"/>
      <c r="K532" s="11"/>
      <c r="L532" s="11"/>
    </row>
    <row r="533" spans="4:12" hidden="1" x14ac:dyDescent="0.25">
      <c r="D533" s="11"/>
      <c r="E533" s="11"/>
      <c r="F533" s="11"/>
      <c r="G533" s="11"/>
      <c r="H533" s="11"/>
      <c r="I533" s="11"/>
      <c r="J533" s="11"/>
      <c r="K533" s="11"/>
      <c r="L533" s="11"/>
    </row>
    <row r="534" spans="4:12" hidden="1" x14ac:dyDescent="0.25">
      <c r="D534" s="11"/>
      <c r="E534" s="11"/>
      <c r="F534" s="11"/>
      <c r="G534" s="11"/>
      <c r="H534" s="11"/>
      <c r="I534" s="11"/>
      <c r="J534" s="11"/>
      <c r="K534" s="11"/>
      <c r="L534" s="11"/>
    </row>
    <row r="535" spans="4:12" hidden="1" x14ac:dyDescent="0.25">
      <c r="D535" s="11"/>
      <c r="E535" s="11"/>
      <c r="F535" s="11"/>
      <c r="G535" s="11"/>
      <c r="H535" s="11"/>
      <c r="I535" s="11"/>
      <c r="J535" s="11"/>
      <c r="K535" s="11"/>
      <c r="L535" s="11"/>
    </row>
    <row r="536" spans="4:12" hidden="1" x14ac:dyDescent="0.25">
      <c r="D536" s="11"/>
      <c r="E536" s="11"/>
      <c r="F536" s="11"/>
      <c r="G536" s="11"/>
      <c r="H536" s="11"/>
      <c r="I536" s="11"/>
      <c r="J536" s="11"/>
      <c r="K536" s="11"/>
      <c r="L536" s="11"/>
    </row>
    <row r="537" spans="4:12" hidden="1" x14ac:dyDescent="0.25">
      <c r="D537" s="11"/>
      <c r="E537" s="11"/>
      <c r="F537" s="11"/>
      <c r="G537" s="11"/>
      <c r="H537" s="11"/>
      <c r="I537" s="11"/>
      <c r="J537" s="11"/>
      <c r="K537" s="11"/>
      <c r="L537" s="11"/>
    </row>
    <row r="538" spans="4:12" hidden="1" x14ac:dyDescent="0.25">
      <c r="D538" s="11"/>
      <c r="E538" s="11"/>
      <c r="F538" s="11"/>
      <c r="G538" s="11"/>
      <c r="H538" s="11"/>
      <c r="I538" s="11"/>
      <c r="J538" s="11"/>
      <c r="K538" s="11"/>
      <c r="L538" s="11"/>
    </row>
    <row r="539" spans="4:12" hidden="1" x14ac:dyDescent="0.25">
      <c r="D539" s="11"/>
      <c r="E539" s="11"/>
      <c r="F539" s="11"/>
      <c r="G539" s="11"/>
      <c r="H539" s="11"/>
      <c r="I539" s="11"/>
      <c r="J539" s="11"/>
      <c r="K539" s="11"/>
      <c r="L539" s="11"/>
    </row>
    <row r="540" spans="4:12" hidden="1" x14ac:dyDescent="0.25">
      <c r="D540" s="11"/>
      <c r="E540" s="11"/>
      <c r="F540" s="11"/>
      <c r="G540" s="11"/>
      <c r="H540" s="11"/>
      <c r="I540" s="11"/>
      <c r="J540" s="11"/>
      <c r="K540" s="11"/>
      <c r="L540" s="11"/>
    </row>
    <row r="541" spans="4:12" hidden="1" x14ac:dyDescent="0.25">
      <c r="D541" s="11"/>
      <c r="E541" s="11"/>
      <c r="F541" s="11"/>
      <c r="G541" s="11"/>
      <c r="H541" s="11"/>
      <c r="I541" s="11"/>
      <c r="J541" s="11"/>
      <c r="K541" s="11"/>
      <c r="L541" s="11"/>
    </row>
    <row r="542" spans="4:12" hidden="1" x14ac:dyDescent="0.25">
      <c r="D542" s="11"/>
      <c r="E542" s="11"/>
      <c r="F542" s="11"/>
      <c r="G542" s="11"/>
      <c r="H542" s="11"/>
      <c r="I542" s="11"/>
      <c r="J542" s="11"/>
      <c r="K542" s="11"/>
      <c r="L542" s="11"/>
    </row>
    <row r="543" spans="4:12" hidden="1" x14ac:dyDescent="0.25">
      <c r="D543" s="11"/>
      <c r="E543" s="11"/>
      <c r="F543" s="11"/>
      <c r="G543" s="11"/>
      <c r="H543" s="11"/>
      <c r="I543" s="11"/>
      <c r="J543" s="11"/>
      <c r="K543" s="11"/>
      <c r="L543" s="11"/>
    </row>
    <row r="544" spans="4:12" hidden="1" x14ac:dyDescent="0.25">
      <c r="D544" s="11"/>
      <c r="E544" s="11"/>
      <c r="F544" s="11"/>
      <c r="G544" s="11"/>
      <c r="H544" s="11"/>
      <c r="I544" s="11"/>
      <c r="J544" s="11"/>
      <c r="K544" s="11"/>
      <c r="L544" s="11"/>
    </row>
    <row r="545" spans="4:12" hidden="1" x14ac:dyDescent="0.25">
      <c r="D545" s="11"/>
      <c r="E545" s="11"/>
      <c r="F545" s="11"/>
      <c r="G545" s="11"/>
      <c r="H545" s="11"/>
      <c r="I545" s="11"/>
      <c r="J545" s="11"/>
      <c r="K545" s="11"/>
      <c r="L545" s="11"/>
    </row>
    <row r="546" spans="4:12" hidden="1" x14ac:dyDescent="0.25">
      <c r="D546" s="11"/>
      <c r="E546" s="11"/>
      <c r="F546" s="11"/>
      <c r="G546" s="11"/>
      <c r="H546" s="11"/>
      <c r="I546" s="11"/>
      <c r="J546" s="11"/>
      <c r="K546" s="11"/>
      <c r="L546" s="11"/>
    </row>
    <row r="547" spans="4:12" hidden="1" x14ac:dyDescent="0.25">
      <c r="D547" s="11"/>
      <c r="E547" s="11"/>
      <c r="F547" s="11"/>
      <c r="G547" s="11"/>
      <c r="H547" s="11"/>
      <c r="I547" s="11"/>
      <c r="J547" s="11"/>
      <c r="K547" s="11"/>
      <c r="L547" s="11"/>
    </row>
    <row r="548" spans="4:12" hidden="1" x14ac:dyDescent="0.25">
      <c r="D548" s="11"/>
      <c r="E548" s="11"/>
      <c r="F548" s="11"/>
      <c r="G548" s="11"/>
      <c r="H548" s="11"/>
      <c r="I548" s="11"/>
      <c r="J548" s="11"/>
      <c r="K548" s="11"/>
      <c r="L548" s="11"/>
    </row>
    <row r="549" spans="4:12" hidden="1" x14ac:dyDescent="0.25">
      <c r="D549" s="11"/>
      <c r="E549" s="11"/>
      <c r="F549" s="11"/>
      <c r="G549" s="11"/>
      <c r="H549" s="11"/>
      <c r="I549" s="11"/>
      <c r="J549" s="11"/>
      <c r="K549" s="11"/>
      <c r="L549" s="11"/>
    </row>
    <row r="550" spans="4:12" hidden="1" x14ac:dyDescent="0.25">
      <c r="D550" s="11"/>
      <c r="E550" s="11"/>
      <c r="F550" s="11"/>
      <c r="G550" s="11"/>
      <c r="H550" s="11"/>
      <c r="I550" s="11"/>
      <c r="J550" s="11"/>
      <c r="K550" s="11"/>
      <c r="L550" s="11"/>
    </row>
    <row r="551" spans="4:12" hidden="1" x14ac:dyDescent="0.25">
      <c r="D551" s="11"/>
      <c r="E551" s="11"/>
      <c r="F551" s="11"/>
      <c r="G551" s="11"/>
      <c r="H551" s="11"/>
      <c r="I551" s="11"/>
      <c r="J551" s="11"/>
      <c r="K551" s="11"/>
      <c r="L551" s="11"/>
    </row>
    <row r="552" spans="4:12" hidden="1" x14ac:dyDescent="0.25">
      <c r="D552" s="11"/>
      <c r="E552" s="11"/>
      <c r="F552" s="11"/>
      <c r="G552" s="11"/>
      <c r="H552" s="11"/>
      <c r="I552" s="11"/>
      <c r="J552" s="11"/>
      <c r="K552" s="11"/>
      <c r="L552" s="11"/>
    </row>
    <row r="553" spans="4:12" hidden="1" x14ac:dyDescent="0.25">
      <c r="D553" s="11"/>
      <c r="E553" s="11"/>
      <c r="F553" s="11"/>
      <c r="G553" s="11"/>
      <c r="H553" s="11"/>
      <c r="I553" s="11"/>
      <c r="J553" s="11"/>
      <c r="K553" s="11"/>
      <c r="L553" s="11"/>
    </row>
    <row r="554" spans="4:12" hidden="1" x14ac:dyDescent="0.25">
      <c r="D554" s="11"/>
      <c r="E554" s="11"/>
      <c r="F554" s="11"/>
      <c r="G554" s="11"/>
      <c r="H554" s="11"/>
      <c r="I554" s="11"/>
      <c r="J554" s="11"/>
      <c r="K554" s="11"/>
      <c r="L554" s="11"/>
    </row>
    <row r="555" spans="4:12" hidden="1" x14ac:dyDescent="0.25">
      <c r="D555" s="11"/>
      <c r="E555" s="11"/>
      <c r="F555" s="11"/>
      <c r="G555" s="11"/>
      <c r="H555" s="11"/>
      <c r="I555" s="11"/>
      <c r="J555" s="11"/>
      <c r="K555" s="11"/>
      <c r="L555" s="11"/>
    </row>
    <row r="556" spans="4:12" hidden="1" x14ac:dyDescent="0.25">
      <c r="D556" s="11"/>
      <c r="E556" s="11"/>
      <c r="F556" s="11"/>
      <c r="G556" s="11"/>
      <c r="H556" s="11"/>
      <c r="I556" s="11"/>
      <c r="J556" s="11"/>
      <c r="K556" s="11"/>
      <c r="L556" s="11"/>
    </row>
    <row r="557" spans="4:12" hidden="1" x14ac:dyDescent="0.25">
      <c r="D557" s="11"/>
      <c r="E557" s="11"/>
      <c r="F557" s="11"/>
      <c r="G557" s="11"/>
      <c r="H557" s="11"/>
      <c r="I557" s="11"/>
      <c r="J557" s="11"/>
      <c r="K557" s="11"/>
      <c r="L557" s="11"/>
    </row>
    <row r="558" spans="4:12" hidden="1" x14ac:dyDescent="0.25">
      <c r="D558" s="11"/>
      <c r="E558" s="11"/>
      <c r="F558" s="11"/>
      <c r="G558" s="11"/>
      <c r="H558" s="11"/>
      <c r="I558" s="11"/>
      <c r="J558" s="11"/>
      <c r="K558" s="11"/>
      <c r="L558" s="11"/>
    </row>
    <row r="559" spans="4:12" hidden="1" x14ac:dyDescent="0.25">
      <c r="D559" s="11"/>
      <c r="E559" s="11"/>
      <c r="F559" s="11"/>
      <c r="G559" s="11"/>
      <c r="H559" s="11"/>
      <c r="I559" s="11"/>
      <c r="J559" s="11"/>
      <c r="K559" s="11"/>
      <c r="L559" s="11"/>
    </row>
    <row r="560" spans="4:12" hidden="1" x14ac:dyDescent="0.25">
      <c r="D560" s="11"/>
      <c r="E560" s="11"/>
      <c r="F560" s="11"/>
      <c r="G560" s="11"/>
      <c r="H560" s="11"/>
      <c r="I560" s="11"/>
      <c r="J560" s="11"/>
      <c r="K560" s="11"/>
      <c r="L560" s="11"/>
    </row>
    <row r="561" spans="4:12" hidden="1" x14ac:dyDescent="0.25">
      <c r="D561" s="11"/>
      <c r="E561" s="11"/>
      <c r="F561" s="11"/>
      <c r="G561" s="11"/>
      <c r="H561" s="11"/>
      <c r="I561" s="11"/>
      <c r="J561" s="11"/>
      <c r="K561" s="11"/>
      <c r="L561" s="11"/>
    </row>
    <row r="562" spans="4:12" hidden="1" x14ac:dyDescent="0.25">
      <c r="D562" s="11"/>
      <c r="E562" s="11"/>
      <c r="F562" s="11"/>
      <c r="G562" s="11"/>
      <c r="H562" s="11"/>
      <c r="I562" s="11"/>
      <c r="J562" s="11"/>
      <c r="K562" s="11"/>
      <c r="L562" s="11"/>
    </row>
    <row r="563" spans="4:12" hidden="1" x14ac:dyDescent="0.25">
      <c r="D563" s="11"/>
      <c r="E563" s="11"/>
      <c r="F563" s="11"/>
      <c r="G563" s="11"/>
      <c r="H563" s="11"/>
      <c r="I563" s="11"/>
      <c r="J563" s="11"/>
      <c r="K563" s="11"/>
      <c r="L563" s="11"/>
    </row>
    <row r="564" spans="4:12" hidden="1" x14ac:dyDescent="0.25">
      <c r="D564" s="11"/>
      <c r="E564" s="11"/>
      <c r="F564" s="11"/>
      <c r="G564" s="11"/>
      <c r="H564" s="11"/>
      <c r="I564" s="11"/>
      <c r="J564" s="11"/>
      <c r="K564" s="11"/>
      <c r="L564" s="11"/>
    </row>
    <row r="565" spans="4:12" hidden="1" x14ac:dyDescent="0.25">
      <c r="D565" s="11"/>
      <c r="E565" s="11"/>
      <c r="F565" s="11"/>
      <c r="G565" s="11"/>
      <c r="H565" s="11"/>
      <c r="I565" s="11"/>
      <c r="J565" s="11"/>
      <c r="K565" s="11"/>
      <c r="L565" s="11"/>
    </row>
    <row r="566" spans="4:12" hidden="1" x14ac:dyDescent="0.25">
      <c r="D566" s="11"/>
      <c r="E566" s="11"/>
      <c r="F566" s="11"/>
      <c r="G566" s="11"/>
      <c r="H566" s="11"/>
      <c r="I566" s="11"/>
      <c r="J566" s="11"/>
      <c r="K566" s="11"/>
      <c r="L566" s="11"/>
    </row>
    <row r="567" spans="4:12" hidden="1" x14ac:dyDescent="0.25">
      <c r="D567" s="11"/>
      <c r="E567" s="11"/>
      <c r="F567" s="11"/>
      <c r="G567" s="11"/>
      <c r="H567" s="11"/>
      <c r="I567" s="11"/>
      <c r="J567" s="11"/>
      <c r="K567" s="11"/>
      <c r="L567" s="11"/>
    </row>
    <row r="568" spans="4:12" hidden="1" x14ac:dyDescent="0.25">
      <c r="D568" s="11"/>
      <c r="E568" s="11"/>
      <c r="F568" s="11"/>
      <c r="G568" s="11"/>
      <c r="H568" s="11"/>
      <c r="I568" s="11"/>
      <c r="J568" s="11"/>
      <c r="K568" s="11"/>
      <c r="L568" s="11"/>
    </row>
    <row r="569" spans="4:12" hidden="1" x14ac:dyDescent="0.25">
      <c r="D569" s="11"/>
      <c r="E569" s="11"/>
      <c r="F569" s="11"/>
      <c r="G569" s="11"/>
      <c r="H569" s="11"/>
      <c r="I569" s="11"/>
      <c r="J569" s="11"/>
      <c r="K569" s="11"/>
      <c r="L569" s="11"/>
    </row>
    <row r="570" spans="4:12" hidden="1" x14ac:dyDescent="0.25">
      <c r="D570" s="11"/>
      <c r="E570" s="11"/>
      <c r="F570" s="11"/>
      <c r="G570" s="11"/>
      <c r="H570" s="11"/>
      <c r="I570" s="11"/>
      <c r="J570" s="11"/>
      <c r="K570" s="11"/>
      <c r="L570" s="11"/>
    </row>
    <row r="571" spans="4:12" hidden="1" x14ac:dyDescent="0.25">
      <c r="D571" s="11"/>
      <c r="E571" s="11"/>
      <c r="F571" s="11"/>
      <c r="G571" s="11"/>
      <c r="H571" s="11"/>
      <c r="I571" s="11"/>
      <c r="J571" s="11"/>
      <c r="K571" s="11"/>
      <c r="L571" s="11"/>
    </row>
    <row r="572" spans="4:12" hidden="1" x14ac:dyDescent="0.25">
      <c r="D572" s="11"/>
      <c r="E572" s="11"/>
      <c r="F572" s="11"/>
      <c r="G572" s="11"/>
      <c r="H572" s="11"/>
      <c r="I572" s="11"/>
      <c r="J572" s="11"/>
      <c r="K572" s="11"/>
      <c r="L572" s="11"/>
    </row>
    <row r="573" spans="4:12" hidden="1" x14ac:dyDescent="0.25">
      <c r="D573" s="11"/>
      <c r="E573" s="11"/>
      <c r="F573" s="11"/>
      <c r="G573" s="11"/>
      <c r="H573" s="11"/>
      <c r="I573" s="11"/>
      <c r="J573" s="11"/>
      <c r="K573" s="11"/>
      <c r="L573" s="11"/>
    </row>
    <row r="574" spans="4:12" hidden="1" x14ac:dyDescent="0.25">
      <c r="D574" s="11"/>
      <c r="E574" s="11"/>
      <c r="F574" s="11"/>
      <c r="G574" s="11"/>
      <c r="H574" s="11"/>
      <c r="I574" s="11"/>
      <c r="J574" s="11"/>
      <c r="K574" s="11"/>
      <c r="L574" s="11"/>
    </row>
    <row r="575" spans="4:12" hidden="1" x14ac:dyDescent="0.25">
      <c r="D575" s="11"/>
      <c r="E575" s="11"/>
      <c r="F575" s="11"/>
      <c r="G575" s="11"/>
      <c r="H575" s="11"/>
      <c r="I575" s="11"/>
      <c r="J575" s="11"/>
      <c r="K575" s="11"/>
      <c r="L575" s="11"/>
    </row>
    <row r="576" spans="4:12" hidden="1" x14ac:dyDescent="0.25">
      <c r="D576" s="11"/>
      <c r="E576" s="11"/>
      <c r="F576" s="11"/>
      <c r="G576" s="11"/>
      <c r="H576" s="11"/>
      <c r="I576" s="11"/>
      <c r="J576" s="11"/>
      <c r="K576" s="11"/>
      <c r="L576" s="11"/>
    </row>
    <row r="577" spans="4:12" hidden="1" x14ac:dyDescent="0.25">
      <c r="D577" s="11"/>
      <c r="E577" s="11"/>
      <c r="F577" s="11"/>
      <c r="G577" s="11"/>
      <c r="H577" s="11"/>
      <c r="I577" s="11"/>
      <c r="J577" s="11"/>
      <c r="K577" s="11"/>
      <c r="L577" s="11"/>
    </row>
    <row r="578" spans="4:12" hidden="1" x14ac:dyDescent="0.25">
      <c r="D578" s="11"/>
      <c r="E578" s="11"/>
      <c r="F578" s="11"/>
      <c r="G578" s="11"/>
      <c r="H578" s="11"/>
      <c r="I578" s="11"/>
      <c r="J578" s="11"/>
      <c r="K578" s="11"/>
      <c r="L578" s="11"/>
    </row>
    <row r="579" spans="4:12" hidden="1" x14ac:dyDescent="0.25">
      <c r="D579" s="11"/>
      <c r="E579" s="11"/>
      <c r="F579" s="11"/>
      <c r="G579" s="11"/>
      <c r="H579" s="11"/>
      <c r="I579" s="11"/>
      <c r="J579" s="11"/>
      <c r="K579" s="11"/>
      <c r="L579" s="11"/>
    </row>
    <row r="580" spans="4:12" hidden="1" x14ac:dyDescent="0.25">
      <c r="D580" s="11"/>
      <c r="E580" s="11"/>
      <c r="F580" s="11"/>
      <c r="G580" s="11"/>
      <c r="H580" s="11"/>
      <c r="I580" s="11"/>
      <c r="J580" s="11"/>
      <c r="K580" s="11"/>
      <c r="L580" s="11"/>
    </row>
    <row r="581" spans="4:12" hidden="1" x14ac:dyDescent="0.25">
      <c r="D581" s="11"/>
      <c r="E581" s="11"/>
      <c r="F581" s="11"/>
      <c r="G581" s="11"/>
      <c r="H581" s="11"/>
      <c r="I581" s="11"/>
      <c r="J581" s="11"/>
      <c r="K581" s="11"/>
      <c r="L581" s="11"/>
    </row>
    <row r="582" spans="4:12" hidden="1" x14ac:dyDescent="0.25">
      <c r="D582" s="11"/>
      <c r="E582" s="11"/>
      <c r="F582" s="11"/>
      <c r="G582" s="11"/>
      <c r="H582" s="11"/>
      <c r="I582" s="11"/>
      <c r="J582" s="11"/>
      <c r="K582" s="11"/>
      <c r="L582" s="11"/>
    </row>
    <row r="583" spans="4:12" hidden="1" x14ac:dyDescent="0.25">
      <c r="D583" s="11"/>
      <c r="E583" s="11"/>
      <c r="F583" s="11"/>
      <c r="G583" s="11"/>
      <c r="H583" s="11"/>
      <c r="I583" s="11"/>
      <c r="J583" s="11"/>
      <c r="K583" s="11"/>
      <c r="L583" s="11"/>
    </row>
    <row r="584" spans="4:12" hidden="1" x14ac:dyDescent="0.25">
      <c r="D584" s="11"/>
      <c r="E584" s="11"/>
      <c r="F584" s="11"/>
      <c r="G584" s="11"/>
      <c r="H584" s="11"/>
      <c r="I584" s="11"/>
      <c r="J584" s="11"/>
      <c r="K584" s="11"/>
      <c r="L584" s="11"/>
    </row>
    <row r="585" spans="4:12" hidden="1" x14ac:dyDescent="0.25">
      <c r="D585" s="11"/>
      <c r="E585" s="11"/>
      <c r="F585" s="11"/>
      <c r="G585" s="11"/>
      <c r="H585" s="11"/>
      <c r="I585" s="11"/>
      <c r="J585" s="11"/>
      <c r="K585" s="11"/>
      <c r="L585" s="11"/>
    </row>
    <row r="586" spans="4:12" hidden="1" x14ac:dyDescent="0.25">
      <c r="D586" s="11"/>
      <c r="E586" s="11"/>
      <c r="F586" s="11"/>
      <c r="G586" s="11"/>
      <c r="H586" s="11"/>
      <c r="I586" s="11"/>
      <c r="J586" s="11"/>
      <c r="K586" s="11"/>
      <c r="L586" s="11"/>
    </row>
    <row r="587" spans="4:12" hidden="1" x14ac:dyDescent="0.25">
      <c r="D587" s="11"/>
      <c r="E587" s="11"/>
      <c r="F587" s="11"/>
      <c r="G587" s="11"/>
      <c r="H587" s="11"/>
      <c r="I587" s="11"/>
      <c r="J587" s="11"/>
      <c r="K587" s="11"/>
      <c r="L587" s="11"/>
    </row>
    <row r="588" spans="4:12" hidden="1" x14ac:dyDescent="0.25">
      <c r="D588" s="11"/>
      <c r="E588" s="11"/>
      <c r="F588" s="11"/>
      <c r="G588" s="11"/>
      <c r="H588" s="11"/>
      <c r="I588" s="11"/>
      <c r="J588" s="11"/>
      <c r="K588" s="11"/>
      <c r="L588" s="11"/>
    </row>
    <row r="589" spans="4:12" hidden="1" x14ac:dyDescent="0.25">
      <c r="D589" s="11"/>
      <c r="E589" s="11"/>
      <c r="F589" s="11"/>
      <c r="G589" s="11"/>
      <c r="H589" s="11"/>
      <c r="I589" s="11"/>
      <c r="J589" s="11"/>
      <c r="K589" s="11"/>
      <c r="L589" s="11"/>
    </row>
    <row r="590" spans="4:12" hidden="1" x14ac:dyDescent="0.25">
      <c r="D590" s="11"/>
      <c r="E590" s="11"/>
      <c r="F590" s="11"/>
      <c r="G590" s="11"/>
      <c r="H590" s="11"/>
      <c r="I590" s="11"/>
      <c r="J590" s="11"/>
      <c r="K590" s="11"/>
      <c r="L590" s="11"/>
    </row>
    <row r="591" spans="4:12" hidden="1" x14ac:dyDescent="0.25">
      <c r="D591" s="11"/>
      <c r="E591" s="11"/>
      <c r="F591" s="11"/>
      <c r="G591" s="11"/>
      <c r="H591" s="11"/>
      <c r="I591" s="11"/>
      <c r="J591" s="11"/>
      <c r="K591" s="11"/>
      <c r="L591" s="11"/>
    </row>
    <row r="592" spans="4:12" hidden="1" x14ac:dyDescent="0.25">
      <c r="D592" s="11"/>
      <c r="E592" s="11"/>
      <c r="F592" s="11"/>
      <c r="G592" s="11"/>
      <c r="H592" s="11"/>
      <c r="I592" s="11"/>
      <c r="J592" s="11"/>
      <c r="K592" s="11"/>
      <c r="L592" s="11"/>
    </row>
    <row r="593" spans="4:12" hidden="1" x14ac:dyDescent="0.25">
      <c r="D593" s="11"/>
      <c r="E593" s="11"/>
      <c r="F593" s="11"/>
      <c r="G593" s="11"/>
      <c r="H593" s="11"/>
      <c r="I593" s="11"/>
      <c r="J593" s="11"/>
      <c r="K593" s="11"/>
      <c r="L593" s="11"/>
    </row>
    <row r="594" spans="4:12" hidden="1" x14ac:dyDescent="0.25">
      <c r="D594" s="11"/>
      <c r="E594" s="11"/>
      <c r="F594" s="11"/>
      <c r="G594" s="11"/>
      <c r="H594" s="11"/>
      <c r="I594" s="11"/>
      <c r="J594" s="11"/>
      <c r="K594" s="11"/>
      <c r="L594" s="11"/>
    </row>
    <row r="595" spans="4:12" hidden="1" x14ac:dyDescent="0.25">
      <c r="D595" s="11"/>
      <c r="E595" s="11"/>
      <c r="F595" s="11"/>
      <c r="G595" s="11"/>
      <c r="H595" s="11"/>
      <c r="I595" s="11"/>
      <c r="J595" s="11"/>
      <c r="K595" s="11"/>
      <c r="L595" s="11"/>
    </row>
    <row r="596" spans="4:12" hidden="1" x14ac:dyDescent="0.25">
      <c r="D596" s="11"/>
      <c r="E596" s="11"/>
      <c r="F596" s="11"/>
      <c r="G596" s="11"/>
      <c r="H596" s="11"/>
      <c r="I596" s="11"/>
      <c r="J596" s="11"/>
      <c r="K596" s="11"/>
      <c r="L596" s="11"/>
    </row>
    <row r="597" spans="4:12" hidden="1" x14ac:dyDescent="0.25">
      <c r="D597" s="11"/>
      <c r="E597" s="11"/>
      <c r="F597" s="11"/>
      <c r="G597" s="11"/>
      <c r="H597" s="11"/>
      <c r="I597" s="11"/>
      <c r="J597" s="11"/>
      <c r="K597" s="11"/>
      <c r="L597" s="11"/>
    </row>
    <row r="598" spans="4:12" hidden="1" x14ac:dyDescent="0.25">
      <c r="D598" s="11"/>
      <c r="E598" s="11"/>
      <c r="F598" s="11"/>
      <c r="G598" s="11"/>
      <c r="H598" s="11"/>
      <c r="I598" s="11"/>
      <c r="J598" s="11"/>
      <c r="K598" s="11"/>
      <c r="L598" s="11"/>
    </row>
    <row r="599" spans="4:12" hidden="1" x14ac:dyDescent="0.25">
      <c r="D599" s="11"/>
      <c r="E599" s="11"/>
      <c r="F599" s="11"/>
      <c r="G599" s="11"/>
      <c r="H599" s="11"/>
      <c r="I599" s="11"/>
      <c r="J599" s="11"/>
      <c r="K599" s="11"/>
      <c r="L599" s="11"/>
    </row>
    <row r="600" spans="4:12" hidden="1" x14ac:dyDescent="0.25">
      <c r="D600" s="11"/>
      <c r="E600" s="11"/>
      <c r="F600" s="11"/>
      <c r="G600" s="11"/>
      <c r="H600" s="11"/>
      <c r="I600" s="11"/>
      <c r="J600" s="11"/>
      <c r="K600" s="11"/>
      <c r="L600" s="11"/>
    </row>
    <row r="601" spans="4:12" hidden="1" x14ac:dyDescent="0.25">
      <c r="D601" s="11"/>
      <c r="E601" s="11"/>
      <c r="F601" s="11"/>
      <c r="G601" s="11"/>
      <c r="H601" s="11"/>
      <c r="I601" s="11"/>
      <c r="J601" s="11"/>
      <c r="K601" s="11"/>
      <c r="L601" s="11"/>
    </row>
    <row r="602" spans="4:12" hidden="1" x14ac:dyDescent="0.25">
      <c r="D602" s="11"/>
      <c r="E602" s="11"/>
      <c r="F602" s="11"/>
      <c r="G602" s="11"/>
      <c r="H602" s="11"/>
      <c r="I602" s="11"/>
      <c r="J602" s="11"/>
      <c r="K602" s="11"/>
      <c r="L602" s="11"/>
    </row>
    <row r="603" spans="4:12" hidden="1" x14ac:dyDescent="0.25">
      <c r="D603" s="11"/>
      <c r="E603" s="11"/>
      <c r="F603" s="11"/>
      <c r="G603" s="11"/>
      <c r="H603" s="11"/>
      <c r="I603" s="11"/>
      <c r="J603" s="11"/>
      <c r="K603" s="11"/>
      <c r="L603" s="11"/>
    </row>
    <row r="604" spans="4:12" hidden="1" x14ac:dyDescent="0.25">
      <c r="D604" s="11"/>
      <c r="E604" s="11"/>
      <c r="F604" s="11"/>
      <c r="G604" s="11"/>
      <c r="H604" s="11"/>
      <c r="I604" s="11"/>
      <c r="J604" s="11"/>
      <c r="K604" s="11"/>
      <c r="L604" s="11"/>
    </row>
    <row r="605" spans="4:12" hidden="1" x14ac:dyDescent="0.25">
      <c r="D605" s="11"/>
      <c r="E605" s="11"/>
      <c r="F605" s="11"/>
      <c r="G605" s="11"/>
      <c r="H605" s="11"/>
      <c r="I605" s="11"/>
      <c r="J605" s="11"/>
      <c r="K605" s="11"/>
      <c r="L605" s="11"/>
    </row>
    <row r="606" spans="4:12" hidden="1" x14ac:dyDescent="0.25">
      <c r="D606" s="11"/>
      <c r="E606" s="11"/>
      <c r="F606" s="11"/>
      <c r="G606" s="11"/>
      <c r="H606" s="11"/>
      <c r="I606" s="11"/>
      <c r="J606" s="11"/>
      <c r="K606" s="11"/>
      <c r="L606" s="11"/>
    </row>
    <row r="607" spans="4:12" hidden="1" x14ac:dyDescent="0.25">
      <c r="D607" s="11"/>
      <c r="E607" s="11"/>
      <c r="F607" s="11"/>
      <c r="G607" s="11"/>
      <c r="H607" s="11"/>
      <c r="I607" s="11"/>
      <c r="J607" s="11"/>
      <c r="K607" s="11"/>
      <c r="L607" s="11"/>
    </row>
    <row r="608" spans="4:12" hidden="1" x14ac:dyDescent="0.25">
      <c r="D608" s="11"/>
      <c r="E608" s="11"/>
      <c r="F608" s="11"/>
      <c r="G608" s="11"/>
      <c r="H608" s="11"/>
      <c r="I608" s="11"/>
      <c r="J608" s="11"/>
      <c r="K608" s="11"/>
      <c r="L608" s="11"/>
    </row>
    <row r="609" spans="4:12" hidden="1" x14ac:dyDescent="0.25">
      <c r="D609" s="11"/>
      <c r="E609" s="11"/>
      <c r="F609" s="11"/>
      <c r="G609" s="11"/>
      <c r="H609" s="11"/>
      <c r="I609" s="11"/>
      <c r="J609" s="11"/>
      <c r="K609" s="11"/>
      <c r="L609" s="11"/>
    </row>
    <row r="610" spans="4:12" hidden="1" x14ac:dyDescent="0.25">
      <c r="D610" s="11"/>
      <c r="E610" s="11"/>
      <c r="F610" s="11"/>
      <c r="G610" s="11"/>
      <c r="H610" s="11"/>
      <c r="I610" s="11"/>
      <c r="J610" s="11"/>
      <c r="K610" s="11"/>
      <c r="L610" s="11"/>
    </row>
    <row r="611" spans="4:12" hidden="1" x14ac:dyDescent="0.25">
      <c r="D611" s="11"/>
      <c r="E611" s="11"/>
      <c r="F611" s="11"/>
      <c r="G611" s="11"/>
      <c r="H611" s="11"/>
      <c r="I611" s="11"/>
      <c r="J611" s="11"/>
      <c r="K611" s="11"/>
      <c r="L611" s="11"/>
    </row>
    <row r="612" spans="4:12" hidden="1" x14ac:dyDescent="0.25">
      <c r="D612" s="11"/>
      <c r="E612" s="11"/>
      <c r="F612" s="11"/>
      <c r="G612" s="11"/>
      <c r="H612" s="11"/>
      <c r="I612" s="11"/>
      <c r="J612" s="11"/>
      <c r="K612" s="11"/>
      <c r="L612" s="11"/>
    </row>
    <row r="613" spans="4:12" hidden="1" x14ac:dyDescent="0.25">
      <c r="D613" s="11"/>
      <c r="E613" s="11"/>
      <c r="F613" s="11"/>
      <c r="G613" s="11"/>
      <c r="H613" s="11"/>
      <c r="I613" s="11"/>
      <c r="J613" s="11"/>
      <c r="K613" s="11"/>
      <c r="L613" s="11"/>
    </row>
    <row r="614" spans="4:12" hidden="1" x14ac:dyDescent="0.25">
      <c r="D614" s="11"/>
      <c r="E614" s="11"/>
      <c r="F614" s="11"/>
      <c r="G614" s="11"/>
      <c r="H614" s="11"/>
      <c r="I614" s="11"/>
      <c r="J614" s="11"/>
      <c r="K614" s="11"/>
      <c r="L614" s="11"/>
    </row>
    <row r="615" spans="4:12" hidden="1" x14ac:dyDescent="0.25">
      <c r="D615" s="11"/>
      <c r="E615" s="11"/>
      <c r="F615" s="11"/>
      <c r="G615" s="11"/>
      <c r="H615" s="11"/>
      <c r="I615" s="11"/>
      <c r="J615" s="11"/>
      <c r="K615" s="11"/>
      <c r="L615" s="11"/>
    </row>
    <row r="616" spans="4:12" hidden="1" x14ac:dyDescent="0.25">
      <c r="D616" s="11"/>
      <c r="E616" s="11"/>
      <c r="F616" s="11"/>
      <c r="G616" s="11"/>
      <c r="H616" s="11"/>
      <c r="I616" s="11"/>
      <c r="J616" s="11"/>
      <c r="K616" s="11"/>
      <c r="L616" s="11"/>
    </row>
    <row r="617" spans="4:12" hidden="1" x14ac:dyDescent="0.25">
      <c r="D617" s="11"/>
      <c r="E617" s="11"/>
      <c r="F617" s="11"/>
      <c r="G617" s="11"/>
      <c r="H617" s="11"/>
      <c r="I617" s="11"/>
      <c r="J617" s="11"/>
      <c r="K617" s="11"/>
      <c r="L617" s="11"/>
    </row>
    <row r="618" spans="4:12" hidden="1" x14ac:dyDescent="0.25">
      <c r="D618" s="11"/>
      <c r="E618" s="11"/>
      <c r="F618" s="11"/>
      <c r="G618" s="11"/>
      <c r="H618" s="11"/>
      <c r="I618" s="11"/>
      <c r="J618" s="11"/>
      <c r="K618" s="11"/>
      <c r="L618" s="11"/>
    </row>
    <row r="619" spans="4:12" hidden="1" x14ac:dyDescent="0.25">
      <c r="D619" s="11"/>
      <c r="E619" s="11"/>
      <c r="F619" s="11"/>
      <c r="G619" s="11"/>
      <c r="H619" s="11"/>
      <c r="I619" s="11"/>
      <c r="J619" s="11"/>
      <c r="K619" s="11"/>
      <c r="L619" s="11"/>
    </row>
    <row r="620" spans="4:12" hidden="1" x14ac:dyDescent="0.25">
      <c r="D620" s="11"/>
      <c r="E620" s="11"/>
      <c r="F620" s="11"/>
      <c r="G620" s="11"/>
      <c r="H620" s="11"/>
      <c r="I620" s="11"/>
      <c r="J620" s="11"/>
      <c r="K620" s="11"/>
      <c r="L620" s="11"/>
    </row>
    <row r="621" spans="4:12" hidden="1" x14ac:dyDescent="0.25">
      <c r="D621" s="11"/>
      <c r="E621" s="11"/>
      <c r="F621" s="11"/>
      <c r="G621" s="11"/>
      <c r="H621" s="11"/>
      <c r="I621" s="11"/>
      <c r="J621" s="11"/>
      <c r="K621" s="11"/>
      <c r="L621" s="11"/>
    </row>
    <row r="622" spans="4:12" hidden="1" x14ac:dyDescent="0.25">
      <c r="D622" s="11"/>
      <c r="E622" s="11"/>
      <c r="F622" s="11"/>
      <c r="G622" s="11"/>
      <c r="H622" s="11"/>
      <c r="I622" s="11"/>
      <c r="J622" s="11"/>
      <c r="K622" s="11"/>
      <c r="L622" s="11"/>
    </row>
    <row r="623" spans="4:12" hidden="1" x14ac:dyDescent="0.25">
      <c r="D623" s="11"/>
      <c r="E623" s="11"/>
      <c r="F623" s="11"/>
      <c r="G623" s="11"/>
      <c r="H623" s="11"/>
      <c r="I623" s="11"/>
      <c r="J623" s="11"/>
      <c r="K623" s="11"/>
      <c r="L623" s="11"/>
    </row>
    <row r="624" spans="4:12" hidden="1" x14ac:dyDescent="0.25">
      <c r="D624" s="11"/>
      <c r="E624" s="11"/>
      <c r="F624" s="11"/>
      <c r="G624" s="11"/>
      <c r="H624" s="11"/>
      <c r="I624" s="11"/>
      <c r="J624" s="11"/>
      <c r="K624" s="11"/>
      <c r="L624" s="11"/>
    </row>
    <row r="625" spans="4:12" hidden="1" x14ac:dyDescent="0.25">
      <c r="D625" s="11"/>
      <c r="E625" s="11"/>
      <c r="F625" s="11"/>
      <c r="G625" s="11"/>
      <c r="H625" s="11"/>
      <c r="I625" s="11"/>
      <c r="J625" s="11"/>
      <c r="K625" s="11"/>
      <c r="L625" s="11"/>
    </row>
    <row r="626" spans="4:12" hidden="1" x14ac:dyDescent="0.25">
      <c r="D626" s="11"/>
      <c r="E626" s="11"/>
      <c r="F626" s="11"/>
      <c r="G626" s="11"/>
      <c r="H626" s="11"/>
      <c r="I626" s="11"/>
      <c r="J626" s="11"/>
      <c r="K626" s="11"/>
      <c r="L626" s="11"/>
    </row>
    <row r="627" spans="4:12" hidden="1" x14ac:dyDescent="0.25">
      <c r="D627" s="11"/>
      <c r="E627" s="11"/>
      <c r="F627" s="11"/>
      <c r="G627" s="11"/>
      <c r="H627" s="11"/>
      <c r="I627" s="11"/>
      <c r="J627" s="11"/>
      <c r="K627" s="11"/>
      <c r="L627" s="11"/>
    </row>
    <row r="628" spans="4:12" hidden="1" x14ac:dyDescent="0.25">
      <c r="D628" s="11"/>
      <c r="E628" s="11"/>
      <c r="F628" s="11"/>
      <c r="G628" s="11"/>
      <c r="H628" s="11"/>
      <c r="I628" s="11"/>
      <c r="J628" s="11"/>
      <c r="K628" s="11"/>
      <c r="L628" s="11"/>
    </row>
    <row r="629" spans="4:12" hidden="1" x14ac:dyDescent="0.25">
      <c r="D629" s="11"/>
      <c r="E629" s="11"/>
      <c r="F629" s="11"/>
      <c r="G629" s="11"/>
      <c r="H629" s="11"/>
      <c r="I629" s="11"/>
      <c r="J629" s="11"/>
      <c r="K629" s="11"/>
      <c r="L629" s="11"/>
    </row>
    <row r="630" spans="4:12" hidden="1" x14ac:dyDescent="0.25">
      <c r="D630" s="11"/>
      <c r="E630" s="11"/>
      <c r="F630" s="11"/>
      <c r="G630" s="11"/>
      <c r="H630" s="11"/>
      <c r="I630" s="11"/>
      <c r="J630" s="11"/>
      <c r="K630" s="11"/>
      <c r="L630" s="11"/>
    </row>
    <row r="631" spans="4:12" hidden="1" x14ac:dyDescent="0.25">
      <c r="D631" s="11"/>
      <c r="E631" s="11"/>
      <c r="F631" s="11"/>
      <c r="G631" s="11"/>
      <c r="H631" s="11"/>
      <c r="I631" s="11"/>
      <c r="J631" s="11"/>
      <c r="K631" s="11"/>
      <c r="L631" s="11"/>
    </row>
    <row r="632" spans="4:12" hidden="1" x14ac:dyDescent="0.25">
      <c r="D632" s="11"/>
      <c r="E632" s="11"/>
      <c r="F632" s="11"/>
      <c r="G632" s="11"/>
      <c r="H632" s="11"/>
      <c r="I632" s="11"/>
      <c r="J632" s="11"/>
      <c r="K632" s="11"/>
      <c r="L632" s="11"/>
    </row>
    <row r="633" spans="4:12" hidden="1" x14ac:dyDescent="0.25">
      <c r="D633" s="11"/>
      <c r="E633" s="11"/>
      <c r="F633" s="11"/>
      <c r="G633" s="11"/>
      <c r="H633" s="11"/>
      <c r="I633" s="11"/>
      <c r="J633" s="11"/>
      <c r="K633" s="11"/>
      <c r="L633" s="11"/>
    </row>
    <row r="634" spans="4:12" hidden="1" x14ac:dyDescent="0.25">
      <c r="D634" s="11"/>
      <c r="E634" s="11"/>
      <c r="F634" s="11"/>
      <c r="G634" s="11"/>
      <c r="H634" s="11"/>
      <c r="I634" s="11"/>
      <c r="J634" s="11"/>
      <c r="K634" s="11"/>
      <c r="L634" s="11"/>
    </row>
    <row r="635" spans="4:12" hidden="1" x14ac:dyDescent="0.25">
      <c r="D635" s="11"/>
      <c r="E635" s="11"/>
      <c r="F635" s="11"/>
      <c r="G635" s="11"/>
      <c r="H635" s="11"/>
      <c r="I635" s="11"/>
      <c r="J635" s="11"/>
      <c r="K635" s="11"/>
      <c r="L635" s="11"/>
    </row>
    <row r="636" spans="4:12" hidden="1" x14ac:dyDescent="0.25">
      <c r="D636" s="11"/>
      <c r="E636" s="11"/>
      <c r="F636" s="11"/>
      <c r="G636" s="11"/>
      <c r="H636" s="11"/>
      <c r="I636" s="11"/>
      <c r="J636" s="11"/>
      <c r="K636" s="11"/>
      <c r="L636" s="11"/>
    </row>
    <row r="637" spans="4:12" hidden="1" x14ac:dyDescent="0.25">
      <c r="D637" s="11"/>
      <c r="E637" s="11"/>
      <c r="F637" s="11"/>
      <c r="G637" s="11"/>
      <c r="H637" s="11"/>
      <c r="I637" s="11"/>
      <c r="J637" s="11"/>
      <c r="K637" s="11"/>
      <c r="L637" s="11"/>
    </row>
    <row r="638" spans="4:12" hidden="1" x14ac:dyDescent="0.25">
      <c r="D638" s="11"/>
      <c r="E638" s="11"/>
      <c r="F638" s="11"/>
      <c r="G638" s="11"/>
      <c r="H638" s="11"/>
      <c r="I638" s="11"/>
      <c r="J638" s="11"/>
      <c r="K638" s="11"/>
      <c r="L638" s="11"/>
    </row>
    <row r="639" spans="4:12" hidden="1" x14ac:dyDescent="0.25">
      <c r="D639" s="11"/>
      <c r="E639" s="11"/>
      <c r="F639" s="11"/>
      <c r="G639" s="11"/>
      <c r="H639" s="11"/>
      <c r="I639" s="11"/>
      <c r="J639" s="11"/>
      <c r="K639" s="11"/>
      <c r="L639" s="11"/>
    </row>
    <row r="640" spans="4:12" hidden="1" x14ac:dyDescent="0.25">
      <c r="D640" s="11"/>
      <c r="E640" s="11"/>
      <c r="F640" s="11"/>
      <c r="G640" s="11"/>
      <c r="H640" s="11"/>
      <c r="I640" s="11"/>
      <c r="J640" s="11"/>
      <c r="K640" s="11"/>
      <c r="L640" s="11"/>
    </row>
    <row r="641" spans="4:12" hidden="1" x14ac:dyDescent="0.25">
      <c r="D641" s="11"/>
      <c r="E641" s="11"/>
      <c r="F641" s="11"/>
      <c r="G641" s="11"/>
      <c r="H641" s="11"/>
      <c r="I641" s="11"/>
      <c r="J641" s="11"/>
      <c r="K641" s="11"/>
      <c r="L641" s="11"/>
    </row>
    <row r="642" spans="4:12" hidden="1" x14ac:dyDescent="0.25">
      <c r="D642" s="11"/>
      <c r="E642" s="11"/>
      <c r="F642" s="11"/>
      <c r="G642" s="11"/>
      <c r="H642" s="11"/>
      <c r="I642" s="11"/>
      <c r="J642" s="11"/>
      <c r="K642" s="11"/>
      <c r="L642" s="11"/>
    </row>
    <row r="643" spans="4:12" hidden="1" x14ac:dyDescent="0.25">
      <c r="D643" s="11"/>
      <c r="E643" s="11"/>
      <c r="F643" s="11"/>
      <c r="G643" s="11"/>
      <c r="H643" s="11"/>
      <c r="I643" s="11"/>
      <c r="J643" s="11"/>
      <c r="K643" s="11"/>
      <c r="L643" s="11"/>
    </row>
    <row r="644" spans="4:12" hidden="1" x14ac:dyDescent="0.25">
      <c r="D644" s="11"/>
      <c r="E644" s="11"/>
      <c r="F644" s="11"/>
      <c r="G644" s="11"/>
      <c r="H644" s="11"/>
      <c r="I644" s="11"/>
      <c r="J644" s="11"/>
      <c r="K644" s="11"/>
      <c r="L644" s="11"/>
    </row>
    <row r="645" spans="4:12" hidden="1" x14ac:dyDescent="0.25">
      <c r="D645" s="11"/>
      <c r="E645" s="11"/>
      <c r="F645" s="11"/>
      <c r="G645" s="11"/>
      <c r="H645" s="11"/>
      <c r="I645" s="11"/>
      <c r="J645" s="11"/>
      <c r="K645" s="11"/>
      <c r="L645" s="11"/>
    </row>
    <row r="646" spans="4:12" hidden="1" x14ac:dyDescent="0.25">
      <c r="D646" s="11"/>
      <c r="E646" s="11"/>
      <c r="F646" s="11"/>
      <c r="G646" s="11"/>
      <c r="H646" s="11"/>
      <c r="I646" s="11"/>
      <c r="J646" s="11"/>
      <c r="K646" s="11"/>
      <c r="L646" s="11"/>
    </row>
    <row r="647" spans="4:12" hidden="1" x14ac:dyDescent="0.25">
      <c r="D647" s="11"/>
      <c r="E647" s="11"/>
      <c r="F647" s="11"/>
      <c r="G647" s="11"/>
      <c r="H647" s="11"/>
      <c r="I647" s="11"/>
      <c r="J647" s="11"/>
      <c r="K647" s="11"/>
      <c r="L647" s="11"/>
    </row>
    <row r="648" spans="4:12" hidden="1" x14ac:dyDescent="0.25">
      <c r="D648" s="11"/>
      <c r="E648" s="11"/>
      <c r="F648" s="11"/>
      <c r="G648" s="11"/>
      <c r="H648" s="11"/>
      <c r="I648" s="11"/>
      <c r="J648" s="11"/>
      <c r="K648" s="11"/>
      <c r="L648" s="11"/>
    </row>
    <row r="649" spans="4:12" hidden="1" x14ac:dyDescent="0.25">
      <c r="D649" s="11"/>
      <c r="E649" s="11"/>
      <c r="F649" s="11"/>
      <c r="G649" s="11"/>
      <c r="H649" s="11"/>
      <c r="I649" s="11"/>
      <c r="J649" s="11"/>
      <c r="K649" s="11"/>
      <c r="L649" s="11"/>
    </row>
    <row r="650" spans="4:12" hidden="1" x14ac:dyDescent="0.25">
      <c r="D650" s="11"/>
      <c r="E650" s="11"/>
      <c r="F650" s="11"/>
      <c r="G650" s="11"/>
      <c r="H650" s="11"/>
      <c r="I650" s="11"/>
      <c r="J650" s="11"/>
      <c r="K650" s="11"/>
      <c r="L650" s="11"/>
    </row>
    <row r="651" spans="4:12" hidden="1" x14ac:dyDescent="0.25">
      <c r="D651" s="11"/>
      <c r="E651" s="11"/>
      <c r="F651" s="11"/>
      <c r="G651" s="11"/>
      <c r="H651" s="11"/>
      <c r="I651" s="11"/>
      <c r="J651" s="11"/>
      <c r="K651" s="11"/>
      <c r="L651" s="11"/>
    </row>
    <row r="652" spans="4:12" hidden="1" x14ac:dyDescent="0.25">
      <c r="D652" s="11"/>
      <c r="E652" s="11"/>
      <c r="F652" s="11"/>
      <c r="G652" s="11"/>
      <c r="H652" s="11"/>
      <c r="I652" s="11"/>
      <c r="J652" s="11"/>
      <c r="K652" s="11"/>
      <c r="L652" s="11"/>
    </row>
    <row r="653" spans="4:12" hidden="1" x14ac:dyDescent="0.25">
      <c r="D653" s="11"/>
      <c r="E653" s="11"/>
      <c r="F653" s="11"/>
      <c r="G653" s="11"/>
      <c r="H653" s="11"/>
      <c r="I653" s="11"/>
      <c r="J653" s="11"/>
      <c r="K653" s="11"/>
      <c r="L653" s="11"/>
    </row>
    <row r="654" spans="4:12" hidden="1" x14ac:dyDescent="0.25">
      <c r="D654" s="11"/>
      <c r="E654" s="11"/>
      <c r="F654" s="11"/>
      <c r="G654" s="11"/>
      <c r="H654" s="11"/>
      <c r="I654" s="11"/>
      <c r="J654" s="11"/>
      <c r="K654" s="11"/>
      <c r="L654" s="11"/>
    </row>
    <row r="655" spans="4:12" hidden="1" x14ac:dyDescent="0.25">
      <c r="D655" s="11"/>
      <c r="E655" s="11"/>
      <c r="F655" s="11"/>
      <c r="G655" s="11"/>
      <c r="H655" s="11"/>
      <c r="I655" s="11"/>
      <c r="J655" s="11"/>
      <c r="K655" s="11"/>
      <c r="L655" s="11"/>
    </row>
    <row r="656" spans="4:12" hidden="1" x14ac:dyDescent="0.25">
      <c r="D656" s="11"/>
      <c r="E656" s="11"/>
      <c r="F656" s="11"/>
      <c r="G656" s="11"/>
      <c r="H656" s="11"/>
      <c r="I656" s="11"/>
      <c r="J656" s="11"/>
      <c r="K656" s="11"/>
      <c r="L656" s="11"/>
    </row>
    <row r="657" spans="4:12" hidden="1" x14ac:dyDescent="0.25">
      <c r="D657" s="11"/>
      <c r="E657" s="11"/>
      <c r="F657" s="11"/>
      <c r="G657" s="11"/>
      <c r="H657" s="11"/>
      <c r="I657" s="11"/>
      <c r="J657" s="11"/>
      <c r="K657" s="11"/>
      <c r="L657" s="11"/>
    </row>
    <row r="658" spans="4:12" hidden="1" x14ac:dyDescent="0.25">
      <c r="D658" s="11"/>
      <c r="E658" s="11"/>
      <c r="F658" s="11"/>
      <c r="G658" s="11"/>
      <c r="H658" s="11"/>
      <c r="I658" s="11"/>
      <c r="J658" s="11"/>
      <c r="K658" s="11"/>
      <c r="L658" s="11"/>
    </row>
    <row r="659" spans="4:12" hidden="1" x14ac:dyDescent="0.25">
      <c r="D659" s="11"/>
      <c r="E659" s="11"/>
      <c r="F659" s="11"/>
      <c r="G659" s="11"/>
      <c r="H659" s="11"/>
      <c r="I659" s="11"/>
      <c r="J659" s="11"/>
      <c r="K659" s="11"/>
      <c r="L659" s="11"/>
    </row>
    <row r="660" spans="4:12" hidden="1" x14ac:dyDescent="0.25">
      <c r="D660" s="11"/>
      <c r="E660" s="11"/>
      <c r="F660" s="11"/>
      <c r="G660" s="11"/>
      <c r="H660" s="11"/>
      <c r="I660" s="11"/>
      <c r="J660" s="11"/>
      <c r="K660" s="11"/>
      <c r="L660" s="11"/>
    </row>
    <row r="661" spans="4:12" hidden="1" x14ac:dyDescent="0.25">
      <c r="D661" s="11"/>
      <c r="E661" s="11"/>
      <c r="F661" s="11"/>
      <c r="G661" s="11"/>
      <c r="H661" s="11"/>
      <c r="I661" s="11"/>
      <c r="J661" s="11"/>
      <c r="K661" s="11"/>
      <c r="L661" s="11"/>
    </row>
    <row r="662" spans="4:12" hidden="1" x14ac:dyDescent="0.25">
      <c r="D662" s="11"/>
      <c r="E662" s="11"/>
      <c r="F662" s="11"/>
      <c r="G662" s="11"/>
      <c r="H662" s="11"/>
      <c r="I662" s="11"/>
      <c r="J662" s="11"/>
      <c r="K662" s="11"/>
      <c r="L662" s="11"/>
    </row>
    <row r="663" spans="4:12" hidden="1" x14ac:dyDescent="0.25">
      <c r="D663" s="11"/>
      <c r="E663" s="11"/>
      <c r="F663" s="11"/>
      <c r="G663" s="11"/>
      <c r="H663" s="11"/>
      <c r="I663" s="11"/>
      <c r="J663" s="11"/>
      <c r="K663" s="11"/>
      <c r="L663" s="11"/>
    </row>
    <row r="664" spans="4:12" hidden="1" x14ac:dyDescent="0.25">
      <c r="D664" s="11"/>
      <c r="E664" s="11"/>
      <c r="F664" s="11"/>
      <c r="G664" s="11"/>
      <c r="H664" s="11"/>
      <c r="I664" s="11"/>
      <c r="J664" s="11"/>
      <c r="K664" s="11"/>
      <c r="L664" s="11"/>
    </row>
    <row r="665" spans="4:12" hidden="1" x14ac:dyDescent="0.25">
      <c r="D665" s="11"/>
      <c r="E665" s="11"/>
      <c r="F665" s="11"/>
      <c r="G665" s="11"/>
      <c r="H665" s="11"/>
      <c r="I665" s="11"/>
      <c r="J665" s="11"/>
      <c r="K665" s="11"/>
      <c r="L665" s="11"/>
    </row>
    <row r="666" spans="4:12" hidden="1" x14ac:dyDescent="0.25">
      <c r="D666" s="11"/>
      <c r="E666" s="11"/>
      <c r="F666" s="11"/>
      <c r="G666" s="11"/>
      <c r="H666" s="11"/>
      <c r="I666" s="11"/>
      <c r="J666" s="11"/>
      <c r="K666" s="11"/>
      <c r="L666" s="11"/>
    </row>
    <row r="667" spans="4:12" hidden="1" x14ac:dyDescent="0.25">
      <c r="D667" s="11"/>
      <c r="E667" s="11"/>
      <c r="F667" s="11"/>
      <c r="G667" s="11"/>
      <c r="H667" s="11"/>
      <c r="I667" s="11"/>
      <c r="J667" s="11"/>
      <c r="K667" s="11"/>
      <c r="L667" s="11"/>
    </row>
    <row r="668" spans="4:12" hidden="1" x14ac:dyDescent="0.25">
      <c r="D668" s="11"/>
      <c r="E668" s="11"/>
      <c r="F668" s="11"/>
      <c r="G668" s="11"/>
      <c r="H668" s="11"/>
      <c r="I668" s="11"/>
      <c r="J668" s="11"/>
      <c r="K668" s="11"/>
      <c r="L668" s="11"/>
    </row>
    <row r="669" spans="4:12" hidden="1" x14ac:dyDescent="0.25">
      <c r="D669" s="11"/>
      <c r="E669" s="11"/>
      <c r="F669" s="11"/>
      <c r="G669" s="11"/>
      <c r="H669" s="11"/>
      <c r="I669" s="11"/>
      <c r="J669" s="11"/>
      <c r="K669" s="11"/>
      <c r="L669" s="11"/>
    </row>
    <row r="670" spans="4:12" hidden="1" x14ac:dyDescent="0.25">
      <c r="D670" s="11"/>
      <c r="E670" s="11"/>
      <c r="F670" s="11"/>
      <c r="G670" s="11"/>
      <c r="H670" s="11"/>
      <c r="I670" s="11"/>
      <c r="J670" s="11"/>
      <c r="K670" s="11"/>
      <c r="L670" s="11"/>
    </row>
    <row r="671" spans="4:12" hidden="1" x14ac:dyDescent="0.25">
      <c r="D671" s="11"/>
      <c r="E671" s="11"/>
      <c r="F671" s="11"/>
      <c r="G671" s="11"/>
      <c r="H671" s="11"/>
      <c r="I671" s="11"/>
      <c r="J671" s="11"/>
      <c r="K671" s="11"/>
      <c r="L671" s="11"/>
    </row>
    <row r="672" spans="4:12" hidden="1" x14ac:dyDescent="0.25">
      <c r="D672" s="11"/>
      <c r="E672" s="11"/>
      <c r="F672" s="11"/>
      <c r="G672" s="11"/>
      <c r="H672" s="11"/>
      <c r="I672" s="11"/>
      <c r="J672" s="11"/>
      <c r="K672" s="11"/>
      <c r="L672" s="11"/>
    </row>
    <row r="673" spans="4:12" hidden="1" x14ac:dyDescent="0.25">
      <c r="D673" s="11"/>
      <c r="E673" s="11"/>
      <c r="F673" s="11"/>
      <c r="G673" s="11"/>
      <c r="H673" s="11"/>
      <c r="I673" s="11"/>
      <c r="J673" s="11"/>
      <c r="K673" s="11"/>
      <c r="L673" s="11"/>
    </row>
    <row r="674" spans="4:12" hidden="1" x14ac:dyDescent="0.25">
      <c r="D674" s="11"/>
      <c r="E674" s="11"/>
      <c r="F674" s="11"/>
      <c r="G674" s="11"/>
      <c r="H674" s="11"/>
      <c r="I674" s="11"/>
      <c r="J674" s="11"/>
      <c r="K674" s="11"/>
      <c r="L674" s="11"/>
    </row>
    <row r="675" spans="4:12" hidden="1" x14ac:dyDescent="0.25">
      <c r="D675" s="11"/>
      <c r="E675" s="11"/>
      <c r="F675" s="11"/>
      <c r="G675" s="11"/>
      <c r="H675" s="11"/>
      <c r="I675" s="11"/>
      <c r="J675" s="11"/>
      <c r="K675" s="11"/>
      <c r="L675" s="11"/>
    </row>
    <row r="676" spans="4:12" hidden="1" x14ac:dyDescent="0.25">
      <c r="D676" s="11"/>
      <c r="E676" s="11"/>
      <c r="F676" s="11"/>
      <c r="G676" s="11"/>
      <c r="H676" s="11"/>
      <c r="I676" s="11"/>
      <c r="J676" s="11"/>
      <c r="K676" s="11"/>
      <c r="L676" s="11"/>
    </row>
    <row r="677" spans="4:12" hidden="1" x14ac:dyDescent="0.25">
      <c r="D677" s="11"/>
      <c r="E677" s="11"/>
      <c r="F677" s="11"/>
      <c r="G677" s="11"/>
      <c r="H677" s="11"/>
      <c r="I677" s="11"/>
      <c r="J677" s="11"/>
      <c r="K677" s="11"/>
      <c r="L677" s="11"/>
    </row>
    <row r="678" spans="4:12" hidden="1" x14ac:dyDescent="0.25">
      <c r="D678" s="11"/>
      <c r="E678" s="11"/>
      <c r="F678" s="11"/>
      <c r="G678" s="11"/>
      <c r="H678" s="11"/>
      <c r="I678" s="11"/>
      <c r="J678" s="11"/>
      <c r="K678" s="11"/>
      <c r="L678" s="11"/>
    </row>
    <row r="679" spans="4:12" hidden="1" x14ac:dyDescent="0.25">
      <c r="D679" s="11"/>
      <c r="E679" s="11"/>
      <c r="F679" s="11"/>
      <c r="G679" s="11"/>
      <c r="H679" s="11"/>
      <c r="I679" s="11"/>
      <c r="J679" s="11"/>
      <c r="K679" s="11"/>
      <c r="L679" s="11"/>
    </row>
    <row r="680" spans="4:12" hidden="1" x14ac:dyDescent="0.25">
      <c r="D680" s="11"/>
      <c r="E680" s="11"/>
      <c r="F680" s="11"/>
      <c r="G680" s="11"/>
      <c r="H680" s="11"/>
      <c r="I680" s="11"/>
      <c r="J680" s="11"/>
      <c r="K680" s="11"/>
      <c r="L680" s="11"/>
    </row>
    <row r="681" spans="4:12" hidden="1" x14ac:dyDescent="0.25">
      <c r="D681" s="11"/>
      <c r="E681" s="11"/>
      <c r="F681" s="11"/>
      <c r="G681" s="11"/>
      <c r="H681" s="11"/>
      <c r="I681" s="11"/>
      <c r="J681" s="11"/>
      <c r="K681" s="11"/>
      <c r="L681" s="11"/>
    </row>
    <row r="682" spans="4:12" hidden="1" x14ac:dyDescent="0.25">
      <c r="D682" s="11"/>
      <c r="E682" s="11"/>
      <c r="F682" s="11"/>
      <c r="G682" s="11"/>
      <c r="H682" s="11"/>
      <c r="I682" s="11"/>
      <c r="J682" s="11"/>
      <c r="K682" s="11"/>
      <c r="L682" s="11"/>
    </row>
    <row r="683" spans="4:12" hidden="1" x14ac:dyDescent="0.25">
      <c r="D683" s="11"/>
      <c r="E683" s="11"/>
      <c r="F683" s="11"/>
      <c r="G683" s="11"/>
      <c r="H683" s="11"/>
      <c r="I683" s="11"/>
      <c r="J683" s="11"/>
      <c r="K683" s="11"/>
      <c r="L683" s="11"/>
    </row>
    <row r="684" spans="4:12" hidden="1" x14ac:dyDescent="0.25">
      <c r="D684" s="11"/>
      <c r="E684" s="11"/>
      <c r="F684" s="11"/>
      <c r="G684" s="11"/>
      <c r="H684" s="11"/>
      <c r="I684" s="11"/>
      <c r="J684" s="11"/>
      <c r="K684" s="11"/>
      <c r="L684" s="11"/>
    </row>
    <row r="685" spans="4:12" hidden="1" x14ac:dyDescent="0.25">
      <c r="D685" s="11"/>
      <c r="E685" s="11"/>
      <c r="F685" s="11"/>
      <c r="G685" s="11"/>
      <c r="H685" s="11"/>
      <c r="I685" s="11"/>
      <c r="J685" s="11"/>
      <c r="K685" s="11"/>
      <c r="L685" s="11"/>
    </row>
    <row r="686" spans="4:12" hidden="1" x14ac:dyDescent="0.25">
      <c r="D686" s="11"/>
      <c r="E686" s="11"/>
      <c r="F686" s="11"/>
      <c r="G686" s="11"/>
      <c r="H686" s="11"/>
      <c r="I686" s="11"/>
      <c r="J686" s="11"/>
      <c r="K686" s="11"/>
      <c r="L686" s="11"/>
    </row>
    <row r="687" spans="4:12" hidden="1" x14ac:dyDescent="0.25">
      <c r="D687" s="11"/>
      <c r="E687" s="11"/>
      <c r="F687" s="11"/>
      <c r="G687" s="11"/>
      <c r="H687" s="11"/>
      <c r="I687" s="11"/>
      <c r="J687" s="11"/>
      <c r="K687" s="11"/>
      <c r="L687" s="11"/>
    </row>
    <row r="688" spans="4:12" hidden="1" x14ac:dyDescent="0.25">
      <c r="D688" s="11"/>
      <c r="E688" s="11"/>
      <c r="F688" s="11"/>
      <c r="G688" s="11"/>
      <c r="H688" s="11"/>
      <c r="I688" s="11"/>
      <c r="J688" s="11"/>
      <c r="K688" s="11"/>
      <c r="L688" s="11"/>
    </row>
    <row r="689" spans="4:12" hidden="1" x14ac:dyDescent="0.25">
      <c r="D689" s="11"/>
      <c r="E689" s="11"/>
      <c r="F689" s="11"/>
      <c r="G689" s="11"/>
      <c r="H689" s="11"/>
      <c r="I689" s="11"/>
      <c r="J689" s="11"/>
      <c r="K689" s="11"/>
      <c r="L689" s="11"/>
    </row>
    <row r="690" spans="4:12" hidden="1" x14ac:dyDescent="0.25">
      <c r="D690" s="11"/>
      <c r="E690" s="11"/>
      <c r="F690" s="11"/>
      <c r="G690" s="11"/>
      <c r="H690" s="11"/>
      <c r="I690" s="11"/>
      <c r="J690" s="11"/>
      <c r="K690" s="11"/>
      <c r="L690" s="11"/>
    </row>
    <row r="691" spans="4:12" hidden="1" x14ac:dyDescent="0.25">
      <c r="D691" s="11"/>
      <c r="E691" s="11"/>
      <c r="F691" s="11"/>
      <c r="G691" s="11"/>
      <c r="H691" s="11"/>
      <c r="I691" s="11"/>
      <c r="J691" s="11"/>
      <c r="K691" s="11"/>
      <c r="L691" s="11"/>
    </row>
    <row r="692" spans="4:12" hidden="1" x14ac:dyDescent="0.25">
      <c r="D692" s="11"/>
      <c r="E692" s="11"/>
      <c r="F692" s="11"/>
      <c r="G692" s="11"/>
      <c r="H692" s="11"/>
      <c r="I692" s="11"/>
      <c r="J692" s="11"/>
      <c r="K692" s="11"/>
      <c r="L692" s="11"/>
    </row>
    <row r="693" spans="4:12" hidden="1" x14ac:dyDescent="0.25">
      <c r="D693" s="11"/>
      <c r="E693" s="11"/>
      <c r="F693" s="11"/>
      <c r="G693" s="11"/>
      <c r="H693" s="11"/>
      <c r="I693" s="11"/>
      <c r="J693" s="11"/>
      <c r="K693" s="11"/>
      <c r="L693" s="11"/>
    </row>
    <row r="694" spans="4:12" hidden="1" x14ac:dyDescent="0.25">
      <c r="D694" s="11"/>
      <c r="E694" s="11"/>
      <c r="F694" s="11"/>
      <c r="G694" s="11"/>
      <c r="H694" s="11"/>
      <c r="I694" s="11"/>
      <c r="J694" s="11"/>
      <c r="K694" s="11"/>
      <c r="L694" s="11"/>
    </row>
    <row r="695" spans="4:12" hidden="1" x14ac:dyDescent="0.25">
      <c r="D695" s="11"/>
      <c r="E695" s="11"/>
      <c r="F695" s="11"/>
      <c r="G695" s="11"/>
      <c r="H695" s="11"/>
      <c r="I695" s="11"/>
      <c r="J695" s="11"/>
      <c r="K695" s="11"/>
      <c r="L695" s="11"/>
    </row>
    <row r="696" spans="4:12" hidden="1" x14ac:dyDescent="0.25">
      <c r="D696" s="11"/>
      <c r="E696" s="11"/>
      <c r="F696" s="11"/>
      <c r="G696" s="11"/>
      <c r="H696" s="11"/>
      <c r="I696" s="11"/>
      <c r="J696" s="11"/>
      <c r="K696" s="11"/>
      <c r="L696" s="11"/>
    </row>
    <row r="697" spans="4:12" hidden="1" x14ac:dyDescent="0.25">
      <c r="D697" s="11"/>
      <c r="E697" s="11"/>
      <c r="F697" s="11"/>
      <c r="G697" s="11"/>
      <c r="H697" s="11"/>
      <c r="I697" s="11"/>
      <c r="J697" s="11"/>
      <c r="K697" s="11"/>
      <c r="L697" s="11"/>
    </row>
    <row r="698" spans="4:12" hidden="1" x14ac:dyDescent="0.25">
      <c r="D698" s="11"/>
      <c r="E698" s="11"/>
      <c r="F698" s="11"/>
      <c r="G698" s="11"/>
      <c r="H698" s="11"/>
      <c r="I698" s="11"/>
      <c r="J698" s="11"/>
      <c r="K698" s="11"/>
      <c r="L698" s="11"/>
    </row>
    <row r="699" spans="4:12" hidden="1" x14ac:dyDescent="0.25">
      <c r="D699" s="11"/>
      <c r="E699" s="11"/>
      <c r="F699" s="11"/>
      <c r="G699" s="11"/>
      <c r="H699" s="11"/>
      <c r="I699" s="11"/>
      <c r="J699" s="11"/>
      <c r="K699" s="11"/>
      <c r="L699" s="11"/>
    </row>
    <row r="700" spans="4:12" hidden="1" x14ac:dyDescent="0.25">
      <c r="D700" s="11"/>
      <c r="E700" s="11"/>
      <c r="F700" s="11"/>
      <c r="G700" s="11"/>
      <c r="H700" s="11"/>
      <c r="I700" s="11"/>
      <c r="J700" s="11"/>
      <c r="K700" s="11"/>
      <c r="L700" s="11"/>
    </row>
    <row r="701" spans="4:12" hidden="1" x14ac:dyDescent="0.25">
      <c r="D701" s="11"/>
      <c r="E701" s="11"/>
      <c r="F701" s="11"/>
      <c r="G701" s="11"/>
      <c r="H701" s="11"/>
      <c r="I701" s="11"/>
      <c r="J701" s="11"/>
      <c r="K701" s="11"/>
      <c r="L701" s="11"/>
    </row>
    <row r="702" spans="4:12" hidden="1" x14ac:dyDescent="0.25">
      <c r="D702" s="11"/>
      <c r="E702" s="11"/>
      <c r="F702" s="11"/>
      <c r="G702" s="11"/>
      <c r="H702" s="11"/>
      <c r="I702" s="11"/>
      <c r="J702" s="11"/>
      <c r="K702" s="11"/>
      <c r="L702" s="11"/>
    </row>
    <row r="703" spans="4:12" hidden="1" x14ac:dyDescent="0.25">
      <c r="D703" s="11"/>
      <c r="E703" s="11"/>
      <c r="F703" s="11"/>
      <c r="G703" s="11"/>
      <c r="H703" s="11"/>
      <c r="I703" s="11"/>
      <c r="J703" s="11"/>
      <c r="K703" s="11"/>
      <c r="L703" s="11"/>
    </row>
    <row r="704" spans="4:12" hidden="1" x14ac:dyDescent="0.25">
      <c r="D704" s="11"/>
      <c r="E704" s="11"/>
      <c r="F704" s="11"/>
      <c r="G704" s="11"/>
      <c r="H704" s="11"/>
      <c r="I704" s="11"/>
      <c r="J704" s="11"/>
      <c r="K704" s="11"/>
      <c r="L704" s="11"/>
    </row>
    <row r="705" spans="4:12" hidden="1" x14ac:dyDescent="0.25">
      <c r="D705" s="11"/>
      <c r="E705" s="11"/>
      <c r="F705" s="11"/>
      <c r="G705" s="11"/>
      <c r="H705" s="11"/>
      <c r="I705" s="11"/>
      <c r="J705" s="11"/>
      <c r="K705" s="11"/>
      <c r="L705" s="11"/>
    </row>
    <row r="706" spans="4:12" hidden="1" x14ac:dyDescent="0.25">
      <c r="D706" s="11"/>
      <c r="E706" s="11"/>
      <c r="F706" s="11"/>
      <c r="G706" s="11"/>
      <c r="H706" s="11"/>
      <c r="I706" s="11"/>
      <c r="J706" s="11"/>
      <c r="K706" s="11"/>
      <c r="L706" s="11"/>
    </row>
    <row r="707" spans="4:12" hidden="1" x14ac:dyDescent="0.25">
      <c r="D707" s="11"/>
      <c r="E707" s="11"/>
      <c r="F707" s="11"/>
      <c r="G707" s="11"/>
      <c r="H707" s="11"/>
      <c r="I707" s="11"/>
      <c r="J707" s="11"/>
      <c r="K707" s="11"/>
      <c r="L707" s="11"/>
    </row>
    <row r="708" spans="4:12" hidden="1" x14ac:dyDescent="0.25">
      <c r="D708" s="11"/>
      <c r="E708" s="11"/>
      <c r="F708" s="11"/>
      <c r="G708" s="11"/>
      <c r="H708" s="11"/>
      <c r="I708" s="11"/>
      <c r="J708" s="11"/>
      <c r="K708" s="11"/>
      <c r="L708" s="11"/>
    </row>
    <row r="709" spans="4:12" hidden="1" x14ac:dyDescent="0.25">
      <c r="D709" s="11"/>
      <c r="E709" s="11"/>
      <c r="F709" s="11"/>
      <c r="G709" s="11"/>
      <c r="H709" s="11"/>
      <c r="I709" s="11"/>
      <c r="J709" s="11"/>
      <c r="K709" s="11"/>
      <c r="L709" s="11"/>
    </row>
    <row r="710" spans="4:12" hidden="1" x14ac:dyDescent="0.25">
      <c r="D710" s="11"/>
      <c r="E710" s="11"/>
      <c r="F710" s="11"/>
      <c r="G710" s="11"/>
      <c r="H710" s="11"/>
      <c r="I710" s="11"/>
      <c r="J710" s="11"/>
      <c r="K710" s="11"/>
      <c r="L710" s="11"/>
    </row>
    <row r="711" spans="4:12" hidden="1" x14ac:dyDescent="0.25">
      <c r="D711" s="11"/>
      <c r="E711" s="11"/>
      <c r="F711" s="11"/>
      <c r="G711" s="11"/>
      <c r="H711" s="11"/>
      <c r="I711" s="11"/>
      <c r="J711" s="11"/>
      <c r="K711" s="11"/>
      <c r="L711" s="11"/>
    </row>
    <row r="712" spans="4:12" hidden="1" x14ac:dyDescent="0.25">
      <c r="D712" s="11"/>
      <c r="E712" s="11"/>
      <c r="F712" s="11"/>
      <c r="G712" s="11"/>
      <c r="H712" s="11"/>
      <c r="I712" s="11"/>
      <c r="J712" s="11"/>
      <c r="K712" s="11"/>
      <c r="L712" s="11"/>
    </row>
    <row r="713" spans="4:12" hidden="1" x14ac:dyDescent="0.25">
      <c r="D713" s="11"/>
      <c r="E713" s="11"/>
      <c r="F713" s="11"/>
      <c r="G713" s="11"/>
      <c r="H713" s="11"/>
      <c r="I713" s="11"/>
      <c r="J713" s="11"/>
      <c r="K713" s="11"/>
      <c r="L713" s="11"/>
    </row>
    <row r="714" spans="4:12" hidden="1" x14ac:dyDescent="0.25">
      <c r="D714" s="11"/>
      <c r="E714" s="11"/>
      <c r="F714" s="11"/>
      <c r="G714" s="11"/>
      <c r="H714" s="11"/>
      <c r="I714" s="11"/>
      <c r="J714" s="11"/>
      <c r="K714" s="11"/>
      <c r="L714" s="11"/>
    </row>
    <row r="715" spans="4:12" hidden="1" x14ac:dyDescent="0.25">
      <c r="D715" s="11"/>
      <c r="E715" s="11"/>
      <c r="F715" s="11"/>
      <c r="G715" s="11"/>
      <c r="H715" s="11"/>
      <c r="I715" s="11"/>
      <c r="J715" s="11"/>
      <c r="K715" s="11"/>
      <c r="L715" s="11"/>
    </row>
    <row r="716" spans="4:12" hidden="1" x14ac:dyDescent="0.25">
      <c r="D716" s="11"/>
      <c r="E716" s="11"/>
      <c r="F716" s="11"/>
      <c r="G716" s="11"/>
      <c r="H716" s="11"/>
      <c r="I716" s="11"/>
      <c r="J716" s="11"/>
      <c r="K716" s="11"/>
      <c r="L716" s="11"/>
    </row>
    <row r="717" spans="4:12" hidden="1" x14ac:dyDescent="0.25">
      <c r="D717" s="11"/>
      <c r="E717" s="11"/>
      <c r="F717" s="11"/>
      <c r="G717" s="11"/>
      <c r="H717" s="11"/>
      <c r="I717" s="11"/>
      <c r="J717" s="11"/>
      <c r="K717" s="11"/>
      <c r="L717" s="11"/>
    </row>
    <row r="718" spans="4:12" hidden="1" x14ac:dyDescent="0.25">
      <c r="D718" s="11"/>
      <c r="E718" s="11"/>
      <c r="F718" s="11"/>
      <c r="G718" s="11"/>
      <c r="H718" s="11"/>
      <c r="I718" s="11"/>
      <c r="J718" s="11"/>
      <c r="K718" s="11"/>
      <c r="L718" s="11"/>
    </row>
    <row r="719" spans="4:12" hidden="1" x14ac:dyDescent="0.25">
      <c r="D719" s="11"/>
      <c r="E719" s="11"/>
      <c r="F719" s="11"/>
      <c r="G719" s="11"/>
      <c r="H719" s="11"/>
      <c r="I719" s="11"/>
      <c r="J719" s="11"/>
      <c r="K719" s="11"/>
      <c r="L719" s="11"/>
    </row>
    <row r="720" spans="4:12" hidden="1" x14ac:dyDescent="0.25">
      <c r="D720" s="11"/>
      <c r="E720" s="11"/>
      <c r="F720" s="11"/>
      <c r="G720" s="11"/>
      <c r="H720" s="11"/>
      <c r="I720" s="11"/>
      <c r="J720" s="11"/>
      <c r="K720" s="11"/>
      <c r="L720" s="11"/>
    </row>
    <row r="721" spans="4:12" hidden="1" x14ac:dyDescent="0.25">
      <c r="D721" s="11"/>
      <c r="E721" s="11"/>
      <c r="F721" s="11"/>
      <c r="G721" s="11"/>
      <c r="H721" s="11"/>
      <c r="I721" s="11"/>
      <c r="J721" s="11"/>
      <c r="K721" s="11"/>
      <c r="L721" s="11"/>
    </row>
    <row r="722" spans="4:12" hidden="1" x14ac:dyDescent="0.25">
      <c r="D722" s="11"/>
      <c r="E722" s="11"/>
      <c r="F722" s="11"/>
      <c r="G722" s="11"/>
      <c r="H722" s="11"/>
      <c r="I722" s="11"/>
      <c r="J722" s="11"/>
      <c r="K722" s="11"/>
      <c r="L722" s="11"/>
    </row>
    <row r="723" spans="4:12" hidden="1" x14ac:dyDescent="0.25">
      <c r="D723" s="11"/>
      <c r="E723" s="11"/>
      <c r="F723" s="11"/>
      <c r="G723" s="11"/>
      <c r="H723" s="11"/>
      <c r="I723" s="11"/>
      <c r="J723" s="11"/>
      <c r="K723" s="11"/>
      <c r="L723" s="11"/>
    </row>
    <row r="724" spans="4:12" hidden="1" x14ac:dyDescent="0.25">
      <c r="D724" s="11"/>
      <c r="E724" s="11"/>
      <c r="F724" s="11"/>
      <c r="G724" s="11"/>
      <c r="H724" s="11"/>
      <c r="I724" s="11"/>
      <c r="J724" s="11"/>
      <c r="K724" s="11"/>
      <c r="L724" s="11"/>
    </row>
    <row r="725" spans="4:12" hidden="1" x14ac:dyDescent="0.25">
      <c r="D725" s="11"/>
      <c r="E725" s="11"/>
      <c r="F725" s="11"/>
      <c r="G725" s="11"/>
      <c r="H725" s="11"/>
      <c r="I725" s="11"/>
      <c r="J725" s="11"/>
      <c r="K725" s="11"/>
      <c r="L725" s="11"/>
    </row>
    <row r="726" spans="4:12" hidden="1" x14ac:dyDescent="0.25">
      <c r="D726" s="11"/>
      <c r="E726" s="11"/>
      <c r="F726" s="11"/>
      <c r="G726" s="11"/>
      <c r="H726" s="11"/>
      <c r="I726" s="11"/>
      <c r="J726" s="11"/>
      <c r="K726" s="11"/>
      <c r="L726" s="11"/>
    </row>
    <row r="727" spans="4:12" hidden="1" x14ac:dyDescent="0.25">
      <c r="D727" s="11"/>
      <c r="E727" s="11"/>
      <c r="F727" s="11"/>
      <c r="G727" s="11"/>
      <c r="H727" s="11"/>
      <c r="I727" s="11"/>
      <c r="J727" s="11"/>
      <c r="K727" s="11"/>
      <c r="L727" s="11"/>
    </row>
    <row r="728" spans="4:12" hidden="1" x14ac:dyDescent="0.25">
      <c r="D728" s="11"/>
      <c r="E728" s="11"/>
      <c r="F728" s="11"/>
      <c r="G728" s="11"/>
      <c r="H728" s="11"/>
      <c r="I728" s="11"/>
      <c r="J728" s="11"/>
      <c r="K728" s="11"/>
      <c r="L728" s="11"/>
    </row>
    <row r="729" spans="4:12" hidden="1" x14ac:dyDescent="0.25">
      <c r="D729" s="11"/>
      <c r="E729" s="11"/>
      <c r="F729" s="11"/>
      <c r="G729" s="11"/>
      <c r="H729" s="11"/>
      <c r="I729" s="11"/>
      <c r="J729" s="11"/>
      <c r="K729" s="11"/>
      <c r="L729" s="11"/>
    </row>
    <row r="730" spans="4:12" hidden="1" x14ac:dyDescent="0.25">
      <c r="D730" s="11"/>
      <c r="E730" s="11"/>
      <c r="F730" s="11"/>
      <c r="G730" s="11"/>
      <c r="H730" s="11"/>
      <c r="I730" s="11"/>
      <c r="J730" s="11"/>
      <c r="K730" s="11"/>
      <c r="L730" s="11"/>
    </row>
    <row r="731" spans="4:12" hidden="1" x14ac:dyDescent="0.25">
      <c r="D731" s="11"/>
      <c r="E731" s="11"/>
      <c r="F731" s="11"/>
      <c r="G731" s="11"/>
      <c r="H731" s="11"/>
      <c r="I731" s="11"/>
      <c r="J731" s="11"/>
      <c r="K731" s="11"/>
      <c r="L731" s="11"/>
    </row>
    <row r="732" spans="4:12" hidden="1" x14ac:dyDescent="0.25">
      <c r="D732" s="11"/>
      <c r="E732" s="11"/>
      <c r="F732" s="11"/>
      <c r="G732" s="11"/>
      <c r="H732" s="11"/>
      <c r="I732" s="11"/>
      <c r="J732" s="11"/>
      <c r="K732" s="11"/>
      <c r="L732" s="11"/>
    </row>
    <row r="733" spans="4:12" hidden="1" x14ac:dyDescent="0.25">
      <c r="D733" s="11"/>
      <c r="E733" s="11"/>
      <c r="F733" s="11"/>
      <c r="G733" s="11"/>
      <c r="H733" s="11"/>
      <c r="I733" s="11"/>
      <c r="J733" s="11"/>
      <c r="K733" s="11"/>
      <c r="L733" s="11"/>
    </row>
    <row r="734" spans="4:12" hidden="1" x14ac:dyDescent="0.25">
      <c r="D734" s="11"/>
      <c r="E734" s="11"/>
      <c r="F734" s="11"/>
      <c r="G734" s="11"/>
      <c r="H734" s="11"/>
      <c r="I734" s="11"/>
      <c r="J734" s="11"/>
      <c r="K734" s="11"/>
      <c r="L734" s="11"/>
    </row>
    <row r="735" spans="4:12" hidden="1" x14ac:dyDescent="0.25">
      <c r="D735" s="11"/>
      <c r="E735" s="11"/>
      <c r="F735" s="11"/>
      <c r="G735" s="11"/>
      <c r="H735" s="11"/>
      <c r="I735" s="11"/>
      <c r="J735" s="11"/>
      <c r="K735" s="11"/>
      <c r="L735" s="11"/>
    </row>
    <row r="736" spans="4:12" hidden="1" x14ac:dyDescent="0.25">
      <c r="D736" s="11"/>
      <c r="E736" s="11"/>
      <c r="F736" s="11"/>
      <c r="G736" s="11"/>
      <c r="H736" s="11"/>
      <c r="I736" s="11"/>
      <c r="J736" s="11"/>
      <c r="K736" s="11"/>
      <c r="L736" s="11"/>
    </row>
    <row r="737" spans="4:12" hidden="1" x14ac:dyDescent="0.25">
      <c r="D737" s="11"/>
      <c r="E737" s="11"/>
      <c r="F737" s="11"/>
      <c r="G737" s="11"/>
      <c r="H737" s="11"/>
      <c r="I737" s="11"/>
      <c r="J737" s="11"/>
      <c r="K737" s="11"/>
      <c r="L737" s="11"/>
    </row>
    <row r="738" spans="4:12" hidden="1" x14ac:dyDescent="0.25">
      <c r="D738" s="11"/>
      <c r="E738" s="11"/>
      <c r="F738" s="11"/>
      <c r="G738" s="11"/>
      <c r="H738" s="11"/>
      <c r="I738" s="11"/>
      <c r="J738" s="11"/>
      <c r="K738" s="11"/>
      <c r="L738" s="11"/>
    </row>
    <row r="739" spans="4:12" hidden="1" x14ac:dyDescent="0.25">
      <c r="D739" s="11"/>
      <c r="E739" s="11"/>
      <c r="F739" s="11"/>
      <c r="G739" s="11"/>
      <c r="H739" s="11"/>
      <c r="I739" s="11"/>
      <c r="J739" s="11"/>
      <c r="K739" s="11"/>
      <c r="L739" s="11"/>
    </row>
    <row r="740" spans="4:12" hidden="1" x14ac:dyDescent="0.25">
      <c r="D740" s="11"/>
      <c r="E740" s="11"/>
      <c r="F740" s="11"/>
      <c r="G740" s="11"/>
      <c r="H740" s="11"/>
      <c r="I740" s="11"/>
      <c r="J740" s="11"/>
      <c r="K740" s="11"/>
      <c r="L740" s="11"/>
    </row>
    <row r="741" spans="4:12" hidden="1" x14ac:dyDescent="0.25">
      <c r="D741" s="11"/>
      <c r="E741" s="11"/>
      <c r="F741" s="11"/>
      <c r="G741" s="11"/>
      <c r="H741" s="11"/>
      <c r="I741" s="11"/>
      <c r="J741" s="11"/>
      <c r="K741" s="11"/>
      <c r="L741" s="11"/>
    </row>
    <row r="742" spans="4:12" hidden="1" x14ac:dyDescent="0.25">
      <c r="D742" s="11"/>
      <c r="E742" s="11"/>
      <c r="F742" s="11"/>
      <c r="G742" s="11"/>
      <c r="H742" s="11"/>
      <c r="I742" s="11"/>
      <c r="J742" s="11"/>
      <c r="K742" s="11"/>
      <c r="L742" s="11"/>
    </row>
    <row r="743" spans="4:12" hidden="1" x14ac:dyDescent="0.25">
      <c r="D743" s="11"/>
      <c r="E743" s="11"/>
      <c r="F743" s="11"/>
      <c r="G743" s="11"/>
      <c r="H743" s="11"/>
      <c r="I743" s="11"/>
      <c r="J743" s="11"/>
      <c r="K743" s="11"/>
      <c r="L743" s="11"/>
    </row>
    <row r="744" spans="4:12" hidden="1" x14ac:dyDescent="0.25">
      <c r="D744" s="11"/>
      <c r="E744" s="11"/>
      <c r="F744" s="11"/>
      <c r="G744" s="11"/>
      <c r="H744" s="11"/>
      <c r="I744" s="11"/>
      <c r="J744" s="11"/>
      <c r="K744" s="11"/>
      <c r="L744" s="11"/>
    </row>
    <row r="745" spans="4:12" hidden="1" x14ac:dyDescent="0.25">
      <c r="D745" s="11"/>
      <c r="E745" s="11"/>
      <c r="F745" s="11"/>
      <c r="G745" s="11"/>
      <c r="H745" s="11"/>
      <c r="I745" s="11"/>
      <c r="J745" s="11"/>
      <c r="K745" s="11"/>
      <c r="L745" s="11"/>
    </row>
    <row r="746" spans="4:12" hidden="1" x14ac:dyDescent="0.25">
      <c r="D746" s="11"/>
      <c r="E746" s="11"/>
      <c r="F746" s="11"/>
      <c r="G746" s="11"/>
      <c r="H746" s="11"/>
      <c r="I746" s="11"/>
      <c r="J746" s="11"/>
      <c r="K746" s="11"/>
      <c r="L746" s="11"/>
    </row>
    <row r="747" spans="4:12" hidden="1" x14ac:dyDescent="0.25">
      <c r="D747" s="11"/>
      <c r="E747" s="11"/>
      <c r="F747" s="11"/>
      <c r="G747" s="11"/>
      <c r="H747" s="11"/>
      <c r="I747" s="11"/>
      <c r="J747" s="11"/>
      <c r="K747" s="11"/>
      <c r="L747" s="11"/>
    </row>
    <row r="748" spans="4:12" hidden="1" x14ac:dyDescent="0.25">
      <c r="D748" s="11"/>
      <c r="E748" s="11"/>
      <c r="F748" s="11"/>
      <c r="G748" s="11"/>
      <c r="H748" s="11"/>
      <c r="I748" s="11"/>
      <c r="J748" s="11"/>
      <c r="K748" s="11"/>
      <c r="L748" s="11"/>
    </row>
    <row r="749" spans="4:12" hidden="1" x14ac:dyDescent="0.25">
      <c r="D749" s="11"/>
      <c r="E749" s="11"/>
      <c r="F749" s="11"/>
      <c r="G749" s="11"/>
      <c r="H749" s="11"/>
      <c r="I749" s="11"/>
      <c r="J749" s="11"/>
      <c r="K749" s="11"/>
      <c r="L749" s="11"/>
    </row>
    <row r="750" spans="4:12" hidden="1" x14ac:dyDescent="0.25">
      <c r="D750" s="11"/>
      <c r="E750" s="11"/>
      <c r="F750" s="11"/>
      <c r="G750" s="11"/>
      <c r="H750" s="11"/>
      <c r="I750" s="11"/>
      <c r="J750" s="11"/>
      <c r="K750" s="11"/>
      <c r="L750" s="11"/>
    </row>
    <row r="751" spans="4:12" hidden="1" x14ac:dyDescent="0.25">
      <c r="D751" s="11"/>
      <c r="E751" s="11"/>
      <c r="F751" s="11"/>
      <c r="G751" s="11"/>
      <c r="H751" s="11"/>
      <c r="I751" s="11"/>
      <c r="J751" s="11"/>
      <c r="K751" s="11"/>
      <c r="L751" s="11"/>
    </row>
    <row r="752" spans="4:12" hidden="1" x14ac:dyDescent="0.25">
      <c r="D752" s="11"/>
      <c r="E752" s="11"/>
      <c r="F752" s="11"/>
      <c r="G752" s="11"/>
      <c r="H752" s="11"/>
      <c r="I752" s="11"/>
      <c r="J752" s="11"/>
      <c r="K752" s="11"/>
      <c r="L752" s="11"/>
    </row>
    <row r="753" spans="1:15" hidden="1" x14ac:dyDescent="0.25">
      <c r="D753" s="11"/>
      <c r="E753" s="11"/>
      <c r="F753" s="11"/>
      <c r="G753" s="11"/>
      <c r="H753" s="11"/>
      <c r="I753" s="11"/>
      <c r="J753" s="11"/>
      <c r="K753" s="11"/>
      <c r="L753" s="11"/>
    </row>
    <row r="754" spans="1:15" x14ac:dyDescent="0.25">
      <c r="E754" s="4" t="s">
        <v>334</v>
      </c>
      <c r="L754" s="37">
        <f>+L209-I209</f>
        <v>448952.25097027514</v>
      </c>
    </row>
    <row r="756" spans="1:15" x14ac:dyDescent="0.25">
      <c r="E756" s="4" t="s">
        <v>338</v>
      </c>
      <c r="I756" s="37">
        <f>SUM(I168+I170+I171+I172)</f>
        <v>1690448</v>
      </c>
      <c r="J756" s="37">
        <f>SUM(J168+J170+J171+J172)</f>
        <v>1881544.6</v>
      </c>
      <c r="L756" s="37">
        <f>SUM(L168+L170+L171+L172)</f>
        <v>1965624.8127942306</v>
      </c>
      <c r="M756" s="38">
        <f>+L756/I756</f>
        <v>1.1627833644064951</v>
      </c>
      <c r="O756" s="40">
        <f>+L756-I756</f>
        <v>275176.81279423065</v>
      </c>
    </row>
    <row r="757" spans="1:15" x14ac:dyDescent="0.25">
      <c r="E757" s="4" t="s">
        <v>339</v>
      </c>
      <c r="I757" s="37">
        <f>+SUM(I175+I176+I177+I178)</f>
        <v>483879</v>
      </c>
      <c r="J757" s="37">
        <f>+SUM(J175+J176+J177+J178)</f>
        <v>483879</v>
      </c>
      <c r="L757" s="37">
        <f>+SUM(L175+L176+L177+L178)</f>
        <v>514533.48826857994</v>
      </c>
      <c r="M757" s="38">
        <f>+L757/I757</f>
        <v>1.0633515574525447</v>
      </c>
      <c r="O757" s="40">
        <f>+L757-I757</f>
        <v>30654.488268579938</v>
      </c>
    </row>
    <row r="758" spans="1:15" x14ac:dyDescent="0.25">
      <c r="E758" s="4" t="s">
        <v>341</v>
      </c>
      <c r="I758" s="37">
        <f>+SUM(I182+I183)</f>
        <v>24250</v>
      </c>
      <c r="J758" s="37">
        <f>+SUM(J182+J183)</f>
        <v>34250</v>
      </c>
      <c r="L758" s="37">
        <f>+SUM(L182+L183)</f>
        <v>31673.7</v>
      </c>
      <c r="M758" s="38">
        <f>+L758/I758</f>
        <v>1.3061319587628866</v>
      </c>
      <c r="O758" s="40">
        <f>+L758-I758</f>
        <v>7423.7000000000007</v>
      </c>
    </row>
    <row r="759" spans="1:15" x14ac:dyDescent="0.25">
      <c r="E759" s="4" t="s">
        <v>340</v>
      </c>
      <c r="I759" s="37"/>
    </row>
    <row r="760" spans="1:15" x14ac:dyDescent="0.25">
      <c r="E760" s="4" t="s">
        <v>337</v>
      </c>
      <c r="I760" s="37">
        <f>SUM(I756:I759)</f>
        <v>2198577</v>
      </c>
      <c r="J760" s="37">
        <f>SUM(J756:J759)</f>
        <v>2399673.6</v>
      </c>
      <c r="L760" s="37">
        <f>SUM(L756:L759)</f>
        <v>2511832.0010628109</v>
      </c>
      <c r="M760" s="38">
        <f>+L760/I760</f>
        <v>1.1424807960161554</v>
      </c>
      <c r="O760" s="37">
        <f>SUM(O756:O759)</f>
        <v>313255.0010628106</v>
      </c>
    </row>
    <row r="762" spans="1:15" x14ac:dyDescent="0.25">
      <c r="A762" s="42" t="s">
        <v>342</v>
      </c>
      <c r="B762" s="42"/>
      <c r="C762" s="42"/>
      <c r="D762" s="42"/>
      <c r="E762" s="41" t="s">
        <v>336</v>
      </c>
      <c r="I762" s="37">
        <f>SUM(I204:I207)+SUM(I196:I202)+SUM(I189:I194)+I183+I179+I173+I169</f>
        <v>249120</v>
      </c>
      <c r="J762" s="37">
        <f>SUM(J204:J207)+SUM(J196:J202)+SUM(J189:J194)+J183+J179+J173+J169</f>
        <v>375820</v>
      </c>
      <c r="L762" s="37">
        <f>SUM(L204:L207)+SUM(L196:L202)+SUM(L189:L194)+L183+L179+L173+L169</f>
        <v>373100</v>
      </c>
      <c r="M762" s="38">
        <f>+L762/I762</f>
        <v>1.4976718047527295</v>
      </c>
      <c r="O762" s="40">
        <f>+L762-I762</f>
        <v>123980</v>
      </c>
    </row>
  </sheetData>
  <mergeCells count="10">
    <mergeCell ref="J1:J2"/>
    <mergeCell ref="L1:L2"/>
    <mergeCell ref="M1:M2"/>
    <mergeCell ref="O1:O2"/>
    <mergeCell ref="C1:C2"/>
    <mergeCell ref="D1:D2"/>
    <mergeCell ref="E1:E2"/>
    <mergeCell ref="F1:F2"/>
    <mergeCell ref="G1:G2"/>
    <mergeCell ref="I1:I2"/>
  </mergeCells>
  <conditionalFormatting sqref="H277 H284:H1048576">
    <cfRule type="cellIs" dxfId="27" priority="1" operator="lessThan">
      <formula>-0.1</formula>
    </cfRule>
    <cfRule type="cellIs" dxfId="26" priority="2" operator="greaterThan">
      <formula>0.1</formula>
    </cfRule>
  </conditionalFormatting>
  <conditionalFormatting sqref="K277 K284:K1048576">
    <cfRule type="cellIs" dxfId="25" priority="3" operator="lessThan">
      <formula>-0.1</formula>
    </cfRule>
    <cfRule type="cellIs" dxfId="24" priority="4" operator="greaterThan">
      <formula>0.1</formula>
    </cfRule>
  </conditionalFormatting>
  <pageMargins left="0.2" right="0.2" top="0.75" bottom="0.5" header="0.3" footer="0.3"/>
  <pageSetup paperSize="3" scale="89" fitToHeight="0" orientation="landscape" r:id="rId1"/>
  <headerFooter>
    <oddHeader>&amp;C&amp;"-,Bold"&amp;14FY26 OPERATING BUDGET - POLICE DEPARTMENT - FIRST DRAFT - 12.11.24</oddHeader>
    <oddFooter>&amp;R&amp;P of &amp;N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AAE4B-EEEA-4D9E-AD93-0BCB35765F03}">
  <sheetPr>
    <pageSetUpPr fitToPage="1"/>
  </sheetPr>
  <dimension ref="A1:M753"/>
  <sheetViews>
    <sheetView workbookViewId="0"/>
  </sheetViews>
  <sheetFormatPr defaultRowHeight="15" x14ac:dyDescent="0.25"/>
  <cols>
    <col min="1" max="1" width="22" style="4" bestFit="1" customWidth="1"/>
    <col min="2" max="2" width="70.42578125" style="4" bestFit="1" customWidth="1"/>
    <col min="3" max="3" width="14.5703125" style="4" bestFit="1" customWidth="1"/>
    <col min="4" max="7" width="14.5703125" style="4" customWidth="1"/>
    <col min="8" max="8" width="2.7109375" style="4" customWidth="1"/>
    <col min="9" max="9" width="16.42578125" style="4" bestFit="1" customWidth="1"/>
    <col min="10" max="10" width="20" style="4" customWidth="1"/>
    <col min="11" max="11" width="2.7109375" style="4" customWidth="1"/>
    <col min="12" max="12" width="16.42578125" style="37" bestFit="1" customWidth="1"/>
    <col min="13" max="13" width="17.42578125" style="38" customWidth="1"/>
  </cols>
  <sheetData>
    <row r="1" spans="1:13" x14ac:dyDescent="0.25">
      <c r="A1" s="1" t="s">
        <v>0</v>
      </c>
      <c r="B1" s="2" t="s">
        <v>1</v>
      </c>
      <c r="C1" s="52" t="s">
        <v>327</v>
      </c>
      <c r="D1" s="52" t="s">
        <v>328</v>
      </c>
      <c r="E1" s="52" t="s">
        <v>329</v>
      </c>
      <c r="F1" s="52" t="s">
        <v>330</v>
      </c>
      <c r="G1" s="52" t="s">
        <v>331</v>
      </c>
      <c r="H1" s="3"/>
      <c r="I1" s="52" t="s">
        <v>2</v>
      </c>
      <c r="J1" s="52" t="s">
        <v>332</v>
      </c>
      <c r="K1" s="3"/>
      <c r="L1" s="55" t="s">
        <v>3</v>
      </c>
      <c r="M1" s="54" t="s">
        <v>333</v>
      </c>
    </row>
    <row r="2" spans="1:13" x14ac:dyDescent="0.25">
      <c r="A2" s="5"/>
      <c r="B2" s="6"/>
      <c r="C2" s="52"/>
      <c r="D2" s="52"/>
      <c r="E2" s="52"/>
      <c r="F2" s="52"/>
      <c r="G2" s="52"/>
      <c r="H2" s="3"/>
      <c r="I2" s="52"/>
      <c r="J2" s="52"/>
      <c r="K2" s="3"/>
      <c r="L2" s="55"/>
      <c r="M2" s="54"/>
    </row>
    <row r="3" spans="1:13" hidden="1" x14ac:dyDescent="0.25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3" hidden="1" x14ac:dyDescent="0.25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3" hidden="1" x14ac:dyDescent="0.25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3" hidden="1" x14ac:dyDescent="0.25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450000</v>
      </c>
      <c r="M6" s="38">
        <f>+L6/J6</f>
        <v>0.6428571428571429</v>
      </c>
    </row>
    <row r="7" spans="1:13" hidden="1" x14ac:dyDescent="0.25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800000</v>
      </c>
      <c r="M7" s="38">
        <f>+L7/J7</f>
        <v>0.96969696969696972</v>
      </c>
    </row>
    <row r="8" spans="1:13" hidden="1" x14ac:dyDescent="0.25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>+L8/J8</f>
        <v>1</v>
      </c>
    </row>
    <row r="9" spans="1:13" hidden="1" x14ac:dyDescent="0.25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>+L9/J9</f>
        <v>1</v>
      </c>
    </row>
    <row r="10" spans="1:13" hidden="1" x14ac:dyDescent="0.25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>+L10/J10</f>
        <v>1</v>
      </c>
    </row>
    <row r="11" spans="1:13" hidden="1" x14ac:dyDescent="0.25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3" hidden="1" x14ac:dyDescent="0.25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1860000</v>
      </c>
      <c r="M12" s="38">
        <f>+L12/J12</f>
        <v>0.87119437939110067</v>
      </c>
    </row>
    <row r="13" spans="1:13" hidden="1" x14ac:dyDescent="0.25">
      <c r="D13" s="11"/>
      <c r="E13" s="11"/>
      <c r="F13" s="11"/>
      <c r="G13" s="11"/>
      <c r="H13" s="3"/>
      <c r="I13" s="11"/>
      <c r="J13" s="11"/>
      <c r="K13" s="3"/>
      <c r="L13" s="11"/>
    </row>
    <row r="14" spans="1:13" hidden="1" x14ac:dyDescent="0.25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3" hidden="1" x14ac:dyDescent="0.25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3" hidden="1" x14ac:dyDescent="0.25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3" hidden="1" x14ac:dyDescent="0.25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>+L17/J17</f>
        <v>1</v>
      </c>
    </row>
    <row r="18" spans="1:13" hidden="1" x14ac:dyDescent="0.25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3" hidden="1" x14ac:dyDescent="0.25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ref="M19:M26" si="0">+L19/J19</f>
        <v>1.0317460317460319</v>
      </c>
    </row>
    <row r="20" spans="1:13" hidden="1" x14ac:dyDescent="0.25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0"/>
        <v>0.99580712788259962</v>
      </c>
    </row>
    <row r="21" spans="1:13" hidden="1" x14ac:dyDescent="0.25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361053.5</v>
      </c>
      <c r="H21" s="3"/>
      <c r="I21" s="11">
        <v>880085</v>
      </c>
      <c r="J21" s="11">
        <v>361000</v>
      </c>
      <c r="K21" s="3"/>
      <c r="L21" s="11">
        <v>350000</v>
      </c>
      <c r="M21" s="38">
        <f t="shared" si="0"/>
        <v>0.96952908587257614</v>
      </c>
    </row>
    <row r="22" spans="1:13" hidden="1" x14ac:dyDescent="0.25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1173685.8799999999</v>
      </c>
      <c r="H22" s="3"/>
      <c r="I22" s="11">
        <f>411257+128000</f>
        <v>539257</v>
      </c>
      <c r="J22" s="11">
        <v>1173000</v>
      </c>
      <c r="K22" s="3"/>
      <c r="L22" s="11">
        <v>1175000</v>
      </c>
      <c r="M22" s="38">
        <f t="shared" si="0"/>
        <v>1.0017050298380221</v>
      </c>
    </row>
    <row r="23" spans="1:13" hidden="1" x14ac:dyDescent="0.25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0"/>
        <v>1</v>
      </c>
    </row>
    <row r="24" spans="1:13" hidden="1" x14ac:dyDescent="0.25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0"/>
        <v>1</v>
      </c>
    </row>
    <row r="25" spans="1:13" hidden="1" x14ac:dyDescent="0.25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0"/>
        <v>0.7</v>
      </c>
    </row>
    <row r="26" spans="1:13" hidden="1" x14ac:dyDescent="0.25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0"/>
        <v>1</v>
      </c>
    </row>
    <row r="27" spans="1:13" hidden="1" x14ac:dyDescent="0.25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3" hidden="1" x14ac:dyDescent="0.25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3090060.2399999998</v>
      </c>
      <c r="H28" s="3"/>
      <c r="I28" s="11">
        <f>SUM(I16:I27)</f>
        <v>3144505</v>
      </c>
      <c r="J28" s="11">
        <f>SUM(J16:J27)</f>
        <v>3181000</v>
      </c>
      <c r="K28" s="3"/>
      <c r="L28" s="11">
        <f>SUM(L16:L27)</f>
        <v>3165000</v>
      </c>
      <c r="M28" s="38">
        <f>+L28/J28</f>
        <v>0.99497013517761712</v>
      </c>
    </row>
    <row r="29" spans="1:13" hidden="1" x14ac:dyDescent="0.25">
      <c r="D29" s="11"/>
      <c r="E29" s="11"/>
      <c r="F29" s="11"/>
      <c r="G29" s="11"/>
      <c r="H29" s="3"/>
      <c r="I29" s="11"/>
      <c r="J29" s="11"/>
      <c r="K29" s="3"/>
      <c r="L29" s="11"/>
    </row>
    <row r="30" spans="1:13" hidden="1" x14ac:dyDescent="0.25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3" hidden="1" x14ac:dyDescent="0.25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3" hidden="1" x14ac:dyDescent="0.25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>+L32/J32</f>
        <v>1</v>
      </c>
    </row>
    <row r="33" spans="1:13" hidden="1" x14ac:dyDescent="0.25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>+L33/J33</f>
        <v>1</v>
      </c>
    </row>
    <row r="34" spans="1:13" hidden="1" x14ac:dyDescent="0.25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>+L34/J34</f>
        <v>1</v>
      </c>
    </row>
    <row r="35" spans="1:13" hidden="1" x14ac:dyDescent="0.25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>+L35/J35</f>
        <v>1</v>
      </c>
    </row>
    <row r="36" spans="1:13" hidden="1" x14ac:dyDescent="0.25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hidden="1" x14ac:dyDescent="0.25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</f>
        <v>1</v>
      </c>
    </row>
    <row r="38" spans="1:13" hidden="1" x14ac:dyDescent="0.25">
      <c r="D38" s="11"/>
      <c r="E38" s="11"/>
      <c r="F38" s="11"/>
      <c r="G38" s="11"/>
      <c r="H38" s="3"/>
      <c r="I38" s="11"/>
      <c r="J38" s="11"/>
      <c r="K38" s="3"/>
      <c r="L38" s="11"/>
    </row>
    <row r="39" spans="1:13" hidden="1" x14ac:dyDescent="0.25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hidden="1" x14ac:dyDescent="0.25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hidden="1" x14ac:dyDescent="0.25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hidden="1" x14ac:dyDescent="0.25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>+L42/J42</f>
        <v>1</v>
      </c>
    </row>
    <row r="43" spans="1:13" hidden="1" x14ac:dyDescent="0.25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>+L43/J43</f>
        <v>0.23809523809523808</v>
      </c>
    </row>
    <row r="44" spans="1:13" hidden="1" x14ac:dyDescent="0.25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>+L44/J44</f>
        <v>1</v>
      </c>
    </row>
    <row r="45" spans="1:13" hidden="1" x14ac:dyDescent="0.25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hidden="1" x14ac:dyDescent="0.25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</f>
        <v>0.64179104477611937</v>
      </c>
    </row>
    <row r="47" spans="1:13" hidden="1" x14ac:dyDescent="0.25">
      <c r="D47" s="11"/>
      <c r="E47" s="11"/>
      <c r="F47" s="11"/>
      <c r="G47" s="11"/>
      <c r="H47" s="3"/>
      <c r="I47" s="11"/>
      <c r="J47" s="11"/>
      <c r="K47" s="3"/>
      <c r="L47" s="11"/>
    </row>
    <row r="48" spans="1:13" hidden="1" x14ac:dyDescent="0.25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3" hidden="1" x14ac:dyDescent="0.25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</f>
        <v>0.7142857142857143</v>
      </c>
    </row>
    <row r="50" spans="1:13" hidden="1" x14ac:dyDescent="0.25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3" hidden="1" x14ac:dyDescent="0.25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</f>
        <v>0.7142857142857143</v>
      </c>
    </row>
    <row r="52" spans="1:13" hidden="1" x14ac:dyDescent="0.25">
      <c r="D52" s="11"/>
      <c r="E52" s="11"/>
      <c r="F52" s="11"/>
      <c r="G52" s="11"/>
      <c r="H52" s="3"/>
      <c r="I52" s="11"/>
      <c r="J52" s="11"/>
      <c r="K52" s="3"/>
      <c r="L52" s="11"/>
    </row>
    <row r="53" spans="1:13" hidden="1" x14ac:dyDescent="0.25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3" hidden="1" x14ac:dyDescent="0.25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3" hidden="1" x14ac:dyDescent="0.25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</f>
        <v>0.42857142857142855</v>
      </c>
    </row>
    <row r="56" spans="1:13" hidden="1" x14ac:dyDescent="0.25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3" hidden="1" x14ac:dyDescent="0.25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</f>
        <v>0.1</v>
      </c>
    </row>
    <row r="58" spans="1:13" hidden="1" x14ac:dyDescent="0.25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>
        <v>1500</v>
      </c>
      <c r="J58" s="11">
        <v>1500</v>
      </c>
      <c r="K58" s="3"/>
      <c r="L58" s="11">
        <v>1500</v>
      </c>
      <c r="M58" s="38">
        <f>+L58/J58</f>
        <v>1</v>
      </c>
    </row>
    <row r="59" spans="1:13" hidden="1" x14ac:dyDescent="0.25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</f>
        <v>1</v>
      </c>
    </row>
    <row r="60" spans="1:13" hidden="1" x14ac:dyDescent="0.25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3" hidden="1" x14ac:dyDescent="0.25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55500</v>
      </c>
      <c r="J61" s="11">
        <f>SUM(J55:J60)</f>
        <v>80000</v>
      </c>
      <c r="K61" s="3"/>
      <c r="L61" s="11">
        <f>SUM(L55:L60)</f>
        <v>55500</v>
      </c>
      <c r="M61" s="38">
        <f>+L61/J61</f>
        <v>0.69374999999999998</v>
      </c>
    </row>
    <row r="62" spans="1:13" hidden="1" x14ac:dyDescent="0.25">
      <c r="D62" s="11"/>
      <c r="E62" s="11"/>
      <c r="F62" s="11"/>
      <c r="G62" s="11"/>
      <c r="H62" s="3"/>
      <c r="I62" s="11"/>
      <c r="J62" s="11"/>
      <c r="K62" s="3"/>
      <c r="L62" s="11"/>
    </row>
    <row r="63" spans="1:13" hidden="1" x14ac:dyDescent="0.25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5771463.9800000004</v>
      </c>
      <c r="H63" s="3"/>
      <c r="I63" s="11" cm="1">
        <f t="array" ref="I63:I64">+I60:I61+I51+I46+I37+I28+I12</f>
        <v>5760005</v>
      </c>
      <c r="J63" s="11" cm="1">
        <f t="array" ref="J63:J64">+J60:J61+J51+J46+J37+J28+J12</f>
        <v>6178500</v>
      </c>
      <c r="K63" s="3"/>
      <c r="L63" s="11" cm="1">
        <f t="array" ref="L63:L64">+L60:L61+L51+L46+L37+L28+L12</f>
        <v>5739500</v>
      </c>
      <c r="M63" s="38">
        <f>+L63/J63</f>
        <v>0.92894715545844464</v>
      </c>
    </row>
    <row r="64" spans="1:13" hidden="1" x14ac:dyDescent="0.25">
      <c r="A64" s="27"/>
      <c r="B64" s="27"/>
      <c r="C64" s="26">
        <v>4276151</v>
      </c>
      <c r="D64" s="4">
        <v>6019921.370000001</v>
      </c>
      <c r="E64" s="4">
        <v>4860796.18</v>
      </c>
      <c r="F64" s="4">
        <v>5851407.4800000004</v>
      </c>
      <c r="G64" s="4">
        <v>5811859.7700000005</v>
      </c>
      <c r="H64" s="3"/>
      <c r="I64" s="4">
        <v>5815505</v>
      </c>
      <c r="J64" s="4">
        <v>6258500</v>
      </c>
      <c r="K64" s="3"/>
      <c r="L64" s="37">
        <v>5795000</v>
      </c>
    </row>
    <row r="65" spans="1:13" hidden="1" x14ac:dyDescent="0.25">
      <c r="A65" s="27"/>
      <c r="B65" s="27"/>
      <c r="C65" s="26"/>
      <c r="D65" s="11"/>
      <c r="E65" s="11"/>
      <c r="F65" s="11"/>
      <c r="G65" s="11"/>
      <c r="H65" s="3"/>
      <c r="I65" s="11"/>
      <c r="J65" s="11"/>
      <c r="K65" s="3"/>
      <c r="L65" s="11"/>
    </row>
    <row r="66" spans="1:13" hidden="1" x14ac:dyDescent="0.25">
      <c r="A66" s="9" t="s">
        <v>88</v>
      </c>
      <c r="B66" s="10" t="s">
        <v>89</v>
      </c>
      <c r="D66" s="11"/>
      <c r="E66" s="11"/>
      <c r="F66" s="11"/>
      <c r="G66" s="11"/>
      <c r="H66" s="3"/>
      <c r="I66" s="11"/>
      <c r="J66" s="11"/>
      <c r="K66" s="3"/>
      <c r="L66" s="11"/>
    </row>
    <row r="67" spans="1:13" hidden="1" x14ac:dyDescent="0.25">
      <c r="A67" s="12" t="s">
        <v>9</v>
      </c>
      <c r="B67" s="13" t="s">
        <v>10</v>
      </c>
      <c r="D67" s="11"/>
      <c r="E67" s="11"/>
      <c r="F67" s="11"/>
      <c r="G67" s="11"/>
      <c r="H67" s="3"/>
      <c r="I67" s="11"/>
      <c r="J67" s="11"/>
      <c r="K67" s="3"/>
      <c r="L67" s="11"/>
    </row>
    <row r="68" spans="1:13" hidden="1" x14ac:dyDescent="0.25">
      <c r="A68" s="14" t="s">
        <v>90</v>
      </c>
      <c r="B68" s="15" t="s">
        <v>91</v>
      </c>
      <c r="C68" s="16">
        <v>26237</v>
      </c>
      <c r="D68" s="11">
        <v>34249.040000000001</v>
      </c>
      <c r="E68" s="11">
        <v>36787.03</v>
      </c>
      <c r="F68" s="11">
        <v>65317.5</v>
      </c>
      <c r="G68" s="11">
        <v>180826.08</v>
      </c>
      <c r="H68" s="3"/>
      <c r="I68" s="11">
        <v>60000</v>
      </c>
      <c r="J68" s="11">
        <v>200000</v>
      </c>
      <c r="K68" s="3"/>
      <c r="L68" s="11">
        <v>200000</v>
      </c>
      <c r="M68" s="38">
        <f t="shared" ref="M68:M84" si="1">+L68/J68</f>
        <v>1</v>
      </c>
    </row>
    <row r="69" spans="1:13" hidden="1" x14ac:dyDescent="0.25">
      <c r="A69" s="14" t="s">
        <v>92</v>
      </c>
      <c r="B69" s="15" t="s">
        <v>93</v>
      </c>
      <c r="C69" s="16">
        <v>15987</v>
      </c>
      <c r="D69" s="11">
        <v>20126.57</v>
      </c>
      <c r="E69" s="11">
        <v>7018.92</v>
      </c>
      <c r="F69" s="11">
        <v>6942.57</v>
      </c>
      <c r="G69" s="11">
        <v>6245.62</v>
      </c>
      <c r="H69" s="3"/>
      <c r="I69" s="11">
        <f>+I6*0.01</f>
        <v>5000</v>
      </c>
      <c r="J69" s="11">
        <v>7000</v>
      </c>
      <c r="K69" s="3"/>
      <c r="L69" s="11">
        <f>0.01*L6</f>
        <v>4500</v>
      </c>
      <c r="M69" s="38">
        <f t="shared" si="1"/>
        <v>0.6428571428571429</v>
      </c>
    </row>
    <row r="70" spans="1:13" hidden="1" x14ac:dyDescent="0.25">
      <c r="A70" s="14" t="s">
        <v>94</v>
      </c>
      <c r="B70" s="15" t="s">
        <v>95</v>
      </c>
      <c r="C70" s="16">
        <v>373</v>
      </c>
      <c r="D70" s="11">
        <v>4546.7</v>
      </c>
      <c r="E70" s="11">
        <v>1736.1</v>
      </c>
      <c r="F70" s="11">
        <v>3225.47</v>
      </c>
      <c r="G70" s="11">
        <v>2965.18</v>
      </c>
      <c r="H70" s="3"/>
      <c r="I70" s="11">
        <v>3000</v>
      </c>
      <c r="J70" s="11">
        <v>3000</v>
      </c>
      <c r="K70" s="3"/>
      <c r="L70" s="11">
        <v>3000</v>
      </c>
      <c r="M70" s="38">
        <f t="shared" si="1"/>
        <v>1</v>
      </c>
    </row>
    <row r="71" spans="1:13" hidden="1" x14ac:dyDescent="0.25">
      <c r="A71" s="14" t="s">
        <v>96</v>
      </c>
      <c r="B71" s="15" t="s">
        <v>97</v>
      </c>
      <c r="C71" s="16">
        <v>6202</v>
      </c>
      <c r="D71" s="11">
        <v>2604.8200000000002</v>
      </c>
      <c r="E71" s="11">
        <v>3101.25</v>
      </c>
      <c r="F71" s="11">
        <v>232</v>
      </c>
      <c r="G71" s="11">
        <v>239</v>
      </c>
      <c r="H71" s="3"/>
      <c r="I71" s="11">
        <v>5000</v>
      </c>
      <c r="J71" s="11">
        <v>500</v>
      </c>
      <c r="K71" s="3"/>
      <c r="L71" s="11">
        <v>5000</v>
      </c>
      <c r="M71" s="38">
        <f t="shared" si="1"/>
        <v>10</v>
      </c>
    </row>
    <row r="72" spans="1:13" hidden="1" x14ac:dyDescent="0.25">
      <c r="A72" s="14" t="s">
        <v>98</v>
      </c>
      <c r="B72" s="15" t="s">
        <v>62</v>
      </c>
      <c r="C72" s="16">
        <v>0</v>
      </c>
      <c r="D72" s="11">
        <v>5600</v>
      </c>
      <c r="E72" s="11">
        <v>5474.97</v>
      </c>
      <c r="F72" s="11">
        <v>11265</v>
      </c>
      <c r="G72" s="11">
        <v>11700</v>
      </c>
      <c r="H72" s="3"/>
      <c r="I72" s="11">
        <v>5000</v>
      </c>
      <c r="J72" s="11">
        <v>12000</v>
      </c>
      <c r="K72" s="3"/>
      <c r="L72" s="11">
        <v>5000</v>
      </c>
      <c r="M72" s="38">
        <f t="shared" si="1"/>
        <v>0.41666666666666669</v>
      </c>
    </row>
    <row r="73" spans="1:13" hidden="1" x14ac:dyDescent="0.25">
      <c r="A73" s="14" t="s">
        <v>99</v>
      </c>
      <c r="B73" s="15" t="s">
        <v>100</v>
      </c>
      <c r="C73" s="16">
        <v>3410</v>
      </c>
      <c r="D73" s="11">
        <v>1195</v>
      </c>
      <c r="E73" s="11">
        <v>8127.02</v>
      </c>
      <c r="F73" s="11">
        <v>6156</v>
      </c>
      <c r="G73" s="11">
        <v>8940</v>
      </c>
      <c r="H73" s="3"/>
      <c r="I73" s="11">
        <v>5000</v>
      </c>
      <c r="J73" s="11">
        <v>10000</v>
      </c>
      <c r="K73" s="3"/>
      <c r="L73" s="11">
        <v>5000</v>
      </c>
      <c r="M73" s="38">
        <f t="shared" si="1"/>
        <v>0.5</v>
      </c>
    </row>
    <row r="74" spans="1:13" hidden="1" x14ac:dyDescent="0.25">
      <c r="A74" s="14" t="s">
        <v>101</v>
      </c>
      <c r="B74" s="15" t="s">
        <v>102</v>
      </c>
      <c r="C74" s="16">
        <f>57845+2373</f>
        <v>60218</v>
      </c>
      <c r="D74" s="11">
        <v>56921.25</v>
      </c>
      <c r="E74" s="11">
        <v>37022.5</v>
      </c>
      <c r="F74" s="11">
        <v>81058.55</v>
      </c>
      <c r="G74" s="11">
        <v>70914.41</v>
      </c>
      <c r="H74" s="3"/>
      <c r="I74" s="11">
        <v>100000</v>
      </c>
      <c r="J74" s="11">
        <v>100000</v>
      </c>
      <c r="K74" s="3"/>
      <c r="L74" s="11">
        <v>100000</v>
      </c>
      <c r="M74" s="38">
        <f t="shared" si="1"/>
        <v>1</v>
      </c>
    </row>
    <row r="75" spans="1:13" hidden="1" x14ac:dyDescent="0.25">
      <c r="A75" s="14" t="s">
        <v>103</v>
      </c>
      <c r="B75" s="15" t="s">
        <v>104</v>
      </c>
      <c r="C75" s="16">
        <v>21000</v>
      </c>
      <c r="D75" s="11">
        <v>24500</v>
      </c>
      <c r="E75" s="11">
        <v>31990</v>
      </c>
      <c r="F75" s="11">
        <v>55595</v>
      </c>
      <c r="G75" s="11">
        <v>67393</v>
      </c>
      <c r="H75" s="3"/>
      <c r="I75" s="11">
        <v>60000</v>
      </c>
      <c r="J75" s="11">
        <v>68000</v>
      </c>
      <c r="K75" s="3"/>
      <c r="L75" s="11">
        <v>65000</v>
      </c>
      <c r="M75" s="38">
        <f t="shared" si="1"/>
        <v>0.95588235294117652</v>
      </c>
    </row>
    <row r="76" spans="1:13" hidden="1" x14ac:dyDescent="0.25">
      <c r="A76" s="14" t="s">
        <v>105</v>
      </c>
      <c r="B76" s="15" t="s">
        <v>106</v>
      </c>
      <c r="C76" s="16">
        <v>0</v>
      </c>
      <c r="D76" s="11">
        <v>0</v>
      </c>
      <c r="E76" s="11">
        <v>0</v>
      </c>
      <c r="F76" s="11">
        <v>0</v>
      </c>
      <c r="G76" s="11">
        <v>0</v>
      </c>
      <c r="H76" s="3"/>
      <c r="I76" s="11">
        <v>2000</v>
      </c>
      <c r="J76" s="11">
        <v>2000</v>
      </c>
      <c r="K76" s="3"/>
      <c r="L76" s="11">
        <v>0</v>
      </c>
      <c r="M76" s="38">
        <f t="shared" si="1"/>
        <v>0</v>
      </c>
    </row>
    <row r="77" spans="1:13" hidden="1" x14ac:dyDescent="0.25">
      <c r="A77" s="14" t="s">
        <v>107</v>
      </c>
      <c r="B77" s="15" t="s">
        <v>108</v>
      </c>
      <c r="C77" s="16">
        <v>970</v>
      </c>
      <c r="D77" s="11">
        <v>280</v>
      </c>
      <c r="E77" s="11">
        <v>14559.11</v>
      </c>
      <c r="F77" s="11">
        <v>8440.1</v>
      </c>
      <c r="G77" s="11">
        <v>3170</v>
      </c>
      <c r="H77" s="3"/>
      <c r="I77" s="11">
        <v>3000</v>
      </c>
      <c r="J77" s="11">
        <v>3000</v>
      </c>
      <c r="K77" s="3"/>
      <c r="L77" s="11">
        <v>3000</v>
      </c>
      <c r="M77" s="38">
        <f t="shared" si="1"/>
        <v>1</v>
      </c>
    </row>
    <row r="78" spans="1:13" hidden="1" x14ac:dyDescent="0.25">
      <c r="A78" s="14" t="s">
        <v>109</v>
      </c>
      <c r="B78" s="15" t="s">
        <v>110</v>
      </c>
      <c r="C78" s="16">
        <v>79966</v>
      </c>
      <c r="D78" s="11">
        <v>105164.45</v>
      </c>
      <c r="E78" s="11">
        <v>88000.18</v>
      </c>
      <c r="F78" s="11">
        <v>134525.44</v>
      </c>
      <c r="G78" s="11">
        <v>60944.78</v>
      </c>
      <c r="H78" s="3"/>
      <c r="I78" s="11">
        <v>85000</v>
      </c>
      <c r="J78" s="11">
        <v>85000</v>
      </c>
      <c r="K78" s="3"/>
      <c r="L78" s="11">
        <v>85000</v>
      </c>
      <c r="M78" s="38">
        <f t="shared" si="1"/>
        <v>1</v>
      </c>
    </row>
    <row r="79" spans="1:13" hidden="1" x14ac:dyDescent="0.25">
      <c r="A79" s="14">
        <v>6010950</v>
      </c>
      <c r="B79" s="15" t="s">
        <v>111</v>
      </c>
      <c r="C79" s="16">
        <v>0</v>
      </c>
      <c r="D79" s="11"/>
      <c r="E79" s="11"/>
      <c r="F79" s="11">
        <v>12656.25</v>
      </c>
      <c r="G79" s="11">
        <v>18002.84</v>
      </c>
      <c r="H79" s="3"/>
      <c r="I79" s="11">
        <v>50000</v>
      </c>
      <c r="J79" s="11">
        <v>25000</v>
      </c>
      <c r="K79" s="3"/>
      <c r="L79" s="11">
        <v>50000</v>
      </c>
      <c r="M79" s="38">
        <f t="shared" si="1"/>
        <v>2</v>
      </c>
    </row>
    <row r="80" spans="1:13" hidden="1" x14ac:dyDescent="0.25">
      <c r="A80" s="14" t="s">
        <v>112</v>
      </c>
      <c r="B80" s="15" t="s">
        <v>113</v>
      </c>
      <c r="C80" s="16">
        <v>8750</v>
      </c>
      <c r="D80" s="11">
        <v>10250</v>
      </c>
      <c r="E80" s="11">
        <v>10200</v>
      </c>
      <c r="F80" s="11">
        <v>10650</v>
      </c>
      <c r="G80" s="11">
        <v>6400</v>
      </c>
      <c r="H80" s="3"/>
      <c r="I80" s="11">
        <v>15000</v>
      </c>
      <c r="J80" s="11">
        <v>15000</v>
      </c>
      <c r="K80" s="3"/>
      <c r="L80" s="11">
        <v>20000</v>
      </c>
      <c r="M80" s="38">
        <f t="shared" si="1"/>
        <v>1.3333333333333333</v>
      </c>
    </row>
    <row r="81" spans="1:13" hidden="1" x14ac:dyDescent="0.25">
      <c r="A81" s="14" t="s">
        <v>114</v>
      </c>
      <c r="B81" s="15" t="s">
        <v>115</v>
      </c>
      <c r="C81" s="16">
        <v>0</v>
      </c>
      <c r="D81" s="11">
        <v>27958.95</v>
      </c>
      <c r="E81" s="11">
        <v>6961.88</v>
      </c>
      <c r="F81" s="11">
        <v>26351.88</v>
      </c>
      <c r="G81" s="11">
        <v>10292.4</v>
      </c>
      <c r="H81" s="3"/>
      <c r="I81" s="11">
        <v>9000</v>
      </c>
      <c r="J81" s="11">
        <v>13000</v>
      </c>
      <c r="K81" s="3"/>
      <c r="L81" s="11">
        <v>15000</v>
      </c>
      <c r="M81" s="38">
        <f t="shared" si="1"/>
        <v>1.1538461538461537</v>
      </c>
    </row>
    <row r="82" spans="1:13" hidden="1" x14ac:dyDescent="0.25">
      <c r="A82" s="14" t="s">
        <v>116</v>
      </c>
      <c r="B82" s="15" t="s">
        <v>117</v>
      </c>
      <c r="C82" s="16">
        <v>5788</v>
      </c>
      <c r="D82" s="11">
        <v>4300</v>
      </c>
      <c r="E82" s="11">
        <v>4869</v>
      </c>
      <c r="F82" s="11">
        <v>4340</v>
      </c>
      <c r="G82" s="11">
        <v>2125</v>
      </c>
      <c r="H82" s="3"/>
      <c r="I82" s="11">
        <v>6500</v>
      </c>
      <c r="J82" s="11">
        <v>6500</v>
      </c>
      <c r="K82" s="3"/>
      <c r="L82" s="11">
        <v>5000</v>
      </c>
      <c r="M82" s="38">
        <f t="shared" si="1"/>
        <v>0.76923076923076927</v>
      </c>
    </row>
    <row r="83" spans="1:13" hidden="1" x14ac:dyDescent="0.25">
      <c r="A83" s="14" t="s">
        <v>118</v>
      </c>
      <c r="B83" s="15" t="s">
        <v>119</v>
      </c>
      <c r="C83" s="16">
        <v>18709</v>
      </c>
      <c r="D83" s="11">
        <v>13876.48</v>
      </c>
      <c r="E83" s="11">
        <v>18187.78</v>
      </c>
      <c r="F83" s="11">
        <v>15407.18</v>
      </c>
      <c r="G83" s="11">
        <v>110.43</v>
      </c>
      <c r="H83" s="3"/>
      <c r="I83" s="11">
        <v>7500</v>
      </c>
      <c r="J83" s="11">
        <v>7500</v>
      </c>
      <c r="K83" s="3"/>
      <c r="L83" s="11">
        <v>7500</v>
      </c>
      <c r="M83" s="38">
        <f t="shared" si="1"/>
        <v>1</v>
      </c>
    </row>
    <row r="84" spans="1:13" hidden="1" x14ac:dyDescent="0.25">
      <c r="A84" s="14" t="s">
        <v>120</v>
      </c>
      <c r="B84" s="15" t="s">
        <v>121</v>
      </c>
      <c r="C84" s="16">
        <v>61378</v>
      </c>
      <c r="D84" s="11">
        <v>40060.879999999997</v>
      </c>
      <c r="E84" s="11">
        <v>1266.28</v>
      </c>
      <c r="F84" s="11">
        <v>36224.44</v>
      </c>
      <c r="G84" s="11">
        <v>14761.21</v>
      </c>
      <c r="H84" s="3"/>
      <c r="I84" s="11">
        <v>35000</v>
      </c>
      <c r="J84" s="11">
        <v>35000</v>
      </c>
      <c r="K84" s="3"/>
      <c r="L84" s="11">
        <v>20000</v>
      </c>
      <c r="M84" s="38">
        <f t="shared" si="1"/>
        <v>0.5714285714285714</v>
      </c>
    </row>
    <row r="85" spans="1:13" hidden="1" x14ac:dyDescent="0.25">
      <c r="A85" s="14"/>
      <c r="B85" s="15"/>
      <c r="C85" s="16"/>
      <c r="D85" s="11"/>
      <c r="E85" s="11"/>
      <c r="F85" s="11"/>
      <c r="G85" s="11"/>
      <c r="H85" s="3"/>
      <c r="I85" s="11"/>
      <c r="J85" s="11"/>
      <c r="K85" s="3"/>
      <c r="L85" s="11"/>
    </row>
    <row r="86" spans="1:13" hidden="1" x14ac:dyDescent="0.25">
      <c r="A86" s="29"/>
      <c r="B86" s="30" t="s">
        <v>122</v>
      </c>
      <c r="C86" s="16">
        <f>SUM(C68:C84)</f>
        <v>308988</v>
      </c>
      <c r="D86" s="11">
        <f>SUM(D68:D84)</f>
        <v>351634.14</v>
      </c>
      <c r="E86" s="11">
        <f>SUM(E68:E84)</f>
        <v>275302.02</v>
      </c>
      <c r="F86" s="11">
        <f>SUM(F68:F84)</f>
        <v>478387.38</v>
      </c>
      <c r="G86" s="11">
        <f>SUM(G68:G84)</f>
        <v>465029.95</v>
      </c>
      <c r="H86" s="3"/>
      <c r="I86" s="11">
        <f>SUM(I68:I84)</f>
        <v>456000</v>
      </c>
      <c r="J86" s="11">
        <f>SUM(J68:J84)</f>
        <v>592500</v>
      </c>
      <c r="K86" s="3"/>
      <c r="L86" s="11">
        <f>SUM(L68:L84)</f>
        <v>593000</v>
      </c>
      <c r="M86" s="38">
        <f>+L86/J86</f>
        <v>1.0008438818565402</v>
      </c>
    </row>
    <row r="87" spans="1:13" hidden="1" x14ac:dyDescent="0.25">
      <c r="A87" s="29"/>
      <c r="B87" s="30"/>
      <c r="C87" s="16"/>
      <c r="D87" s="11"/>
      <c r="E87" s="11"/>
      <c r="F87" s="11"/>
      <c r="G87" s="11"/>
      <c r="H87" s="3"/>
      <c r="I87" s="11"/>
      <c r="J87" s="11"/>
      <c r="K87" s="3"/>
      <c r="L87" s="11"/>
    </row>
    <row r="88" spans="1:13" hidden="1" x14ac:dyDescent="0.25">
      <c r="A88" s="14" t="s">
        <v>123</v>
      </c>
      <c r="B88" s="15" t="s">
        <v>124</v>
      </c>
      <c r="C88" s="16">
        <v>238952</v>
      </c>
      <c r="D88" s="11">
        <v>299344.71999999997</v>
      </c>
      <c r="E88" s="11">
        <v>296161.17</v>
      </c>
      <c r="F88" s="11">
        <v>348848.89</v>
      </c>
      <c r="G88" s="11">
        <v>211577.23</v>
      </c>
      <c r="H88" s="3"/>
      <c r="I88" s="11">
        <v>381989</v>
      </c>
      <c r="J88" s="11">
        <v>381989</v>
      </c>
      <c r="K88" s="3"/>
      <c r="L88" s="11">
        <f>+'[1]Non-Union - 3.5%'!$I$13+'[1]Non-Union - 3.5%'!$V$13</f>
        <v>400796.10425099998</v>
      </c>
      <c r="M88" s="38">
        <f t="shared" ref="M88:M108" si="2">+L88/J88</f>
        <v>1.0492346749539907</v>
      </c>
    </row>
    <row r="89" spans="1:13" hidden="1" x14ac:dyDescent="0.25">
      <c r="A89" s="14" t="s">
        <v>125</v>
      </c>
      <c r="B89" s="15" t="s">
        <v>126</v>
      </c>
      <c r="C89" s="16">
        <v>19656</v>
      </c>
      <c r="D89" s="11">
        <v>24665.38</v>
      </c>
      <c r="E89" s="11">
        <v>23771.06</v>
      </c>
      <c r="F89" s="11">
        <v>25648.01</v>
      </c>
      <c r="G89" s="11">
        <v>18946.3</v>
      </c>
      <c r="H89" s="3"/>
      <c r="I89" s="11">
        <v>30559</v>
      </c>
      <c r="J89" s="11">
        <v>30559</v>
      </c>
      <c r="K89" s="3"/>
      <c r="L89" s="11">
        <f>+'[1]Non-Union - 3.5%'!$P$13+'[1]Non-Union - 3.5%'!$Z$13</f>
        <v>32063.68834008</v>
      </c>
      <c r="M89" s="38">
        <f t="shared" si="2"/>
        <v>1.0492387951202591</v>
      </c>
    </row>
    <row r="90" spans="1:13" hidden="1" x14ac:dyDescent="0.25">
      <c r="A90" s="14" t="s">
        <v>127</v>
      </c>
      <c r="B90" s="15" t="s">
        <v>128</v>
      </c>
      <c r="C90" s="16">
        <v>45927</v>
      </c>
      <c r="D90" s="11">
        <v>58698.76</v>
      </c>
      <c r="E90" s="11">
        <v>67570.789999999994</v>
      </c>
      <c r="F90" s="11">
        <v>64434.796000000002</v>
      </c>
      <c r="G90" s="11">
        <v>51089.38</v>
      </c>
      <c r="H90" s="3"/>
      <c r="I90" s="11">
        <f>67402+3616+1226+136</f>
        <v>72380</v>
      </c>
      <c r="J90" s="11">
        <v>72380</v>
      </c>
      <c r="K90" s="3"/>
      <c r="L90" s="11">
        <f>+SUM('[1]Non-Union - 3.5%'!$K$13:$M$13)</f>
        <v>85547.279999999984</v>
      </c>
      <c r="M90" s="38">
        <f t="shared" si="2"/>
        <v>1.1819187620889746</v>
      </c>
    </row>
    <row r="91" spans="1:13" hidden="1" x14ac:dyDescent="0.25">
      <c r="A91" s="14" t="s">
        <v>129</v>
      </c>
      <c r="B91" s="15" t="s">
        <v>130</v>
      </c>
      <c r="C91" s="16">
        <v>4516</v>
      </c>
      <c r="D91" s="11">
        <v>3310.13</v>
      </c>
      <c r="E91" s="11">
        <v>783.71</v>
      </c>
      <c r="F91" s="11">
        <v>3864.75</v>
      </c>
      <c r="G91" s="11">
        <v>2659.38</v>
      </c>
      <c r="H91" s="3"/>
      <c r="I91" s="11">
        <v>4112</v>
      </c>
      <c r="J91" s="11">
        <v>4112</v>
      </c>
      <c r="K91" s="3"/>
      <c r="L91" s="11">
        <f>+'[1]Non-Union - 3.5%'!$O$13+'[1]Non-Union - 3.5%'!$X$13</f>
        <v>4321.0660252799998</v>
      </c>
      <c r="M91" s="38">
        <f t="shared" si="2"/>
        <v>1.0508429049805448</v>
      </c>
    </row>
    <row r="92" spans="1:13" hidden="1" x14ac:dyDescent="0.25">
      <c r="A92" s="14" t="s">
        <v>131</v>
      </c>
      <c r="B92" s="15" t="s">
        <v>132</v>
      </c>
      <c r="C92" s="16">
        <v>2521</v>
      </c>
      <c r="D92" s="11">
        <v>2307.63</v>
      </c>
      <c r="E92" s="11">
        <v>3053.15</v>
      </c>
      <c r="F92" s="11">
        <v>3349.54</v>
      </c>
      <c r="G92" s="11">
        <v>6215.25</v>
      </c>
      <c r="H92" s="3"/>
      <c r="I92" s="11">
        <v>496</v>
      </c>
      <c r="J92" s="11">
        <v>496</v>
      </c>
      <c r="K92" s="3"/>
      <c r="L92" s="11">
        <f>+'[1]Non-Union - 3.5%'!$Y$13+'[1]Non-Union - 3.5%'!$R$13</f>
        <v>522.03493552630005</v>
      </c>
      <c r="M92" s="38">
        <f t="shared" si="2"/>
        <v>1.0524897893675405</v>
      </c>
    </row>
    <row r="93" spans="1:13" hidden="1" x14ac:dyDescent="0.25">
      <c r="A93" s="14" t="s">
        <v>133</v>
      </c>
      <c r="B93" s="15" t="s">
        <v>134</v>
      </c>
      <c r="C93" s="16">
        <v>0</v>
      </c>
      <c r="D93" s="11">
        <v>11442.46</v>
      </c>
      <c r="E93" s="11">
        <v>4424.22</v>
      </c>
      <c r="F93" s="11">
        <v>3650.56</v>
      </c>
      <c r="G93" s="11">
        <v>3376.96</v>
      </c>
      <c r="H93" s="3"/>
      <c r="I93" s="11">
        <v>5000</v>
      </c>
      <c r="J93" s="11">
        <v>5000</v>
      </c>
      <c r="K93" s="3"/>
      <c r="L93" s="11">
        <v>5000</v>
      </c>
      <c r="M93" s="38">
        <f t="shared" si="2"/>
        <v>1</v>
      </c>
    </row>
    <row r="94" spans="1:13" hidden="1" x14ac:dyDescent="0.25">
      <c r="A94" s="14" t="s">
        <v>135</v>
      </c>
      <c r="B94" s="15" t="s">
        <v>136</v>
      </c>
      <c r="C94" s="16">
        <v>0</v>
      </c>
      <c r="D94" s="11">
        <v>1059.43</v>
      </c>
      <c r="E94" s="11">
        <v>550.42999999999995</v>
      </c>
      <c r="F94" s="11">
        <v>323.07</v>
      </c>
      <c r="G94" s="11">
        <v>293.18</v>
      </c>
      <c r="H94" s="3"/>
      <c r="I94" s="11">
        <v>450</v>
      </c>
      <c r="J94" s="11">
        <v>450</v>
      </c>
      <c r="K94" s="3"/>
      <c r="L94" s="11">
        <v>450</v>
      </c>
      <c r="M94" s="38">
        <f t="shared" si="2"/>
        <v>1</v>
      </c>
    </row>
    <row r="95" spans="1:13" hidden="1" x14ac:dyDescent="0.25">
      <c r="A95" s="14" t="s">
        <v>137</v>
      </c>
      <c r="B95" s="15" t="s">
        <v>138</v>
      </c>
      <c r="C95" s="16">
        <v>12</v>
      </c>
      <c r="D95" s="11">
        <v>19.940000000000001</v>
      </c>
      <c r="E95" s="11">
        <v>117.15</v>
      </c>
      <c r="F95" s="11">
        <v>650.58000000000004</v>
      </c>
      <c r="G95" s="11">
        <v>-239.21</v>
      </c>
      <c r="H95" s="3"/>
      <c r="I95" s="11">
        <v>15</v>
      </c>
      <c r="J95" s="11">
        <v>15</v>
      </c>
      <c r="K95" s="3"/>
      <c r="L95" s="11">
        <v>15</v>
      </c>
      <c r="M95" s="38">
        <f t="shared" si="2"/>
        <v>1</v>
      </c>
    </row>
    <row r="96" spans="1:13" hidden="1" x14ac:dyDescent="0.25">
      <c r="A96" s="14" t="s">
        <v>139</v>
      </c>
      <c r="B96" s="15" t="s">
        <v>140</v>
      </c>
      <c r="C96" s="16">
        <v>15361</v>
      </c>
      <c r="D96" s="11">
        <v>19630.669999999998</v>
      </c>
      <c r="E96" s="11">
        <v>17868.97</v>
      </c>
      <c r="F96" s="11">
        <v>22859.69</v>
      </c>
      <c r="G96" s="11">
        <v>21956.58</v>
      </c>
      <c r="H96" s="3"/>
      <c r="I96" s="11">
        <v>30000</v>
      </c>
      <c r="J96" s="11">
        <v>30000</v>
      </c>
      <c r="K96" s="3"/>
      <c r="L96" s="11">
        <v>30000</v>
      </c>
      <c r="M96" s="38">
        <f t="shared" si="2"/>
        <v>1</v>
      </c>
    </row>
    <row r="97" spans="1:13" hidden="1" x14ac:dyDescent="0.25">
      <c r="A97" s="14" t="s">
        <v>141</v>
      </c>
      <c r="B97" s="15" t="s">
        <v>142</v>
      </c>
      <c r="C97" s="16">
        <v>2450</v>
      </c>
      <c r="D97" s="11">
        <v>2907.5</v>
      </c>
      <c r="E97" s="11">
        <v>2185</v>
      </c>
      <c r="F97" s="11">
        <v>3020</v>
      </c>
      <c r="G97" s="11">
        <v>3274</v>
      </c>
      <c r="H97" s="3"/>
      <c r="I97" s="11">
        <v>2900</v>
      </c>
      <c r="J97" s="11">
        <v>6000</v>
      </c>
      <c r="K97" s="3"/>
      <c r="L97" s="11">
        <v>9500</v>
      </c>
      <c r="M97" s="38">
        <f t="shared" si="2"/>
        <v>1.5833333333333333</v>
      </c>
    </row>
    <row r="98" spans="1:13" hidden="1" x14ac:dyDescent="0.25">
      <c r="A98" s="14" t="s">
        <v>143</v>
      </c>
      <c r="B98" s="15" t="s">
        <v>144</v>
      </c>
      <c r="C98" s="16">
        <v>212</v>
      </c>
      <c r="D98" s="11">
        <v>427.5</v>
      </c>
      <c r="E98" s="11">
        <v>432</v>
      </c>
      <c r="F98" s="11">
        <v>438</v>
      </c>
      <c r="G98" s="11">
        <v>441</v>
      </c>
      <c r="H98" s="3"/>
      <c r="I98" s="11">
        <v>500</v>
      </c>
      <c r="J98" s="11">
        <v>500</v>
      </c>
      <c r="K98" s="3"/>
      <c r="L98" s="11">
        <v>500</v>
      </c>
      <c r="M98" s="38">
        <f t="shared" si="2"/>
        <v>1</v>
      </c>
    </row>
    <row r="99" spans="1:13" hidden="1" x14ac:dyDescent="0.25">
      <c r="A99" s="14" t="s">
        <v>145</v>
      </c>
      <c r="B99" s="15" t="s">
        <v>146</v>
      </c>
      <c r="C99" s="16">
        <v>4463</v>
      </c>
      <c r="D99" s="11">
        <v>1800.73</v>
      </c>
      <c r="E99" s="11">
        <v>547.07000000000005</v>
      </c>
      <c r="F99" s="11">
        <v>8821.2900000000009</v>
      </c>
      <c r="G99" s="11">
        <v>3991.24</v>
      </c>
      <c r="H99" s="3"/>
      <c r="I99" s="11">
        <v>2500</v>
      </c>
      <c r="J99" s="11">
        <v>2500</v>
      </c>
      <c r="K99" s="3"/>
      <c r="L99" s="11">
        <v>4000</v>
      </c>
      <c r="M99" s="38">
        <f t="shared" si="2"/>
        <v>1.6</v>
      </c>
    </row>
    <row r="100" spans="1:13" hidden="1" x14ac:dyDescent="0.25">
      <c r="A100" s="14" t="s">
        <v>147</v>
      </c>
      <c r="B100" s="15" t="s">
        <v>148</v>
      </c>
      <c r="C100" s="16">
        <v>800</v>
      </c>
      <c r="D100" s="11">
        <v>5400</v>
      </c>
      <c r="E100" s="11">
        <v>4649.26</v>
      </c>
      <c r="F100" s="11">
        <f>27.75+5712.29</f>
        <v>5740.04</v>
      </c>
      <c r="G100" s="11">
        <v>3693.08</v>
      </c>
      <c r="H100" s="3"/>
      <c r="I100" s="11">
        <v>7000</v>
      </c>
      <c r="J100" s="11">
        <v>7000</v>
      </c>
      <c r="K100" s="3"/>
      <c r="L100" s="11">
        <v>7000</v>
      </c>
      <c r="M100" s="38">
        <f t="shared" si="2"/>
        <v>1</v>
      </c>
    </row>
    <row r="101" spans="1:13" hidden="1" x14ac:dyDescent="0.25">
      <c r="A101" s="14" t="s">
        <v>149</v>
      </c>
      <c r="B101" s="15" t="s">
        <v>150</v>
      </c>
      <c r="C101" s="16">
        <v>6393</v>
      </c>
      <c r="D101" s="11">
        <v>13331.78</v>
      </c>
      <c r="E101" s="11">
        <v>6194.78</v>
      </c>
      <c r="F101" s="11">
        <v>10546.53</v>
      </c>
      <c r="G101" s="11">
        <v>8908.3700000000008</v>
      </c>
      <c r="H101" s="3"/>
      <c r="I101" s="11">
        <v>12000</v>
      </c>
      <c r="J101" s="11">
        <v>12000</v>
      </c>
      <c r="K101" s="3"/>
      <c r="L101" s="11">
        <v>10000</v>
      </c>
      <c r="M101" s="38">
        <f t="shared" si="2"/>
        <v>0.83333333333333337</v>
      </c>
    </row>
    <row r="102" spans="1:13" hidden="1" x14ac:dyDescent="0.25">
      <c r="A102" s="14" t="s">
        <v>151</v>
      </c>
      <c r="B102" s="15" t="s">
        <v>152</v>
      </c>
      <c r="C102" s="16">
        <v>123595</v>
      </c>
      <c r="D102" s="11">
        <v>77893.25</v>
      </c>
      <c r="E102" s="11">
        <v>111072.12</v>
      </c>
      <c r="F102" s="11">
        <v>67595.73</v>
      </c>
      <c r="G102" s="11">
        <v>35353.14</v>
      </c>
      <c r="H102" s="3"/>
      <c r="I102" s="11">
        <v>150000</v>
      </c>
      <c r="J102" s="11">
        <v>150000</v>
      </c>
      <c r="K102" s="3"/>
      <c r="L102" s="11">
        <v>55000</v>
      </c>
      <c r="M102" s="38">
        <f t="shared" si="2"/>
        <v>0.36666666666666664</v>
      </c>
    </row>
    <row r="103" spans="1:13" hidden="1" x14ac:dyDescent="0.25">
      <c r="A103" s="14" t="s">
        <v>153</v>
      </c>
      <c r="B103" s="15" t="s">
        <v>154</v>
      </c>
      <c r="C103" s="16">
        <v>69989</v>
      </c>
      <c r="D103" s="11">
        <v>67934.31</v>
      </c>
      <c r="E103" s="11">
        <v>54600.33</v>
      </c>
      <c r="F103" s="11">
        <v>64303.13</v>
      </c>
      <c r="G103" s="11">
        <v>45856.43</v>
      </c>
      <c r="H103" s="3"/>
      <c r="I103" s="11">
        <v>70000</v>
      </c>
      <c r="J103" s="11">
        <v>70000</v>
      </c>
      <c r="K103" s="3"/>
      <c r="L103" s="11">
        <v>70000</v>
      </c>
      <c r="M103" s="38">
        <f t="shared" si="2"/>
        <v>1</v>
      </c>
    </row>
    <row r="104" spans="1:13" hidden="1" x14ac:dyDescent="0.25">
      <c r="A104" s="14" t="s">
        <v>155</v>
      </c>
      <c r="B104" s="15" t="s">
        <v>156</v>
      </c>
      <c r="C104" s="16">
        <v>273</v>
      </c>
      <c r="D104" s="11">
        <v>1021.46</v>
      </c>
      <c r="E104" s="11">
        <v>1050</v>
      </c>
      <c r="F104" s="11">
        <v>847.7</v>
      </c>
      <c r="G104" s="11">
        <v>2742</v>
      </c>
      <c r="H104" s="3"/>
      <c r="I104" s="11">
        <v>2500</v>
      </c>
      <c r="J104" s="11">
        <v>2500</v>
      </c>
      <c r="K104" s="3"/>
      <c r="L104" s="11">
        <v>1500</v>
      </c>
      <c r="M104" s="38">
        <f t="shared" si="2"/>
        <v>0.6</v>
      </c>
    </row>
    <row r="105" spans="1:13" hidden="1" x14ac:dyDescent="0.25">
      <c r="A105" s="14" t="s">
        <v>157</v>
      </c>
      <c r="B105" s="15" t="s">
        <v>158</v>
      </c>
      <c r="C105" s="16">
        <v>1090</v>
      </c>
      <c r="D105" s="11">
        <v>4187.83</v>
      </c>
      <c r="E105" s="11">
        <v>10491.92</v>
      </c>
      <c r="F105" s="11">
        <v>6520.29</v>
      </c>
      <c r="G105" s="11">
        <v>3149.6</v>
      </c>
      <c r="H105" s="3"/>
      <c r="I105" s="11">
        <v>7500</v>
      </c>
      <c r="J105" s="11">
        <v>7500</v>
      </c>
      <c r="K105" s="3"/>
      <c r="L105" s="11">
        <v>7500</v>
      </c>
      <c r="M105" s="38">
        <f t="shared" si="2"/>
        <v>1</v>
      </c>
    </row>
    <row r="106" spans="1:13" hidden="1" x14ac:dyDescent="0.25">
      <c r="A106" s="14" t="s">
        <v>159</v>
      </c>
      <c r="B106" s="15" t="s">
        <v>160</v>
      </c>
      <c r="C106" s="16">
        <v>13862</v>
      </c>
      <c r="D106" s="11">
        <v>15086.37</v>
      </c>
      <c r="E106" s="11">
        <v>14827.27</v>
      </c>
      <c r="F106" s="11">
        <v>14232.8</v>
      </c>
      <c r="G106" s="11">
        <v>9257</v>
      </c>
      <c r="H106" s="3"/>
      <c r="I106" s="11">
        <v>10000</v>
      </c>
      <c r="J106" s="11">
        <v>10000</v>
      </c>
      <c r="K106" s="3"/>
      <c r="L106" s="11">
        <v>10000</v>
      </c>
      <c r="M106" s="38">
        <f t="shared" si="2"/>
        <v>1</v>
      </c>
    </row>
    <row r="107" spans="1:13" hidden="1" x14ac:dyDescent="0.25">
      <c r="A107" s="14" t="s">
        <v>161</v>
      </c>
      <c r="B107" s="15" t="s">
        <v>162</v>
      </c>
      <c r="C107" s="16">
        <v>6413</v>
      </c>
      <c r="D107" s="11">
        <v>4831.68</v>
      </c>
      <c r="E107" s="11">
        <v>987.24</v>
      </c>
      <c r="F107" s="11">
        <v>1546</v>
      </c>
      <c r="G107" s="11">
        <v>0</v>
      </c>
      <c r="H107" s="3"/>
      <c r="I107" s="11">
        <v>2000</v>
      </c>
      <c r="J107" s="11">
        <v>2000</v>
      </c>
      <c r="K107" s="3"/>
      <c r="L107" s="11">
        <v>0</v>
      </c>
      <c r="M107" s="38">
        <f t="shared" si="2"/>
        <v>0</v>
      </c>
    </row>
    <row r="108" spans="1:13" hidden="1" x14ac:dyDescent="0.25">
      <c r="A108" s="14" t="s">
        <v>163</v>
      </c>
      <c r="B108" s="15" t="s">
        <v>80</v>
      </c>
      <c r="C108" s="16">
        <v>2119</v>
      </c>
      <c r="D108" s="11">
        <v>5919.82</v>
      </c>
      <c r="E108" s="11">
        <v>4906.71</v>
      </c>
      <c r="F108" s="11">
        <v>3419.16</v>
      </c>
      <c r="G108" s="11">
        <v>1490.69</v>
      </c>
      <c r="H108" s="3"/>
      <c r="I108" s="11">
        <v>5000</v>
      </c>
      <c r="J108" s="11">
        <v>5000</v>
      </c>
      <c r="K108" s="3"/>
      <c r="L108" s="11">
        <v>5000</v>
      </c>
      <c r="M108" s="38">
        <f t="shared" si="2"/>
        <v>1</v>
      </c>
    </row>
    <row r="109" spans="1:13" hidden="1" x14ac:dyDescent="0.25">
      <c r="A109" s="14">
        <v>6021800</v>
      </c>
      <c r="B109" s="15" t="s">
        <v>164</v>
      </c>
      <c r="C109" s="16"/>
      <c r="D109" s="11"/>
      <c r="E109" s="11"/>
      <c r="F109" s="11">
        <v>187.03</v>
      </c>
      <c r="G109" s="11"/>
      <c r="H109" s="3"/>
      <c r="I109" s="11"/>
      <c r="J109" s="11"/>
      <c r="K109" s="3"/>
      <c r="L109" s="11"/>
    </row>
    <row r="110" spans="1:13" hidden="1" x14ac:dyDescent="0.25">
      <c r="A110" s="14"/>
      <c r="B110" s="15"/>
      <c r="C110" s="16"/>
      <c r="D110" s="11"/>
      <c r="E110" s="11"/>
      <c r="F110" s="11"/>
      <c r="G110" s="11"/>
      <c r="H110" s="3"/>
      <c r="I110" s="11"/>
      <c r="J110" s="11"/>
      <c r="K110" s="3"/>
      <c r="L110" s="11"/>
    </row>
    <row r="111" spans="1:13" hidden="1" x14ac:dyDescent="0.25">
      <c r="A111" s="29"/>
      <c r="B111" s="30" t="s">
        <v>165</v>
      </c>
      <c r="C111" s="16">
        <f>SUM(C88:C109)</f>
        <v>558604</v>
      </c>
      <c r="D111" s="11">
        <f>SUM(D88:D109)</f>
        <v>621221.34999999986</v>
      </c>
      <c r="E111" s="11">
        <f>SUM(E88:E109)</f>
        <v>626244.35000000009</v>
      </c>
      <c r="F111" s="11">
        <f>SUM(F88:F109)</f>
        <v>660847.58600000013</v>
      </c>
      <c r="G111" s="11">
        <f>SUM(G88:G109)</f>
        <v>434031.6</v>
      </c>
      <c r="H111" s="3"/>
      <c r="I111" s="11">
        <f>SUM(I88:I109)</f>
        <v>796901</v>
      </c>
      <c r="J111" s="11">
        <f>SUM(J88:J109)</f>
        <v>800001</v>
      </c>
      <c r="K111" s="3"/>
      <c r="L111" s="11">
        <f>SUM(L88:L109)</f>
        <v>738715.17355188623</v>
      </c>
      <c r="M111" s="38">
        <f>+L111/J111</f>
        <v>0.92339281269884188</v>
      </c>
    </row>
    <row r="112" spans="1:13" hidden="1" x14ac:dyDescent="0.25">
      <c r="A112" s="29"/>
      <c r="B112" s="30"/>
      <c r="C112" s="16"/>
      <c r="D112" s="11"/>
      <c r="E112" s="11"/>
      <c r="F112" s="11"/>
      <c r="G112" s="11"/>
      <c r="H112" s="3"/>
      <c r="I112" s="11"/>
      <c r="J112" s="11"/>
      <c r="K112" s="3"/>
      <c r="L112" s="11"/>
    </row>
    <row r="113" spans="1:13" hidden="1" x14ac:dyDescent="0.25">
      <c r="A113" s="14" t="s">
        <v>166</v>
      </c>
      <c r="B113" s="15" t="s">
        <v>124</v>
      </c>
      <c r="C113" s="16">
        <v>76083</v>
      </c>
      <c r="D113" s="11">
        <v>79040.23</v>
      </c>
      <c r="E113" s="11">
        <v>43912.42</v>
      </c>
      <c r="F113" s="11">
        <v>78104.09</v>
      </c>
      <c r="G113" s="11">
        <v>52944.25</v>
      </c>
      <c r="H113" s="3"/>
      <c r="I113" s="11">
        <v>73917</v>
      </c>
      <c r="J113" s="11">
        <v>73917</v>
      </c>
      <c r="K113" s="3"/>
      <c r="L113" s="11">
        <f>+'[1]Non-Union - 3.5%'!$I$37+'[1]Non-Union - 3.5%'!$V$37</f>
        <v>76501.61099999999</v>
      </c>
      <c r="M113" s="38">
        <f>+L113/J113</f>
        <v>1.034966394740046</v>
      </c>
    </row>
    <row r="114" spans="1:13" hidden="1" x14ac:dyDescent="0.25">
      <c r="A114" s="14" t="s">
        <v>167</v>
      </c>
      <c r="B114" s="15" t="s">
        <v>126</v>
      </c>
      <c r="C114" s="16">
        <v>6414</v>
      </c>
      <c r="D114" s="11">
        <v>6815.97</v>
      </c>
      <c r="E114" s="11">
        <v>3560.42</v>
      </c>
      <c r="F114" s="11">
        <v>6311.4</v>
      </c>
      <c r="G114" s="11">
        <v>4111.22</v>
      </c>
      <c r="H114" s="3"/>
      <c r="I114" s="11">
        <f>539+5374</f>
        <v>5913</v>
      </c>
      <c r="J114" s="11">
        <v>5913</v>
      </c>
      <c r="K114" s="3"/>
      <c r="L114" s="11">
        <f>+'[1]Non-Union - 3.5%'!$P$37+'[1]Non-Union - 3.5%'!$Z$37</f>
        <v>6120.1288800000002</v>
      </c>
      <c r="M114" s="38">
        <f>+L114/J114</f>
        <v>1.0350294063926941</v>
      </c>
    </row>
    <row r="115" spans="1:13" hidden="1" x14ac:dyDescent="0.25">
      <c r="A115" s="14" t="s">
        <v>168</v>
      </c>
      <c r="B115" s="15" t="s">
        <v>128</v>
      </c>
      <c r="C115" s="16">
        <v>33023</v>
      </c>
      <c r="D115" s="11">
        <v>43423.3</v>
      </c>
      <c r="E115" s="11">
        <v>24854.54</v>
      </c>
      <c r="F115" s="11">
        <v>32649.040000000001</v>
      </c>
      <c r="G115" s="11">
        <v>25625</v>
      </c>
      <c r="H115" s="3"/>
      <c r="I115" s="11">
        <v>36757</v>
      </c>
      <c r="J115" s="11">
        <v>36756</v>
      </c>
      <c r="K115" s="3"/>
      <c r="L115" s="11">
        <f>+SUM('[1]Non-Union - 3.5%'!$K$37:$N$37)</f>
        <v>43510.62</v>
      </c>
      <c r="M115" s="38">
        <f>+L115/J115</f>
        <v>1.1837691805419523</v>
      </c>
    </row>
    <row r="116" spans="1:13" hidden="1" x14ac:dyDescent="0.25">
      <c r="A116" s="14" t="s">
        <v>169</v>
      </c>
      <c r="B116" s="15" t="s">
        <v>130</v>
      </c>
      <c r="C116" s="16">
        <v>1206</v>
      </c>
      <c r="D116" s="11">
        <v>1242.4000000000001</v>
      </c>
      <c r="E116" s="11">
        <v>0</v>
      </c>
      <c r="F116" s="11">
        <v>0</v>
      </c>
      <c r="G116" s="11">
        <v>0</v>
      </c>
      <c r="H116" s="3"/>
      <c r="I116" s="11"/>
      <c r="J116" s="11"/>
      <c r="K116" s="3"/>
      <c r="L116" s="11"/>
    </row>
    <row r="117" spans="1:13" hidden="1" x14ac:dyDescent="0.25">
      <c r="A117" s="14" t="s">
        <v>170</v>
      </c>
      <c r="B117" s="15" t="s">
        <v>171</v>
      </c>
      <c r="C117" s="16">
        <v>1435</v>
      </c>
      <c r="D117" s="11">
        <v>-158.06</v>
      </c>
      <c r="E117" s="11">
        <v>0</v>
      </c>
      <c r="F117" s="11">
        <v>0</v>
      </c>
      <c r="G117" s="11">
        <v>284.5</v>
      </c>
      <c r="H117" s="3"/>
      <c r="I117" s="11">
        <v>500</v>
      </c>
      <c r="J117" s="11">
        <v>500</v>
      </c>
      <c r="K117" s="3"/>
      <c r="L117" s="11">
        <v>500</v>
      </c>
      <c r="M117" s="38">
        <f t="shared" ref="M117:M124" si="3">+L117/J117</f>
        <v>1</v>
      </c>
    </row>
    <row r="118" spans="1:13" hidden="1" x14ac:dyDescent="0.25">
      <c r="A118" s="14" t="s">
        <v>172</v>
      </c>
      <c r="B118" s="15" t="s">
        <v>132</v>
      </c>
      <c r="C118" s="16">
        <v>391</v>
      </c>
      <c r="D118" s="11">
        <v>321.33999999999997</v>
      </c>
      <c r="E118" s="11">
        <v>1026.3</v>
      </c>
      <c r="F118" s="11">
        <v>1301.3599999999999</v>
      </c>
      <c r="G118" s="11">
        <v>929.28</v>
      </c>
      <c r="H118" s="3"/>
      <c r="I118" s="11">
        <v>325</v>
      </c>
      <c r="J118" s="11">
        <v>326</v>
      </c>
      <c r="K118" s="3"/>
      <c r="L118" s="11">
        <f>+'[1]Non-Union - 3.5%'!$R$37+'[1]Non-Union - 3.5%'!$Y$37</f>
        <v>337.60708839999995</v>
      </c>
      <c r="M118" s="38">
        <f t="shared" si="3"/>
        <v>1.0356045656441717</v>
      </c>
    </row>
    <row r="119" spans="1:13" hidden="1" x14ac:dyDescent="0.25">
      <c r="A119" s="14" t="s">
        <v>173</v>
      </c>
      <c r="B119" s="15" t="s">
        <v>134</v>
      </c>
      <c r="C119" s="16">
        <v>16553</v>
      </c>
      <c r="D119" s="11">
        <v>57169.25</v>
      </c>
      <c r="E119" s="11">
        <v>81223.45</v>
      </c>
      <c r="F119" s="11">
        <v>80574.27</v>
      </c>
      <c r="G119" s="11">
        <v>91053.41</v>
      </c>
      <c r="H119" s="3"/>
      <c r="I119" s="11">
        <v>83250</v>
      </c>
      <c r="J119" s="11">
        <v>83250</v>
      </c>
      <c r="K119" s="3"/>
      <c r="L119" s="11">
        <v>94825</v>
      </c>
      <c r="M119" s="38">
        <f t="shared" si="3"/>
        <v>1.139039039039039</v>
      </c>
    </row>
    <row r="120" spans="1:13" hidden="1" x14ac:dyDescent="0.25">
      <c r="A120" s="14" t="s">
        <v>174</v>
      </c>
      <c r="B120" s="15" t="s">
        <v>136</v>
      </c>
      <c r="C120" s="16">
        <v>2648</v>
      </c>
      <c r="D120" s="11">
        <v>4799.67</v>
      </c>
      <c r="E120" s="11">
        <f>4917.14+80.26</f>
        <v>4997.4000000000005</v>
      </c>
      <c r="F120" s="11">
        <v>5512.81</v>
      </c>
      <c r="G120" s="11">
        <v>6809.54</v>
      </c>
      <c r="H120" s="3"/>
      <c r="I120" s="11">
        <v>8325</v>
      </c>
      <c r="J120" s="11">
        <v>8325</v>
      </c>
      <c r="K120" s="3"/>
      <c r="L120" s="11">
        <v>9427.25</v>
      </c>
      <c r="M120" s="38">
        <f t="shared" si="3"/>
        <v>1.1324024024024024</v>
      </c>
    </row>
    <row r="121" spans="1:13" hidden="1" x14ac:dyDescent="0.25">
      <c r="A121" s="14" t="s">
        <v>175</v>
      </c>
      <c r="B121" s="15" t="s">
        <v>176</v>
      </c>
      <c r="C121" s="16">
        <v>0</v>
      </c>
      <c r="D121" s="11">
        <v>1173.17</v>
      </c>
      <c r="E121" s="11">
        <v>1248.1099999999999</v>
      </c>
      <c r="F121" s="11">
        <v>2017.2</v>
      </c>
      <c r="G121" s="11">
        <v>2958.49</v>
      </c>
      <c r="H121" s="3"/>
      <c r="I121" s="11">
        <v>3000</v>
      </c>
      <c r="J121" s="11">
        <v>3000</v>
      </c>
      <c r="K121" s="3"/>
      <c r="L121" s="11">
        <v>3000</v>
      </c>
      <c r="M121" s="38">
        <f t="shared" si="3"/>
        <v>1</v>
      </c>
    </row>
    <row r="122" spans="1:13" hidden="1" x14ac:dyDescent="0.25">
      <c r="A122" s="14" t="s">
        <v>177</v>
      </c>
      <c r="B122" s="15" t="s">
        <v>138</v>
      </c>
      <c r="C122" s="16">
        <v>401</v>
      </c>
      <c r="D122" s="11">
        <v>362.49</v>
      </c>
      <c r="E122" s="11">
        <v>717.5</v>
      </c>
      <c r="F122" s="11">
        <v>8095.98</v>
      </c>
      <c r="G122" s="11">
        <v>-2329.25</v>
      </c>
      <c r="H122" s="3"/>
      <c r="I122" s="11">
        <v>366.3</v>
      </c>
      <c r="J122" s="11">
        <v>366.3</v>
      </c>
      <c r="K122" s="3"/>
      <c r="L122" s="11">
        <f>392.92+24.31</f>
        <v>417.23</v>
      </c>
      <c r="M122" s="38">
        <f t="shared" si="3"/>
        <v>1.139039039039039</v>
      </c>
    </row>
    <row r="123" spans="1:13" hidden="1" x14ac:dyDescent="0.25">
      <c r="A123" s="14" t="s">
        <v>178</v>
      </c>
      <c r="B123" s="15" t="s">
        <v>140</v>
      </c>
      <c r="C123" s="16">
        <v>10858</v>
      </c>
      <c r="D123" s="11">
        <v>10186.4</v>
      </c>
      <c r="E123" s="11">
        <v>7670.93</v>
      </c>
      <c r="F123" s="11">
        <v>10989.56</v>
      </c>
      <c r="G123" s="11">
        <v>6400.26</v>
      </c>
      <c r="H123" s="3"/>
      <c r="I123" s="11">
        <v>11130</v>
      </c>
      <c r="J123" s="11">
        <v>11130</v>
      </c>
      <c r="K123" s="3"/>
      <c r="L123" s="11">
        <v>10000</v>
      </c>
      <c r="M123" s="38">
        <f t="shared" si="3"/>
        <v>0.89847259658580414</v>
      </c>
    </row>
    <row r="124" spans="1:13" hidden="1" x14ac:dyDescent="0.25">
      <c r="A124" s="14" t="s">
        <v>179</v>
      </c>
      <c r="B124" s="15" t="s">
        <v>142</v>
      </c>
      <c r="C124" s="16">
        <v>0</v>
      </c>
      <c r="D124" s="11">
        <v>780</v>
      </c>
      <c r="E124" s="11">
        <v>2040</v>
      </c>
      <c r="F124" s="11">
        <v>2880</v>
      </c>
      <c r="G124" s="11">
        <v>1808</v>
      </c>
      <c r="H124" s="3"/>
      <c r="I124" s="11">
        <v>2880</v>
      </c>
      <c r="J124" s="11">
        <v>2880</v>
      </c>
      <c r="K124" s="3"/>
      <c r="L124" s="11">
        <v>3400</v>
      </c>
      <c r="M124" s="38">
        <f t="shared" si="3"/>
        <v>1.1805555555555556</v>
      </c>
    </row>
    <row r="125" spans="1:13" hidden="1" x14ac:dyDescent="0.25">
      <c r="A125" s="14" t="s">
        <v>180</v>
      </c>
      <c r="B125" s="15" t="s">
        <v>146</v>
      </c>
      <c r="C125" s="16">
        <v>9812</v>
      </c>
      <c r="D125" s="11">
        <v>7179.74</v>
      </c>
      <c r="E125" s="11">
        <v>2565.46</v>
      </c>
      <c r="F125" s="11">
        <v>471.52</v>
      </c>
      <c r="G125" s="11">
        <v>2092.15</v>
      </c>
      <c r="H125" s="3"/>
      <c r="I125" s="11"/>
      <c r="J125" s="11">
        <v>0</v>
      </c>
      <c r="K125" s="3"/>
      <c r="L125" s="11"/>
    </row>
    <row r="126" spans="1:13" hidden="1" x14ac:dyDescent="0.25">
      <c r="A126" s="14" t="s">
        <v>181</v>
      </c>
      <c r="B126" s="15" t="s">
        <v>182</v>
      </c>
      <c r="C126" s="16">
        <v>0</v>
      </c>
      <c r="D126" s="11">
        <v>678.62</v>
      </c>
      <c r="E126" s="11">
        <v>13.48</v>
      </c>
      <c r="F126" s="11">
        <v>151.41</v>
      </c>
      <c r="G126" s="11">
        <v>46.12</v>
      </c>
      <c r="H126" s="3"/>
      <c r="I126" s="11">
        <v>200</v>
      </c>
      <c r="J126" s="11">
        <v>200</v>
      </c>
      <c r="K126" s="3"/>
      <c r="L126" s="11">
        <v>100</v>
      </c>
      <c r="M126" s="38">
        <f>+L126/J126</f>
        <v>0.5</v>
      </c>
    </row>
    <row r="127" spans="1:13" hidden="1" x14ac:dyDescent="0.25">
      <c r="A127" s="14" t="s">
        <v>183</v>
      </c>
      <c r="B127" s="15" t="s">
        <v>184</v>
      </c>
      <c r="C127" s="16">
        <v>170</v>
      </c>
      <c r="D127" s="11">
        <v>248.95</v>
      </c>
      <c r="E127" s="11">
        <v>1737.2</v>
      </c>
      <c r="F127" s="11">
        <v>0</v>
      </c>
      <c r="G127" s="11">
        <v>384.3</v>
      </c>
      <c r="H127" s="3"/>
      <c r="I127" s="11">
        <v>2500</v>
      </c>
      <c r="J127" s="11">
        <v>2500</v>
      </c>
      <c r="K127" s="3"/>
      <c r="L127" s="11">
        <v>1000</v>
      </c>
      <c r="M127" s="38">
        <f>+L127/J127</f>
        <v>0.4</v>
      </c>
    </row>
    <row r="128" spans="1:13" hidden="1" x14ac:dyDescent="0.25">
      <c r="A128" s="14" t="s">
        <v>185</v>
      </c>
      <c r="B128" s="15" t="s">
        <v>152</v>
      </c>
      <c r="C128" s="16">
        <v>274</v>
      </c>
      <c r="D128" s="11">
        <v>278.35000000000002</v>
      </c>
      <c r="E128" s="11">
        <v>188.23</v>
      </c>
      <c r="F128" s="11">
        <v>295.79000000000002</v>
      </c>
      <c r="G128" s="11">
        <v>365.12</v>
      </c>
      <c r="H128" s="3"/>
      <c r="I128" s="11">
        <v>500</v>
      </c>
      <c r="J128" s="11">
        <v>500</v>
      </c>
      <c r="K128" s="3"/>
      <c r="L128" s="11">
        <v>500</v>
      </c>
      <c r="M128" s="38">
        <f>+L128/J128</f>
        <v>1</v>
      </c>
    </row>
    <row r="129" spans="1:13" hidden="1" x14ac:dyDescent="0.25">
      <c r="A129" s="14" t="s">
        <v>186</v>
      </c>
      <c r="B129" s="15" t="s">
        <v>156</v>
      </c>
      <c r="C129" s="16">
        <v>0</v>
      </c>
      <c r="D129" s="11">
        <v>849.2</v>
      </c>
      <c r="E129" s="11"/>
      <c r="F129" s="11">
        <v>0</v>
      </c>
      <c r="G129" s="11">
        <v>0</v>
      </c>
      <c r="H129" s="3"/>
      <c r="I129" s="11"/>
      <c r="J129" s="11"/>
      <c r="K129" s="3"/>
      <c r="L129" s="11"/>
    </row>
    <row r="130" spans="1:13" hidden="1" x14ac:dyDescent="0.25">
      <c r="A130" s="14" t="s">
        <v>187</v>
      </c>
      <c r="B130" s="15" t="s">
        <v>158</v>
      </c>
      <c r="C130" s="16">
        <v>156</v>
      </c>
      <c r="D130" s="11">
        <v>0</v>
      </c>
      <c r="E130" s="11">
        <v>0</v>
      </c>
      <c r="F130" s="11">
        <v>0</v>
      </c>
      <c r="G130" s="11">
        <v>0</v>
      </c>
      <c r="H130" s="3"/>
      <c r="I130" s="11">
        <v>1000</v>
      </c>
      <c r="J130" s="11">
        <v>1000</v>
      </c>
      <c r="K130" s="3"/>
      <c r="L130" s="11">
        <v>1000</v>
      </c>
      <c r="M130" s="38">
        <f>+L130/J130</f>
        <v>1</v>
      </c>
    </row>
    <row r="131" spans="1:13" hidden="1" x14ac:dyDescent="0.25">
      <c r="A131" s="14" t="s">
        <v>188</v>
      </c>
      <c r="B131" s="15" t="s">
        <v>160</v>
      </c>
      <c r="C131" s="16">
        <v>3361</v>
      </c>
      <c r="D131" s="11">
        <v>5796.52</v>
      </c>
      <c r="E131" s="11">
        <v>2531.19</v>
      </c>
      <c r="F131" s="11">
        <v>4850.5600000000004</v>
      </c>
      <c r="G131" s="11">
        <v>1651.74</v>
      </c>
      <c r="H131" s="3"/>
      <c r="I131" s="11">
        <v>7000</v>
      </c>
      <c r="J131" s="11">
        <v>7000</v>
      </c>
      <c r="K131" s="3"/>
      <c r="L131" s="11">
        <v>2500</v>
      </c>
      <c r="M131" s="38">
        <f>+L131/J131</f>
        <v>0.35714285714285715</v>
      </c>
    </row>
    <row r="132" spans="1:13" hidden="1" x14ac:dyDescent="0.25">
      <c r="A132" s="14" t="s">
        <v>189</v>
      </c>
      <c r="B132" s="15" t="s">
        <v>80</v>
      </c>
      <c r="C132" s="16">
        <v>2862</v>
      </c>
      <c r="D132" s="11">
        <v>2240.1999999999998</v>
      </c>
      <c r="E132" s="11">
        <v>331.83</v>
      </c>
      <c r="F132" s="11">
        <v>65.14</v>
      </c>
      <c r="G132" s="11">
        <v>447.89</v>
      </c>
      <c r="H132" s="3"/>
      <c r="I132" s="11">
        <v>1500</v>
      </c>
      <c r="J132" s="11">
        <v>1500</v>
      </c>
      <c r="K132" s="3"/>
      <c r="L132" s="11">
        <v>1000</v>
      </c>
      <c r="M132" s="38">
        <f>+L132/J132</f>
        <v>0.66666666666666663</v>
      </c>
    </row>
    <row r="133" spans="1:13" hidden="1" x14ac:dyDescent="0.25">
      <c r="A133" s="14" t="s">
        <v>190</v>
      </c>
      <c r="B133" s="15" t="s">
        <v>164</v>
      </c>
      <c r="C133" s="16">
        <v>1185</v>
      </c>
      <c r="D133" s="11">
        <v>1175.76</v>
      </c>
      <c r="E133" s="11">
        <v>220</v>
      </c>
      <c r="F133" s="11">
        <v>883.97</v>
      </c>
      <c r="G133" s="11">
        <v>703</v>
      </c>
      <c r="H133" s="3"/>
      <c r="I133" s="11">
        <v>1500</v>
      </c>
      <c r="J133" s="11">
        <v>1500</v>
      </c>
      <c r="K133" s="3"/>
      <c r="L133" s="11">
        <v>1500</v>
      </c>
      <c r="M133" s="38">
        <f>+L133/J133</f>
        <v>1</v>
      </c>
    </row>
    <row r="134" spans="1:13" hidden="1" x14ac:dyDescent="0.25">
      <c r="A134" s="14">
        <v>6052000</v>
      </c>
      <c r="B134" s="15" t="s">
        <v>191</v>
      </c>
      <c r="C134" s="16"/>
      <c r="D134" s="11"/>
      <c r="E134" s="11"/>
      <c r="F134" s="11">
        <v>0</v>
      </c>
      <c r="G134" s="11">
        <v>0</v>
      </c>
      <c r="H134" s="3"/>
      <c r="I134" s="11"/>
      <c r="J134" s="11"/>
      <c r="K134" s="3"/>
      <c r="L134" s="11"/>
    </row>
    <row r="135" spans="1:13" hidden="1" x14ac:dyDescent="0.25">
      <c r="A135" s="14"/>
      <c r="B135" s="15"/>
      <c r="C135" s="16"/>
      <c r="D135" s="11"/>
      <c r="E135" s="11"/>
      <c r="F135" s="11"/>
      <c r="G135" s="11"/>
      <c r="H135" s="3"/>
      <c r="I135" s="11"/>
      <c r="J135" s="11"/>
      <c r="K135" s="3"/>
      <c r="L135" s="11"/>
    </row>
    <row r="136" spans="1:13" hidden="1" x14ac:dyDescent="0.25">
      <c r="A136" s="29"/>
      <c r="B136" s="30" t="s">
        <v>192</v>
      </c>
      <c r="C136" s="16">
        <f>SUM(C113:C134)</f>
        <v>166832</v>
      </c>
      <c r="D136" s="11">
        <f>SUM(D113:D134)</f>
        <v>223603.50000000003</v>
      </c>
      <c r="E136" s="11">
        <f>SUM(E113:E134)</f>
        <v>178838.46</v>
      </c>
      <c r="F136" s="11">
        <f>SUM(F113:F134)</f>
        <v>235154.10000000003</v>
      </c>
      <c r="G136" s="11">
        <f>SUM(G113:G134)</f>
        <v>196285.02</v>
      </c>
      <c r="H136" s="3"/>
      <c r="I136" s="11">
        <f>SUM(I113:I134)</f>
        <v>240563.3</v>
      </c>
      <c r="J136" s="11">
        <f>SUM(J113:J134)</f>
        <v>240563.3</v>
      </c>
      <c r="K136" s="3"/>
      <c r="L136" s="11">
        <f>SUM(L113:L134)</f>
        <v>255639.44696840001</v>
      </c>
      <c r="M136" s="38">
        <f>+L136/J136</f>
        <v>1.0626701868838682</v>
      </c>
    </row>
    <row r="137" spans="1:13" hidden="1" x14ac:dyDescent="0.25">
      <c r="A137" s="29"/>
      <c r="B137" s="30"/>
      <c r="C137" s="16"/>
      <c r="D137" s="11"/>
      <c r="E137" s="11"/>
      <c r="F137" s="11"/>
      <c r="G137" s="11"/>
      <c r="H137" s="3"/>
      <c r="I137" s="11"/>
      <c r="J137" s="11"/>
      <c r="K137" s="3"/>
      <c r="L137" s="11"/>
    </row>
    <row r="138" spans="1:13" hidden="1" x14ac:dyDescent="0.25">
      <c r="A138" s="14" t="s">
        <v>193</v>
      </c>
      <c r="B138" s="15" t="s">
        <v>124</v>
      </c>
      <c r="C138" s="16">
        <v>51980</v>
      </c>
      <c r="D138" s="11">
        <v>54667.360000000001</v>
      </c>
      <c r="E138" s="11">
        <v>55705.91</v>
      </c>
      <c r="F138" s="11">
        <v>77351.539999999994</v>
      </c>
      <c r="G138" s="11">
        <v>67077.399999999994</v>
      </c>
      <c r="H138" s="3"/>
      <c r="I138" s="11">
        <v>110589</v>
      </c>
      <c r="J138" s="11">
        <v>110589</v>
      </c>
      <c r="K138" s="3"/>
      <c r="L138" s="11">
        <f>+'[1]Non-Union - 3.5%'!$I$43</f>
        <v>113560.2</v>
      </c>
      <c r="M138" s="38">
        <f t="shared" ref="M138:M145" si="4">+L138/J138</f>
        <v>1.0268670482597726</v>
      </c>
    </row>
    <row r="139" spans="1:13" hidden="1" x14ac:dyDescent="0.25">
      <c r="A139" s="14" t="s">
        <v>194</v>
      </c>
      <c r="B139" s="15" t="s">
        <v>126</v>
      </c>
      <c r="C139" s="16">
        <v>4106</v>
      </c>
      <c r="D139" s="11">
        <v>4775.8500000000004</v>
      </c>
      <c r="E139" s="11">
        <v>4564.83</v>
      </c>
      <c r="F139" s="11">
        <v>6504.31</v>
      </c>
      <c r="G139" s="11">
        <v>4632.8100000000004</v>
      </c>
      <c r="H139" s="3"/>
      <c r="I139" s="11">
        <v>8847</v>
      </c>
      <c r="J139" s="11">
        <v>8847</v>
      </c>
      <c r="K139" s="3"/>
      <c r="L139" s="11">
        <f>+'[1]Non-Union - 3.5%'!$P$43</f>
        <v>9084.8159999999989</v>
      </c>
      <c r="M139" s="38">
        <f t="shared" si="4"/>
        <v>1.026880976602238</v>
      </c>
    </row>
    <row r="140" spans="1:13" hidden="1" x14ac:dyDescent="0.25">
      <c r="A140" s="14" t="s">
        <v>195</v>
      </c>
      <c r="B140" s="15" t="s">
        <v>128</v>
      </c>
      <c r="C140" s="16">
        <v>10250</v>
      </c>
      <c r="D140" s="11">
        <v>10725.34</v>
      </c>
      <c r="E140" s="11">
        <v>11006.55</v>
      </c>
      <c r="F140" s="11">
        <v>14335.23</v>
      </c>
      <c r="G140" s="11">
        <v>11031.78</v>
      </c>
      <c r="H140" s="3"/>
      <c r="I140" s="11">
        <v>15891</v>
      </c>
      <c r="J140" s="11">
        <v>15891</v>
      </c>
      <c r="K140" s="3"/>
      <c r="L140" s="11">
        <f>+SUM('[1]Non-Union - 3.5%'!$K$43:$N$43)</f>
        <v>18515.920000000002</v>
      </c>
      <c r="M140" s="38">
        <f t="shared" si="4"/>
        <v>1.1651828078786737</v>
      </c>
    </row>
    <row r="141" spans="1:13" hidden="1" x14ac:dyDescent="0.25">
      <c r="A141" s="14" t="s">
        <v>196</v>
      </c>
      <c r="B141" s="15" t="s">
        <v>130</v>
      </c>
      <c r="C141" s="16">
        <v>1422</v>
      </c>
      <c r="D141" s="11">
        <v>1599.68</v>
      </c>
      <c r="E141" s="11">
        <v>2038.87</v>
      </c>
      <c r="F141" s="11">
        <v>1812.72</v>
      </c>
      <c r="G141" s="11">
        <v>1272.3599999999999</v>
      </c>
      <c r="H141" s="3"/>
      <c r="I141" s="11">
        <v>1950</v>
      </c>
      <c r="J141" s="11">
        <v>1950</v>
      </c>
      <c r="K141" s="3"/>
      <c r="L141" s="11">
        <f>+'[1]Non-Union - 3.5%'!$O$43</f>
        <v>2018.25</v>
      </c>
      <c r="M141" s="38">
        <f t="shared" si="4"/>
        <v>1.0349999999999999</v>
      </c>
    </row>
    <row r="142" spans="1:13" hidden="1" x14ac:dyDescent="0.25">
      <c r="A142" s="14" t="s">
        <v>197</v>
      </c>
      <c r="B142" s="15" t="s">
        <v>171</v>
      </c>
      <c r="C142" s="16">
        <v>0</v>
      </c>
      <c r="D142" s="11">
        <v>42</v>
      </c>
      <c r="E142" s="11">
        <v>20</v>
      </c>
      <c r="F142" s="11">
        <v>0</v>
      </c>
      <c r="G142" s="11">
        <v>134.38999999999999</v>
      </c>
      <c r="H142" s="3"/>
      <c r="I142" s="11">
        <v>200</v>
      </c>
      <c r="J142" s="11">
        <v>200</v>
      </c>
      <c r="K142" s="3"/>
      <c r="L142" s="11">
        <v>200</v>
      </c>
      <c r="M142" s="38">
        <f t="shared" si="4"/>
        <v>1</v>
      </c>
    </row>
    <row r="143" spans="1:13" hidden="1" x14ac:dyDescent="0.25">
      <c r="A143" s="14" t="s">
        <v>198</v>
      </c>
      <c r="B143" s="15" t="s">
        <v>132</v>
      </c>
      <c r="C143" s="16">
        <v>270</v>
      </c>
      <c r="D143" s="11"/>
      <c r="E143" s="11">
        <v>661.55</v>
      </c>
      <c r="F143" s="11">
        <v>1301.17</v>
      </c>
      <c r="G143" s="11">
        <v>1747.34</v>
      </c>
      <c r="H143" s="3"/>
      <c r="I143" s="11">
        <v>487</v>
      </c>
      <c r="J143" s="11">
        <v>487</v>
      </c>
      <c r="K143" s="3"/>
      <c r="L143" s="11">
        <f>+'[1]Non-Union - 3.5%'!$R$43</f>
        <v>499.66487999999998</v>
      </c>
      <c r="M143" s="38">
        <f t="shared" si="4"/>
        <v>1.0260059137577002</v>
      </c>
    </row>
    <row r="144" spans="1:13" hidden="1" x14ac:dyDescent="0.25">
      <c r="A144" s="14" t="s">
        <v>199</v>
      </c>
      <c r="B144" s="15" t="s">
        <v>200</v>
      </c>
      <c r="C144" s="16">
        <v>502</v>
      </c>
      <c r="D144" s="11">
        <v>545.34</v>
      </c>
      <c r="E144" s="11">
        <v>738.29</v>
      </c>
      <c r="F144" s="11">
        <v>1088.67</v>
      </c>
      <c r="G144" s="11">
        <v>1300.55</v>
      </c>
      <c r="H144" s="3"/>
      <c r="I144" s="11">
        <v>1000</v>
      </c>
      <c r="J144" s="11">
        <v>1000</v>
      </c>
      <c r="K144" s="3"/>
      <c r="L144" s="11">
        <v>1500</v>
      </c>
      <c r="M144" s="38">
        <f t="shared" si="4"/>
        <v>1.5</v>
      </c>
    </row>
    <row r="145" spans="1:13" hidden="1" x14ac:dyDescent="0.25">
      <c r="A145" s="14" t="s">
        <v>201</v>
      </c>
      <c r="B145" s="15" t="s">
        <v>182</v>
      </c>
      <c r="C145" s="16">
        <v>960</v>
      </c>
      <c r="D145" s="11">
        <v>1524.36</v>
      </c>
      <c r="E145" s="11">
        <v>1848.74</v>
      </c>
      <c r="F145" s="11">
        <v>1790.09</v>
      </c>
      <c r="G145" s="11">
        <v>1692.08</v>
      </c>
      <c r="H145" s="3"/>
      <c r="I145" s="11">
        <v>2500</v>
      </c>
      <c r="J145" s="11">
        <v>2500</v>
      </c>
      <c r="K145" s="3"/>
      <c r="L145" s="11">
        <v>2500</v>
      </c>
      <c r="M145" s="38">
        <f t="shared" si="4"/>
        <v>1</v>
      </c>
    </row>
    <row r="146" spans="1:13" hidden="1" x14ac:dyDescent="0.25">
      <c r="A146" s="14">
        <v>6060610</v>
      </c>
      <c r="B146" s="15" t="s">
        <v>184</v>
      </c>
      <c r="C146" s="16"/>
      <c r="D146" s="11"/>
      <c r="E146" s="11"/>
      <c r="F146" s="11">
        <v>453.95</v>
      </c>
      <c r="G146" s="11">
        <v>0</v>
      </c>
      <c r="H146" s="3"/>
      <c r="I146" s="11"/>
      <c r="J146" s="11"/>
      <c r="K146" s="3"/>
      <c r="L146" s="11"/>
    </row>
    <row r="147" spans="1:13" hidden="1" x14ac:dyDescent="0.25">
      <c r="A147" s="14" t="s">
        <v>202</v>
      </c>
      <c r="B147" s="15" t="s">
        <v>156</v>
      </c>
      <c r="C147" s="16">
        <v>145</v>
      </c>
      <c r="D147" s="11">
        <v>200.74</v>
      </c>
      <c r="E147" s="11">
        <v>0</v>
      </c>
      <c r="F147" s="11"/>
      <c r="G147" s="11">
        <v>205</v>
      </c>
      <c r="H147" s="3"/>
      <c r="I147" s="11">
        <v>500</v>
      </c>
      <c r="J147" s="11">
        <v>500</v>
      </c>
      <c r="K147" s="3"/>
      <c r="L147" s="11">
        <v>500</v>
      </c>
      <c r="M147" s="38">
        <f>+L147/J147</f>
        <v>1</v>
      </c>
    </row>
    <row r="148" spans="1:13" hidden="1" x14ac:dyDescent="0.25">
      <c r="A148" s="14" t="s">
        <v>203</v>
      </c>
      <c r="B148" s="15" t="s">
        <v>158</v>
      </c>
      <c r="C148" s="16">
        <v>155</v>
      </c>
      <c r="D148" s="11">
        <v>165</v>
      </c>
      <c r="E148" s="11">
        <v>165</v>
      </c>
      <c r="F148" s="11">
        <v>903.91</v>
      </c>
      <c r="G148" s="11">
        <v>70</v>
      </c>
      <c r="H148" s="3"/>
      <c r="I148" s="11">
        <v>1000</v>
      </c>
      <c r="J148" s="11">
        <v>1000</v>
      </c>
      <c r="K148" s="3"/>
      <c r="L148" s="11">
        <v>500</v>
      </c>
      <c r="M148" s="38">
        <f>+L148/J148</f>
        <v>0.5</v>
      </c>
    </row>
    <row r="149" spans="1:13" hidden="1" x14ac:dyDescent="0.25">
      <c r="A149" s="14" t="s">
        <v>204</v>
      </c>
      <c r="B149" s="15" t="s">
        <v>160</v>
      </c>
      <c r="C149" s="16">
        <v>864</v>
      </c>
      <c r="D149" s="11">
        <v>1547.8</v>
      </c>
      <c r="E149" s="11">
        <v>913.43</v>
      </c>
      <c r="F149" s="11">
        <v>1486.03</v>
      </c>
      <c r="G149" s="11">
        <v>1402.02</v>
      </c>
      <c r="H149" s="3"/>
      <c r="I149" s="11">
        <v>2500</v>
      </c>
      <c r="J149" s="11">
        <v>2500</v>
      </c>
      <c r="K149" s="3"/>
      <c r="L149" s="11">
        <v>2000</v>
      </c>
      <c r="M149" s="38">
        <f>+L149/J149</f>
        <v>0.8</v>
      </c>
    </row>
    <row r="150" spans="1:13" hidden="1" x14ac:dyDescent="0.25">
      <c r="A150" s="14" t="s">
        <v>205</v>
      </c>
      <c r="B150" s="15" t="s">
        <v>80</v>
      </c>
      <c r="C150" s="16">
        <v>99</v>
      </c>
      <c r="D150" s="11">
        <v>53.38</v>
      </c>
      <c r="E150" s="11">
        <v>52</v>
      </c>
      <c r="F150" s="11">
        <v>75.03</v>
      </c>
      <c r="G150" s="11">
        <v>0</v>
      </c>
      <c r="H150" s="3"/>
      <c r="I150" s="11">
        <v>250</v>
      </c>
      <c r="J150" s="11">
        <v>250</v>
      </c>
      <c r="K150" s="3"/>
      <c r="L150" s="11">
        <v>250</v>
      </c>
      <c r="M150" s="38">
        <f>+L150/J150</f>
        <v>1</v>
      </c>
    </row>
    <row r="151" spans="1:13" hidden="1" x14ac:dyDescent="0.25">
      <c r="A151" s="14"/>
      <c r="B151" s="15"/>
      <c r="C151" s="16"/>
      <c r="D151" s="11"/>
      <c r="E151" s="11"/>
      <c r="F151" s="11"/>
      <c r="G151" s="11"/>
      <c r="H151" s="3"/>
      <c r="I151" s="11"/>
      <c r="J151" s="11"/>
      <c r="K151" s="3"/>
      <c r="L151" s="11"/>
    </row>
    <row r="152" spans="1:13" hidden="1" x14ac:dyDescent="0.25">
      <c r="A152" s="29"/>
      <c r="B152" s="30" t="s">
        <v>206</v>
      </c>
      <c r="C152" s="16">
        <f>SUM(C138:C150)</f>
        <v>70753</v>
      </c>
      <c r="D152" s="11">
        <f>SUM(D138:D150)</f>
        <v>75846.850000000006</v>
      </c>
      <c r="E152" s="11">
        <f>SUM(E138:E150)</f>
        <v>77715.17</v>
      </c>
      <c r="F152" s="11">
        <f>SUM(F138:F150)</f>
        <v>107102.64999999998</v>
      </c>
      <c r="G152" s="11">
        <f>SUM(G138:G150)</f>
        <v>90565.73</v>
      </c>
      <c r="H152" s="3"/>
      <c r="I152" s="11">
        <f>SUM(I138:I150)</f>
        <v>145714</v>
      </c>
      <c r="J152" s="11">
        <f>SUM(J138:J150)</f>
        <v>145714</v>
      </c>
      <c r="K152" s="3"/>
      <c r="L152" s="11">
        <f>SUM(L138:L150)</f>
        <v>151128.85088000001</v>
      </c>
      <c r="M152" s="38">
        <f>+L152/J152</f>
        <v>1.0371608141976749</v>
      </c>
    </row>
    <row r="153" spans="1:13" hidden="1" x14ac:dyDescent="0.25">
      <c r="A153" s="29"/>
      <c r="B153" s="30"/>
      <c r="C153" s="16"/>
      <c r="D153" s="11"/>
      <c r="E153" s="11"/>
      <c r="F153" s="11"/>
      <c r="G153" s="11"/>
      <c r="H153" s="3"/>
      <c r="I153" s="11"/>
      <c r="J153" s="11"/>
      <c r="K153" s="3"/>
      <c r="L153" s="11"/>
    </row>
    <row r="154" spans="1:13" hidden="1" x14ac:dyDescent="0.25">
      <c r="A154" s="14" t="s">
        <v>207</v>
      </c>
      <c r="B154" s="15" t="s">
        <v>124</v>
      </c>
      <c r="C154" s="16">
        <v>41240</v>
      </c>
      <c r="D154" s="11">
        <v>60236.07</v>
      </c>
      <c r="E154" s="11">
        <v>33683.4</v>
      </c>
      <c r="F154" s="11">
        <v>39820.85</v>
      </c>
      <c r="G154" s="11">
        <v>25463.07</v>
      </c>
      <c r="H154" s="3"/>
      <c r="I154" s="11">
        <v>62859</v>
      </c>
      <c r="J154" s="11">
        <v>40000</v>
      </c>
      <c r="K154" s="3"/>
      <c r="L154" s="11">
        <f>+'[1]Non-Union - 3.5%'!$I$47</f>
        <v>29062.799999999996</v>
      </c>
      <c r="M154" s="38">
        <f t="shared" ref="M154:M160" si="5">+L154/J154</f>
        <v>0.72656999999999994</v>
      </c>
    </row>
    <row r="155" spans="1:13" hidden="1" x14ac:dyDescent="0.25">
      <c r="A155" s="14" t="s">
        <v>208</v>
      </c>
      <c r="B155" s="15" t="s">
        <v>126</v>
      </c>
      <c r="C155" s="16">
        <v>3874</v>
      </c>
      <c r="D155" s="11">
        <v>5318.45</v>
      </c>
      <c r="E155" s="11">
        <v>2923.34</v>
      </c>
      <c r="F155" s="11">
        <v>3373.75</v>
      </c>
      <c r="G155" s="11">
        <v>1995.67</v>
      </c>
      <c r="H155" s="3"/>
      <c r="I155" s="11">
        <v>5029</v>
      </c>
      <c r="J155" s="11">
        <v>3200</v>
      </c>
      <c r="K155" s="3"/>
      <c r="L155" s="11">
        <f>+'[1]Non-Union - 3.5%'!$P$47</f>
        <v>2325.0239999999999</v>
      </c>
      <c r="M155" s="38">
        <f t="shared" si="5"/>
        <v>0.72656999999999994</v>
      </c>
    </row>
    <row r="156" spans="1:13" hidden="1" x14ac:dyDescent="0.25">
      <c r="A156" s="14" t="s">
        <v>209</v>
      </c>
      <c r="B156" s="15" t="s">
        <v>171</v>
      </c>
      <c r="C156" s="16">
        <v>18</v>
      </c>
      <c r="D156" s="11">
        <v>11.7</v>
      </c>
      <c r="E156" s="11">
        <v>0</v>
      </c>
      <c r="F156" s="11"/>
      <c r="G156" s="11">
        <v>324.13</v>
      </c>
      <c r="H156" s="3"/>
      <c r="I156" s="11"/>
      <c r="J156" s="11"/>
      <c r="K156" s="3"/>
      <c r="L156" s="11">
        <v>250</v>
      </c>
    </row>
    <row r="157" spans="1:13" hidden="1" x14ac:dyDescent="0.25">
      <c r="A157" s="14" t="s">
        <v>210</v>
      </c>
      <c r="B157" s="15" t="s">
        <v>132</v>
      </c>
      <c r="C157" s="16">
        <v>111</v>
      </c>
      <c r="D157" s="11">
        <v>87.01</v>
      </c>
      <c r="E157" s="11">
        <v>647.65</v>
      </c>
      <c r="F157" s="11">
        <v>1301.17</v>
      </c>
      <c r="G157" s="11">
        <v>610.53</v>
      </c>
      <c r="H157" s="3"/>
      <c r="I157" s="11">
        <v>82</v>
      </c>
      <c r="J157" s="11">
        <v>82</v>
      </c>
      <c r="K157" s="3"/>
      <c r="L157" s="11">
        <f>+'[1]Non-Union - 3.5%'!$R$47</f>
        <v>37.781639999999996</v>
      </c>
      <c r="M157" s="38">
        <f t="shared" si="5"/>
        <v>0.4607517073170731</v>
      </c>
    </row>
    <row r="158" spans="1:13" hidden="1" x14ac:dyDescent="0.25">
      <c r="A158" s="14">
        <v>6071300</v>
      </c>
      <c r="B158" s="15" t="s">
        <v>211</v>
      </c>
      <c r="C158" s="16">
        <v>0</v>
      </c>
      <c r="D158" s="11">
        <v>421.17</v>
      </c>
      <c r="E158" s="11">
        <v>188.65</v>
      </c>
      <c r="F158" s="11"/>
      <c r="G158" s="11">
        <v>0</v>
      </c>
      <c r="H158" s="3"/>
      <c r="I158" s="11">
        <v>250</v>
      </c>
      <c r="J158" s="11">
        <v>250</v>
      </c>
      <c r="K158" s="3"/>
      <c r="L158" s="11">
        <v>250</v>
      </c>
      <c r="M158" s="38">
        <f t="shared" si="5"/>
        <v>1</v>
      </c>
    </row>
    <row r="159" spans="1:13" hidden="1" x14ac:dyDescent="0.25">
      <c r="A159" s="14" t="s">
        <v>212</v>
      </c>
      <c r="B159" s="15" t="s">
        <v>160</v>
      </c>
      <c r="C159" s="16">
        <v>749</v>
      </c>
      <c r="D159" s="11">
        <v>1967.46</v>
      </c>
      <c r="E159" s="11">
        <v>1154.2</v>
      </c>
      <c r="F159" s="11">
        <v>629.27</v>
      </c>
      <c r="G159" s="11">
        <v>907.21</v>
      </c>
      <c r="H159" s="3"/>
      <c r="I159" s="11">
        <v>1200</v>
      </c>
      <c r="J159" s="11">
        <v>1200</v>
      </c>
      <c r="K159" s="3"/>
      <c r="L159" s="11">
        <v>1200</v>
      </c>
      <c r="M159" s="38">
        <f t="shared" si="5"/>
        <v>1</v>
      </c>
    </row>
    <row r="160" spans="1:13" hidden="1" x14ac:dyDescent="0.25">
      <c r="A160" s="14" t="s">
        <v>213</v>
      </c>
      <c r="B160" s="15" t="s">
        <v>80</v>
      </c>
      <c r="C160" s="16">
        <v>444</v>
      </c>
      <c r="D160" s="11">
        <v>1106.8800000000001</v>
      </c>
      <c r="E160" s="11">
        <v>0</v>
      </c>
      <c r="F160" s="11"/>
      <c r="G160" s="11">
        <v>0</v>
      </c>
      <c r="H160" s="3"/>
      <c r="I160" s="11">
        <v>500</v>
      </c>
      <c r="J160" s="11">
        <v>500</v>
      </c>
      <c r="K160" s="3"/>
      <c r="L160" s="11">
        <v>250</v>
      </c>
      <c r="M160" s="38">
        <f t="shared" si="5"/>
        <v>0.5</v>
      </c>
    </row>
    <row r="161" spans="1:13" hidden="1" x14ac:dyDescent="0.25">
      <c r="A161" s="14"/>
      <c r="B161" s="15"/>
      <c r="C161" s="16"/>
      <c r="D161" s="11"/>
      <c r="E161" s="11"/>
      <c r="F161" s="11"/>
      <c r="G161" s="11"/>
      <c r="H161" s="3"/>
      <c r="I161" s="11"/>
      <c r="J161" s="11"/>
      <c r="K161" s="3"/>
      <c r="L161" s="11"/>
    </row>
    <row r="162" spans="1:13" hidden="1" x14ac:dyDescent="0.25">
      <c r="A162" s="29"/>
      <c r="B162" s="30" t="s">
        <v>214</v>
      </c>
      <c r="C162" s="16">
        <f>SUM(C154:C160)</f>
        <v>46436</v>
      </c>
      <c r="D162" s="11">
        <f>SUM(D154:D160)</f>
        <v>69148.740000000005</v>
      </c>
      <c r="E162" s="11">
        <f>SUM(E154:E160)</f>
        <v>38597.240000000005</v>
      </c>
      <c r="F162" s="11">
        <f>SUM(F154:F160)</f>
        <v>45125.039999999994</v>
      </c>
      <c r="G162" s="11">
        <f>SUM(G154:G160)</f>
        <v>29300.609999999997</v>
      </c>
      <c r="H162" s="3"/>
      <c r="I162" s="11">
        <f>SUM(I154:I160)</f>
        <v>69920</v>
      </c>
      <c r="J162" s="11">
        <f>SUM(J154:J160)</f>
        <v>45232</v>
      </c>
      <c r="K162" s="3"/>
      <c r="L162" s="11">
        <f>SUM(L154:L160)</f>
        <v>33375.605639999994</v>
      </c>
      <c r="M162" s="38">
        <f>+L162/J162</f>
        <v>0.73787596480367867</v>
      </c>
    </row>
    <row r="163" spans="1:13" hidden="1" x14ac:dyDescent="0.25">
      <c r="A163" s="29"/>
      <c r="B163" s="30"/>
      <c r="C163" s="16"/>
      <c r="D163" s="11"/>
      <c r="E163" s="11"/>
      <c r="F163" s="11"/>
      <c r="G163" s="11"/>
      <c r="H163" s="3"/>
      <c r="I163" s="11"/>
      <c r="J163" s="11"/>
      <c r="K163" s="3"/>
      <c r="L163" s="11"/>
    </row>
    <row r="164" spans="1:13" hidden="1" x14ac:dyDescent="0.25">
      <c r="A164" s="17" t="s">
        <v>21</v>
      </c>
      <c r="B164" s="18" t="s">
        <v>215</v>
      </c>
      <c r="C164" s="11">
        <f>+C162+C152+C136+C111+C86</f>
        <v>1151613</v>
      </c>
      <c r="D164" s="11">
        <f>+D162+D152+D136+D111+D86</f>
        <v>1341454.58</v>
      </c>
      <c r="E164" s="11">
        <f>+E162+E152+E136+E111+E86</f>
        <v>1196697.2400000002</v>
      </c>
      <c r="F164" s="11">
        <f>+F162+F152+F136+F111+F86</f>
        <v>1526616.7560000001</v>
      </c>
      <c r="G164" s="11">
        <f>+G162+G152+G136+G111+G86</f>
        <v>1215212.9099999999</v>
      </c>
      <c r="H164" s="3"/>
      <c r="I164" s="11">
        <f>+I162+I152+I136+I111+I86</f>
        <v>1709098.3</v>
      </c>
      <c r="J164" s="11">
        <f>+J162+J152+J136+J111+J86</f>
        <v>1824010.3</v>
      </c>
      <c r="K164" s="3"/>
      <c r="L164" s="11">
        <f>+L162+L152+L136+L111+L86</f>
        <v>1771859.0770402863</v>
      </c>
      <c r="M164" s="38">
        <f>+L164/J164</f>
        <v>0.97140848220006559</v>
      </c>
    </row>
    <row r="165" spans="1:13" hidden="1" x14ac:dyDescent="0.25">
      <c r="D165" s="11"/>
      <c r="E165" s="11"/>
      <c r="F165" s="11"/>
      <c r="G165" s="11"/>
      <c r="H165" s="3"/>
      <c r="I165" s="11"/>
      <c r="J165" s="11"/>
      <c r="K165" s="3"/>
      <c r="L165" s="11"/>
    </row>
    <row r="166" spans="1:13" hidden="1" x14ac:dyDescent="0.25">
      <c r="A166" s="9" t="s">
        <v>216</v>
      </c>
      <c r="B166" s="10" t="s">
        <v>217</v>
      </c>
      <c r="D166" s="11"/>
      <c r="E166" s="11"/>
      <c r="F166" s="11"/>
      <c r="G166" s="11"/>
      <c r="H166" s="3"/>
      <c r="I166" s="11"/>
      <c r="J166" s="11"/>
      <c r="K166" s="3"/>
      <c r="L166" s="11"/>
    </row>
    <row r="167" spans="1:13" hidden="1" x14ac:dyDescent="0.25">
      <c r="A167" s="12" t="s">
        <v>9</v>
      </c>
      <c r="B167" s="13" t="s">
        <v>10</v>
      </c>
      <c r="D167" s="11"/>
      <c r="E167" s="11"/>
      <c r="F167" s="11"/>
      <c r="G167" s="11"/>
      <c r="H167" s="3"/>
      <c r="I167" s="11"/>
      <c r="J167" s="11"/>
      <c r="K167" s="3"/>
      <c r="L167" s="11"/>
    </row>
    <row r="168" spans="1:13" hidden="1" x14ac:dyDescent="0.25">
      <c r="A168" s="14" t="s">
        <v>218</v>
      </c>
      <c r="B168" s="15" t="s">
        <v>219</v>
      </c>
      <c r="C168" s="16">
        <v>676230</v>
      </c>
      <c r="D168" s="11">
        <v>793144.54</v>
      </c>
      <c r="E168" s="11">
        <v>725138.85</v>
      </c>
      <c r="F168" s="11">
        <v>1037671.5</v>
      </c>
      <c r="G168" s="11">
        <v>861248.2</v>
      </c>
      <c r="H168" s="3"/>
      <c r="I168" s="11">
        <v>1150000</v>
      </c>
      <c r="J168" s="11">
        <v>1320000</v>
      </c>
      <c r="K168" s="3"/>
      <c r="L168" s="11">
        <f>+'[1]Non-Union - 3.5%'!$I$17+[1]Union!$H$22+[1]Union!$U$22+[1]Union!$V$22+[1]Union!$W$22</f>
        <v>1347217.3961057691</v>
      </c>
      <c r="M168" s="38">
        <f t="shared" ref="M168:M185" si="6">+L168/J168</f>
        <v>1.0206192394740674</v>
      </c>
    </row>
    <row r="169" spans="1:13" hidden="1" x14ac:dyDescent="0.25">
      <c r="A169" s="14" t="s">
        <v>220</v>
      </c>
      <c r="B169" s="15" t="s">
        <v>221</v>
      </c>
      <c r="C169" s="16">
        <v>0</v>
      </c>
      <c r="D169" s="11">
        <v>2250</v>
      </c>
      <c r="E169" s="11">
        <v>9570</v>
      </c>
      <c r="F169" s="11">
        <v>50469.64</v>
      </c>
      <c r="G169" s="11">
        <v>31345</v>
      </c>
      <c r="H169" s="3"/>
      <c r="I169" s="11">
        <v>55120</v>
      </c>
      <c r="J169" s="11">
        <v>55120</v>
      </c>
      <c r="K169" s="3"/>
      <c r="L169" s="11">
        <v>50000</v>
      </c>
      <c r="M169" s="38">
        <f t="shared" si="6"/>
        <v>0.90711175616835993</v>
      </c>
    </row>
    <row r="170" spans="1:13" hidden="1" x14ac:dyDescent="0.25">
      <c r="A170" s="14" t="s">
        <v>222</v>
      </c>
      <c r="B170" s="15" t="s">
        <v>223</v>
      </c>
      <c r="C170" s="16">
        <v>55881</v>
      </c>
      <c r="D170" s="11">
        <v>57543.17</v>
      </c>
      <c r="E170" s="11">
        <v>55670.48</v>
      </c>
      <c r="F170" s="11">
        <v>82622.080000000002</v>
      </c>
      <c r="G170" s="11">
        <v>62208.480000000003</v>
      </c>
      <c r="H170" s="3"/>
      <c r="I170" s="11">
        <f>8650+12100+68163</f>
        <v>88913</v>
      </c>
      <c r="J170" s="11">
        <v>110009.60000000001</v>
      </c>
      <c r="K170" s="3"/>
      <c r="L170" s="11">
        <f>9253+[1]Union!$O$22+[1]Union!$Z$22</f>
        <v>107777.22048846152</v>
      </c>
      <c r="M170" s="38">
        <f t="shared" si="6"/>
        <v>0.97970741179371179</v>
      </c>
    </row>
    <row r="171" spans="1:13" hidden="1" x14ac:dyDescent="0.25">
      <c r="A171" s="14" t="s">
        <v>224</v>
      </c>
      <c r="B171" s="15" t="s">
        <v>225</v>
      </c>
      <c r="C171" s="16">
        <v>152064</v>
      </c>
      <c r="D171" s="11">
        <v>142017.5</v>
      </c>
      <c r="E171" s="11">
        <v>140830.78</v>
      </c>
      <c r="F171" s="11">
        <v>192240.68</v>
      </c>
      <c r="G171" s="11">
        <v>181109.85</v>
      </c>
      <c r="H171" s="3"/>
      <c r="I171" s="11">
        <f>6469+266647+10641+2672+1879</f>
        <v>288308</v>
      </c>
      <c r="J171" s="11">
        <v>288308</v>
      </c>
      <c r="K171" s="3"/>
      <c r="L171" s="11">
        <f>7200+[1]Union!$J$22+[1]Union!$K$22+[1]Union!$L$22+[1]Union!$M$22</f>
        <v>352847.2680000001</v>
      </c>
      <c r="M171" s="38">
        <f t="shared" si="6"/>
        <v>1.223855279770246</v>
      </c>
    </row>
    <row r="172" spans="1:13" hidden="1" x14ac:dyDescent="0.25">
      <c r="A172" s="14" t="s">
        <v>226</v>
      </c>
      <c r="B172" s="15" t="s">
        <v>227</v>
      </c>
      <c r="C172" s="16">
        <v>80802</v>
      </c>
      <c r="D172" s="11">
        <v>98566.28</v>
      </c>
      <c r="E172" s="11">
        <v>68124.479999999996</v>
      </c>
      <c r="F172" s="11">
        <v>90168.43</v>
      </c>
      <c r="G172" s="11">
        <v>85964.77</v>
      </c>
      <c r="H172" s="3"/>
      <c r="I172" s="11">
        <f>144847+18380</f>
        <v>163227</v>
      </c>
      <c r="J172" s="11">
        <v>163227</v>
      </c>
      <c r="K172" s="3"/>
      <c r="L172" s="11">
        <f>464+[1]Union!$N$22</f>
        <v>157782.92819999999</v>
      </c>
      <c r="M172" s="38">
        <f t="shared" si="6"/>
        <v>0.9666472348324725</v>
      </c>
    </row>
    <row r="173" spans="1:13" hidden="1" x14ac:dyDescent="0.25">
      <c r="A173" s="14" t="s">
        <v>228</v>
      </c>
      <c r="B173" s="15" t="s">
        <v>229</v>
      </c>
      <c r="C173" s="16">
        <v>10188</v>
      </c>
      <c r="D173" s="11">
        <v>16231.68</v>
      </c>
      <c r="E173" s="11">
        <v>5561.98</v>
      </c>
      <c r="F173" s="11">
        <v>77009.759999999995</v>
      </c>
      <c r="G173" s="11">
        <v>24155.46</v>
      </c>
      <c r="H173" s="3"/>
      <c r="I173" s="11">
        <v>20000</v>
      </c>
      <c r="J173" s="11">
        <v>20000</v>
      </c>
      <c r="K173" s="3"/>
      <c r="L173" s="11">
        <v>20000</v>
      </c>
      <c r="M173" s="38">
        <f t="shared" si="6"/>
        <v>1</v>
      </c>
    </row>
    <row r="174" spans="1:13" hidden="1" x14ac:dyDescent="0.25">
      <c r="A174" s="14" t="s">
        <v>230</v>
      </c>
      <c r="B174" s="15" t="s">
        <v>231</v>
      </c>
      <c r="C174" s="16">
        <v>25001</v>
      </c>
      <c r="D174" s="11">
        <v>31230.12</v>
      </c>
      <c r="E174" s="11">
        <v>19763.8</v>
      </c>
      <c r="F174" s="11">
        <v>8095.98</v>
      </c>
      <c r="G174" s="11">
        <v>33114.26</v>
      </c>
      <c r="H174" s="3"/>
      <c r="I174" s="11">
        <f>29055+5158+3687</f>
        <v>37900</v>
      </c>
      <c r="J174" s="11">
        <v>37900</v>
      </c>
      <c r="K174" s="3"/>
      <c r="L174" s="11">
        <f>3944+[1]Union!$Q$22+[1]Union!$Y$22</f>
        <v>45939.948983206727</v>
      </c>
      <c r="M174" s="38">
        <f t="shared" si="6"/>
        <v>1.2121358570766947</v>
      </c>
    </row>
    <row r="175" spans="1:13" hidden="1" x14ac:dyDescent="0.25">
      <c r="A175" s="14" t="s">
        <v>232</v>
      </c>
      <c r="B175" s="15" t="s">
        <v>233</v>
      </c>
      <c r="C175" s="16">
        <v>120533</v>
      </c>
      <c r="D175" s="11">
        <v>128146.94</v>
      </c>
      <c r="E175" s="11">
        <v>101451.3</v>
      </c>
      <c r="F175" s="11">
        <v>223940.33</v>
      </c>
      <c r="G175" s="11">
        <v>221517.37</v>
      </c>
      <c r="H175" s="3"/>
      <c r="I175" s="11">
        <f>270263+51628</f>
        <v>321891</v>
      </c>
      <c r="J175" s="11">
        <v>321891</v>
      </c>
      <c r="K175" s="3"/>
      <c r="L175" s="11">
        <f>+'[1]Non-Union - 3.5%'!$I$27+'[1]Non-Union - 3.5%'!$V$27</f>
        <v>353446.86481349997</v>
      </c>
      <c r="M175" s="38">
        <f t="shared" si="6"/>
        <v>1.098032765170508</v>
      </c>
    </row>
    <row r="176" spans="1:13" hidden="1" x14ac:dyDescent="0.25">
      <c r="A176" s="14" t="s">
        <v>234</v>
      </c>
      <c r="B176" s="15" t="s">
        <v>235</v>
      </c>
      <c r="C176" s="16">
        <v>10228</v>
      </c>
      <c r="D176" s="11">
        <v>11300.56</v>
      </c>
      <c r="E176" s="11">
        <v>8147.5</v>
      </c>
      <c r="F176" s="11">
        <v>17331.79</v>
      </c>
      <c r="G176" s="11">
        <v>15040.61</v>
      </c>
      <c r="H176" s="3"/>
      <c r="I176" s="11">
        <f>21621+4130</f>
        <v>25751</v>
      </c>
      <c r="J176" s="11">
        <v>25751</v>
      </c>
      <c r="K176" s="3"/>
      <c r="L176" s="11">
        <f>+'[1]Non-Union - 3.5%'!$P$27+'[1]Non-Union - 3.5%'!$Z$27</f>
        <v>28275.74918508</v>
      </c>
      <c r="M176" s="38">
        <f t="shared" si="6"/>
        <v>1.0980447044806028</v>
      </c>
    </row>
    <row r="177" spans="1:13" hidden="1" x14ac:dyDescent="0.25">
      <c r="A177" s="14" t="s">
        <v>236</v>
      </c>
      <c r="B177" s="15" t="s">
        <v>237</v>
      </c>
      <c r="C177" s="16">
        <v>41198</v>
      </c>
      <c r="D177" s="11">
        <v>39635.67</v>
      </c>
      <c r="E177" s="11">
        <v>23581.19</v>
      </c>
      <c r="F177" s="11">
        <v>78593.440000000002</v>
      </c>
      <c r="G177" s="11">
        <v>70617.97</v>
      </c>
      <c r="H177" s="3"/>
      <c r="I177" s="11">
        <f>122947+5856+1474</f>
        <v>130277</v>
      </c>
      <c r="J177" s="11">
        <v>130277</v>
      </c>
      <c r="K177" s="3"/>
      <c r="L177" s="11">
        <f>+SUM('[1]Non-Union - 3.5%'!$K$27:$N$27)</f>
        <v>129595.01999999999</v>
      </c>
      <c r="M177" s="38">
        <f t="shared" si="6"/>
        <v>0.99476515424825551</v>
      </c>
    </row>
    <row r="178" spans="1:13" hidden="1" x14ac:dyDescent="0.25">
      <c r="A178" s="14" t="s">
        <v>238</v>
      </c>
      <c r="B178" s="15" t="s">
        <v>239</v>
      </c>
      <c r="C178" s="16">
        <v>1799</v>
      </c>
      <c r="D178" s="11">
        <v>2200.7800000000002</v>
      </c>
      <c r="E178" s="11">
        <v>3043.2</v>
      </c>
      <c r="F178" s="11">
        <v>1929.9</v>
      </c>
      <c r="G178" s="11">
        <v>1994.23</v>
      </c>
      <c r="H178" s="3"/>
      <c r="I178" s="11">
        <f>4974+986</f>
        <v>5960</v>
      </c>
      <c r="J178" s="11">
        <v>5960</v>
      </c>
      <c r="K178" s="3"/>
      <c r="L178" s="11">
        <f>+'[1]Non-Union - 3.5%'!$O$27+'[1]Non-Union - 3.5%'!$X$27</f>
        <v>3215.8542699999998</v>
      </c>
      <c r="M178" s="38">
        <f t="shared" si="6"/>
        <v>0.53957286409395966</v>
      </c>
    </row>
    <row r="179" spans="1:13" hidden="1" x14ac:dyDescent="0.25">
      <c r="A179" s="14">
        <v>6030250</v>
      </c>
      <c r="B179" s="15" t="s">
        <v>240</v>
      </c>
      <c r="C179" s="16"/>
      <c r="D179" s="11"/>
      <c r="E179" s="11"/>
      <c r="F179" s="11">
        <v>218.25</v>
      </c>
      <c r="G179" s="11">
        <v>2698.36</v>
      </c>
      <c r="H179" s="3"/>
      <c r="I179" s="11"/>
      <c r="J179" s="11">
        <v>2700</v>
      </c>
      <c r="K179" s="3"/>
      <c r="L179" s="11">
        <v>1500</v>
      </c>
      <c r="M179" s="38">
        <f t="shared" si="6"/>
        <v>0.55555555555555558</v>
      </c>
    </row>
    <row r="180" spans="1:13" hidden="1" x14ac:dyDescent="0.25">
      <c r="A180" s="14" t="s">
        <v>241</v>
      </c>
      <c r="B180" s="15" t="s">
        <v>242</v>
      </c>
      <c r="C180" s="16">
        <v>226</v>
      </c>
      <c r="D180" s="11">
        <v>161.86000000000001</v>
      </c>
      <c r="E180" s="11">
        <v>1384.45</v>
      </c>
      <c r="F180" s="11">
        <v>2698.66</v>
      </c>
      <c r="G180" s="11">
        <v>5311.77</v>
      </c>
      <c r="H180" s="3"/>
      <c r="I180" s="11">
        <f>351+67</f>
        <v>418</v>
      </c>
      <c r="J180" s="11">
        <v>7500</v>
      </c>
      <c r="K180" s="3"/>
      <c r="L180" s="11">
        <f>+'[1]Non-Union - 3.5%'!$R$27+'[1]Non-Union - 3.5%'!$Y$27</f>
        <v>459.48092425754999</v>
      </c>
      <c r="M180" s="38">
        <f t="shared" si="6"/>
        <v>6.1264123234339996E-2</v>
      </c>
    </row>
    <row r="181" spans="1:13" hidden="1" x14ac:dyDescent="0.25">
      <c r="A181" s="14" t="s">
        <v>243</v>
      </c>
      <c r="B181" s="15" t="s">
        <v>134</v>
      </c>
      <c r="C181" s="16">
        <v>157168</v>
      </c>
      <c r="D181" s="11">
        <v>166288.71</v>
      </c>
      <c r="E181" s="11">
        <v>205211.96</v>
      </c>
      <c r="F181" s="11">
        <v>202842.41</v>
      </c>
      <c r="G181" s="11">
        <v>177363.55</v>
      </c>
      <c r="H181" s="3"/>
      <c r="I181" s="11">
        <v>190320</v>
      </c>
      <c r="J181" s="11">
        <v>190320</v>
      </c>
      <c r="K181" s="3"/>
      <c r="L181" s="11">
        <v>196737</v>
      </c>
      <c r="M181" s="38">
        <f t="shared" si="6"/>
        <v>1.0337168978562421</v>
      </c>
    </row>
    <row r="182" spans="1:13" hidden="1" x14ac:dyDescent="0.25">
      <c r="A182" s="14" t="s">
        <v>244</v>
      </c>
      <c r="B182" s="15" t="s">
        <v>136</v>
      </c>
      <c r="C182" s="16">
        <v>13223</v>
      </c>
      <c r="D182" s="11">
        <v>20974.02</v>
      </c>
      <c r="E182" s="11">
        <v>19302.919999999998</v>
      </c>
      <c r="F182" s="11">
        <v>17279.099999999999</v>
      </c>
      <c r="G182" s="11">
        <v>14898.52</v>
      </c>
      <c r="H182" s="3"/>
      <c r="I182" s="11">
        <v>16250</v>
      </c>
      <c r="J182" s="11">
        <v>16250</v>
      </c>
      <c r="K182" s="3"/>
      <c r="L182" s="11">
        <v>19673.7</v>
      </c>
      <c r="M182" s="38">
        <f t="shared" si="6"/>
        <v>1.2106892307692307</v>
      </c>
    </row>
    <row r="183" spans="1:13" hidden="1" x14ac:dyDescent="0.25">
      <c r="A183" s="14" t="s">
        <v>245</v>
      </c>
      <c r="B183" s="15" t="s">
        <v>176</v>
      </c>
      <c r="C183" s="16">
        <v>3513</v>
      </c>
      <c r="D183" s="11">
        <v>3147.89</v>
      </c>
      <c r="E183" s="11">
        <v>2830.45</v>
      </c>
      <c r="F183" s="11">
        <v>11016.29</v>
      </c>
      <c r="G183" s="11">
        <v>17254.490000000002</v>
      </c>
      <c r="H183" s="3"/>
      <c r="I183" s="11">
        <v>8000</v>
      </c>
      <c r="J183" s="11">
        <v>18000</v>
      </c>
      <c r="K183" s="3"/>
      <c r="L183" s="11">
        <v>12000</v>
      </c>
      <c r="M183" s="38">
        <f t="shared" si="6"/>
        <v>0.66666666666666663</v>
      </c>
    </row>
    <row r="184" spans="1:13" hidden="1" x14ac:dyDescent="0.25">
      <c r="A184" s="14" t="s">
        <v>246</v>
      </c>
      <c r="B184" s="15" t="s">
        <v>138</v>
      </c>
      <c r="C184" s="16">
        <v>7876</v>
      </c>
      <c r="D184" s="11">
        <v>8659.57</v>
      </c>
      <c r="E184" s="11">
        <v>4580.3500000000004</v>
      </c>
      <c r="F184" s="11">
        <v>5397.32</v>
      </c>
      <c r="G184" s="11">
        <v>3477.22</v>
      </c>
      <c r="H184" s="3"/>
      <c r="I184" s="11">
        <v>6489.91</v>
      </c>
      <c r="J184" s="11">
        <v>6489.91</v>
      </c>
      <c r="K184" s="3"/>
      <c r="L184" s="11">
        <v>6708.73</v>
      </c>
      <c r="M184" s="38">
        <f t="shared" si="6"/>
        <v>1.0337169544724041</v>
      </c>
    </row>
    <row r="185" spans="1:13" hidden="1" x14ac:dyDescent="0.25">
      <c r="A185" s="14" t="s">
        <v>247</v>
      </c>
      <c r="B185" s="15" t="s">
        <v>140</v>
      </c>
      <c r="C185" s="16">
        <v>22435</v>
      </c>
      <c r="D185" s="11">
        <v>18414.25</v>
      </c>
      <c r="E185" s="11">
        <v>15920.44</v>
      </c>
      <c r="F185" s="11">
        <v>26310.71</v>
      </c>
      <c r="G185" s="11">
        <v>13795.04</v>
      </c>
      <c r="H185" s="3"/>
      <c r="I185" s="11">
        <v>15500</v>
      </c>
      <c r="J185" s="11">
        <v>15500</v>
      </c>
      <c r="K185" s="3"/>
      <c r="L185" s="11">
        <v>15500</v>
      </c>
      <c r="M185" s="38">
        <f t="shared" si="6"/>
        <v>1</v>
      </c>
    </row>
    <row r="186" spans="1:13" hidden="1" x14ac:dyDescent="0.25">
      <c r="A186" s="14" t="s">
        <v>248</v>
      </c>
      <c r="B186" s="15" t="s">
        <v>142</v>
      </c>
      <c r="C186" s="16">
        <v>2450</v>
      </c>
      <c r="D186" s="11">
        <v>2907.5</v>
      </c>
      <c r="E186" s="11">
        <v>2212.98</v>
      </c>
      <c r="F186" s="11">
        <v>2995</v>
      </c>
      <c r="G186" s="11">
        <v>0</v>
      </c>
      <c r="H186" s="3"/>
      <c r="I186" s="11"/>
      <c r="J186" s="11">
        <v>0</v>
      </c>
      <c r="K186" s="3"/>
      <c r="L186" s="11"/>
    </row>
    <row r="187" spans="1:13" hidden="1" x14ac:dyDescent="0.25">
      <c r="A187" s="14" t="s">
        <v>249</v>
      </c>
      <c r="B187" s="15" t="s">
        <v>144</v>
      </c>
      <c r="C187" s="16">
        <v>212</v>
      </c>
      <c r="D187" s="11">
        <v>427.5</v>
      </c>
      <c r="E187" s="11">
        <v>432</v>
      </c>
      <c r="F187" s="11">
        <v>438</v>
      </c>
      <c r="G187" s="11">
        <v>0</v>
      </c>
      <c r="H187" s="3"/>
      <c r="I187" s="11"/>
      <c r="J187" s="11">
        <v>0</v>
      </c>
      <c r="K187" s="3"/>
      <c r="L187" s="11"/>
    </row>
    <row r="188" spans="1:13" hidden="1" x14ac:dyDescent="0.25">
      <c r="A188" s="14" t="s">
        <v>250</v>
      </c>
      <c r="B188" s="15" t="s">
        <v>146</v>
      </c>
      <c r="C188" s="16">
        <v>3711</v>
      </c>
      <c r="D188" s="11">
        <v>2791.67</v>
      </c>
      <c r="E188" s="11">
        <v>2687.27</v>
      </c>
      <c r="F188" s="11">
        <v>5448.95</v>
      </c>
      <c r="G188" s="11">
        <v>0</v>
      </c>
      <c r="H188" s="3"/>
      <c r="I188" s="11"/>
      <c r="J188" s="11">
        <v>0</v>
      </c>
      <c r="K188" s="3"/>
      <c r="L188" s="11"/>
    </row>
    <row r="189" spans="1:13" hidden="1" x14ac:dyDescent="0.25">
      <c r="A189" s="14" t="s">
        <v>251</v>
      </c>
      <c r="B189" s="15" t="s">
        <v>182</v>
      </c>
      <c r="C189" s="16">
        <v>23160</v>
      </c>
      <c r="D189" s="11">
        <v>40171.89</v>
      </c>
      <c r="E189" s="11">
        <v>39764.980000000003</v>
      </c>
      <c r="F189" s="11">
        <v>47323.88</v>
      </c>
      <c r="G189" s="11">
        <v>39158.04</v>
      </c>
      <c r="H189" s="3"/>
      <c r="I189" s="11">
        <v>55000</v>
      </c>
      <c r="J189" s="11">
        <v>55000</v>
      </c>
      <c r="K189" s="3"/>
      <c r="L189" s="11">
        <v>55000</v>
      </c>
      <c r="M189" s="38">
        <f t="shared" ref="M189:M202" si="7">+L189/J189</f>
        <v>1</v>
      </c>
    </row>
    <row r="190" spans="1:13" hidden="1" x14ac:dyDescent="0.25">
      <c r="A190" s="14">
        <v>6030603</v>
      </c>
      <c r="B190" s="15" t="s">
        <v>252</v>
      </c>
      <c r="C190" s="16"/>
      <c r="D190" s="11"/>
      <c r="E190" s="11"/>
      <c r="F190" s="11"/>
      <c r="G190" s="11">
        <v>1053.7</v>
      </c>
      <c r="H190" s="3"/>
      <c r="I190" s="11"/>
      <c r="J190" s="11">
        <v>2500</v>
      </c>
      <c r="K190" s="3"/>
      <c r="L190" s="11">
        <v>5000</v>
      </c>
      <c r="M190" s="38">
        <f t="shared" si="7"/>
        <v>2</v>
      </c>
    </row>
    <row r="191" spans="1:13" hidden="1" x14ac:dyDescent="0.25">
      <c r="A191" s="14">
        <v>6030605</v>
      </c>
      <c r="B191" s="15" t="s">
        <v>148</v>
      </c>
      <c r="C191" s="16"/>
      <c r="D191" s="11"/>
      <c r="E191" s="11"/>
      <c r="F191" s="11">
        <v>60.52</v>
      </c>
      <c r="G191" s="11">
        <v>298.3</v>
      </c>
      <c r="H191" s="3"/>
      <c r="I191" s="11"/>
      <c r="J191" s="11">
        <v>500</v>
      </c>
      <c r="K191" s="3"/>
      <c r="L191" s="11">
        <v>500</v>
      </c>
      <c r="M191" s="38">
        <f t="shared" si="7"/>
        <v>1</v>
      </c>
    </row>
    <row r="192" spans="1:13" hidden="1" x14ac:dyDescent="0.25">
      <c r="A192" s="14" t="s">
        <v>253</v>
      </c>
      <c r="B192" s="15" t="s">
        <v>254</v>
      </c>
      <c r="C192" s="16">
        <v>34396</v>
      </c>
      <c r="D192" s="11">
        <v>27464.74</v>
      </c>
      <c r="E192" s="11">
        <v>37672.65</v>
      </c>
      <c r="F192" s="11">
        <v>37423.78</v>
      </c>
      <c r="G192" s="11">
        <v>30506.62</v>
      </c>
      <c r="H192" s="3"/>
      <c r="I192" s="11">
        <v>25000</v>
      </c>
      <c r="J192" s="11">
        <v>35000</v>
      </c>
      <c r="K192" s="3"/>
      <c r="L192" s="11">
        <v>30000</v>
      </c>
      <c r="M192" s="38">
        <f t="shared" si="7"/>
        <v>0.8571428571428571</v>
      </c>
    </row>
    <row r="193" spans="1:13" hidden="1" x14ac:dyDescent="0.25">
      <c r="A193" s="14" t="s">
        <v>255</v>
      </c>
      <c r="B193" s="15" t="s">
        <v>152</v>
      </c>
      <c r="C193" s="16">
        <v>10778</v>
      </c>
      <c r="D193" s="11">
        <v>10367.9</v>
      </c>
      <c r="E193" s="11">
        <v>12796.5</v>
      </c>
      <c r="F193" s="11">
        <v>5873</v>
      </c>
      <c r="G193" s="11">
        <v>2134</v>
      </c>
      <c r="H193" s="3"/>
      <c r="I193" s="11">
        <v>20000</v>
      </c>
      <c r="J193" s="11">
        <v>5000</v>
      </c>
      <c r="K193" s="3"/>
      <c r="L193" s="11">
        <v>5000</v>
      </c>
      <c r="M193" s="38">
        <f t="shared" si="7"/>
        <v>1</v>
      </c>
    </row>
    <row r="194" spans="1:13" hidden="1" x14ac:dyDescent="0.25">
      <c r="A194" s="14">
        <v>6031125</v>
      </c>
      <c r="B194" s="15" t="s">
        <v>256</v>
      </c>
      <c r="C194" s="16"/>
      <c r="D194" s="11"/>
      <c r="E194" s="11"/>
      <c r="F194" s="11"/>
      <c r="G194" s="11"/>
      <c r="H194" s="3"/>
      <c r="I194" s="11"/>
      <c r="J194" s="11"/>
      <c r="K194" s="3"/>
      <c r="L194" s="11">
        <v>5000</v>
      </c>
    </row>
    <row r="195" spans="1:13" hidden="1" x14ac:dyDescent="0.25">
      <c r="A195" s="14" t="s">
        <v>257</v>
      </c>
      <c r="B195" s="15" t="s">
        <v>154</v>
      </c>
      <c r="C195" s="16">
        <v>79702</v>
      </c>
      <c r="D195" s="11">
        <v>130573.42</v>
      </c>
      <c r="E195" s="11">
        <v>122123.95</v>
      </c>
      <c r="F195" s="11">
        <v>133717.14000000001</v>
      </c>
      <c r="G195" s="11">
        <v>93612.93</v>
      </c>
      <c r="H195" s="3"/>
      <c r="I195" s="11">
        <v>150000</v>
      </c>
      <c r="J195" s="11">
        <v>150000</v>
      </c>
      <c r="K195" s="3"/>
      <c r="L195" s="11">
        <v>150000</v>
      </c>
      <c r="M195" s="38">
        <f t="shared" si="7"/>
        <v>1</v>
      </c>
    </row>
    <row r="196" spans="1:13" hidden="1" x14ac:dyDescent="0.25">
      <c r="A196" s="14" t="s">
        <v>258</v>
      </c>
      <c r="B196" s="15" t="s">
        <v>156</v>
      </c>
      <c r="C196" s="16">
        <v>1251</v>
      </c>
      <c r="D196" s="11">
        <v>1205.47</v>
      </c>
      <c r="E196" s="11">
        <v>676.74</v>
      </c>
      <c r="F196" s="11">
        <v>26669.61</v>
      </c>
      <c r="G196" s="11">
        <v>20247.98</v>
      </c>
      <c r="H196" s="3"/>
      <c r="I196" s="11">
        <v>1000</v>
      </c>
      <c r="J196" s="11">
        <v>25000</v>
      </c>
      <c r="K196" s="3"/>
      <c r="L196" s="11">
        <v>30000</v>
      </c>
      <c r="M196" s="38">
        <f t="shared" si="7"/>
        <v>1.2</v>
      </c>
    </row>
    <row r="197" spans="1:13" hidden="1" x14ac:dyDescent="0.25">
      <c r="A197" s="14" t="s">
        <v>259</v>
      </c>
      <c r="B197" s="15" t="s">
        <v>260</v>
      </c>
      <c r="C197" s="16">
        <v>12089</v>
      </c>
      <c r="D197" s="11">
        <v>7365.48</v>
      </c>
      <c r="E197" s="11">
        <v>12852.77</v>
      </c>
      <c r="F197" s="11">
        <v>30031.31</v>
      </c>
      <c r="G197" s="11">
        <v>7534.9</v>
      </c>
      <c r="H197" s="3"/>
      <c r="I197" s="11">
        <v>15000</v>
      </c>
      <c r="J197" s="11">
        <v>13000</v>
      </c>
      <c r="K197" s="3"/>
      <c r="L197" s="11">
        <v>20000</v>
      </c>
      <c r="M197" s="38">
        <f t="shared" si="7"/>
        <v>1.5384615384615385</v>
      </c>
    </row>
    <row r="198" spans="1:13" hidden="1" x14ac:dyDescent="0.25">
      <c r="A198" s="14">
        <v>6031425</v>
      </c>
      <c r="B198" s="15" t="s">
        <v>261</v>
      </c>
      <c r="C198" s="16">
        <v>0</v>
      </c>
      <c r="D198" s="11"/>
      <c r="E198" s="11"/>
      <c r="F198" s="11">
        <v>95</v>
      </c>
      <c r="G198" s="11">
        <v>596.29999999999995</v>
      </c>
      <c r="H198" s="3"/>
      <c r="I198" s="11"/>
      <c r="J198" s="11">
        <v>1000</v>
      </c>
      <c r="K198" s="3"/>
      <c r="L198" s="11">
        <v>2500</v>
      </c>
      <c r="M198" s="38">
        <f t="shared" si="7"/>
        <v>2.5</v>
      </c>
    </row>
    <row r="199" spans="1:13" hidden="1" x14ac:dyDescent="0.25">
      <c r="A199" s="14">
        <v>6031450</v>
      </c>
      <c r="B199" s="15" t="s">
        <v>262</v>
      </c>
      <c r="C199" s="16">
        <v>0</v>
      </c>
      <c r="D199" s="11"/>
      <c r="E199" s="11"/>
      <c r="F199" s="11">
        <v>3769.13</v>
      </c>
      <c r="G199" s="11">
        <v>950</v>
      </c>
      <c r="H199" s="3"/>
      <c r="I199" s="11"/>
      <c r="J199" s="11">
        <v>1000</v>
      </c>
      <c r="K199" s="3"/>
      <c r="L199" s="11">
        <v>2500</v>
      </c>
      <c r="M199" s="38">
        <f t="shared" si="7"/>
        <v>2.5</v>
      </c>
    </row>
    <row r="200" spans="1:13" hidden="1" x14ac:dyDescent="0.25">
      <c r="A200" s="14">
        <v>6031475</v>
      </c>
      <c r="B200" s="15" t="s">
        <v>263</v>
      </c>
      <c r="C200" s="16">
        <v>0</v>
      </c>
      <c r="D200" s="11"/>
      <c r="E200" s="11"/>
      <c r="F200" s="11">
        <v>24300.38</v>
      </c>
      <c r="G200" s="11">
        <v>22633.52</v>
      </c>
      <c r="H200" s="3"/>
      <c r="I200" s="11">
        <v>14000</v>
      </c>
      <c r="J200" s="11">
        <v>25000</v>
      </c>
      <c r="K200" s="3"/>
      <c r="L200" s="11">
        <v>35000</v>
      </c>
      <c r="M200" s="38">
        <f t="shared" si="7"/>
        <v>1.4</v>
      </c>
    </row>
    <row r="201" spans="1:13" hidden="1" x14ac:dyDescent="0.25">
      <c r="A201" s="14" t="s">
        <v>264</v>
      </c>
      <c r="B201" s="15" t="s">
        <v>160</v>
      </c>
      <c r="C201" s="16">
        <v>3315</v>
      </c>
      <c r="D201" s="11">
        <v>12980.28</v>
      </c>
      <c r="E201" s="11">
        <v>9569.81</v>
      </c>
      <c r="F201" s="11">
        <v>30857.39</v>
      </c>
      <c r="G201" s="11">
        <v>13232.95</v>
      </c>
      <c r="H201" s="3"/>
      <c r="I201" s="11">
        <v>12000</v>
      </c>
      <c r="J201" s="11">
        <v>15000</v>
      </c>
      <c r="K201" s="3"/>
      <c r="L201" s="11">
        <v>15000</v>
      </c>
      <c r="M201" s="38">
        <f t="shared" si="7"/>
        <v>1</v>
      </c>
    </row>
    <row r="202" spans="1:13" hidden="1" x14ac:dyDescent="0.25">
      <c r="A202" s="14">
        <v>6031550</v>
      </c>
      <c r="B202" s="15" t="s">
        <v>265</v>
      </c>
      <c r="C202" s="16">
        <v>0</v>
      </c>
      <c r="D202" s="11"/>
      <c r="E202" s="11"/>
      <c r="F202" s="11">
        <v>38652.86</v>
      </c>
      <c r="G202" s="11">
        <v>19372.22</v>
      </c>
      <c r="H202" s="3"/>
      <c r="I202" s="11">
        <v>8000</v>
      </c>
      <c r="J202" s="11">
        <v>20000</v>
      </c>
      <c r="K202" s="3"/>
      <c r="L202" s="11">
        <v>12000</v>
      </c>
      <c r="M202" s="38">
        <f t="shared" si="7"/>
        <v>0.6</v>
      </c>
    </row>
    <row r="203" spans="1:13" hidden="1" x14ac:dyDescent="0.25">
      <c r="A203" s="14">
        <v>6031600</v>
      </c>
      <c r="B203" s="15" t="s">
        <v>162</v>
      </c>
      <c r="C203" s="16">
        <v>0</v>
      </c>
      <c r="D203" s="11"/>
      <c r="E203" s="11"/>
      <c r="F203" s="11">
        <v>127.5</v>
      </c>
      <c r="G203" s="11">
        <v>0</v>
      </c>
      <c r="H203" s="3"/>
      <c r="I203" s="11"/>
      <c r="J203" s="11">
        <v>0</v>
      </c>
      <c r="K203" s="3"/>
      <c r="L203" s="11"/>
    </row>
    <row r="204" spans="1:13" hidden="1" x14ac:dyDescent="0.25">
      <c r="A204" s="14" t="s">
        <v>266</v>
      </c>
      <c r="B204" s="15" t="s">
        <v>80</v>
      </c>
      <c r="C204" s="16">
        <v>7736</v>
      </c>
      <c r="D204" s="11">
        <v>5581.8</v>
      </c>
      <c r="E204" s="11">
        <v>2006.93</v>
      </c>
      <c r="F204" s="11">
        <v>9088.06</v>
      </c>
      <c r="G204" s="11">
        <v>10108.780000000001</v>
      </c>
      <c r="H204" s="3"/>
      <c r="I204" s="11">
        <v>5000</v>
      </c>
      <c r="J204" s="11">
        <v>11000</v>
      </c>
      <c r="K204" s="3"/>
      <c r="L204" s="11">
        <v>15000</v>
      </c>
      <c r="M204" s="38">
        <f>+L204/J204</f>
        <v>1.3636363636363635</v>
      </c>
    </row>
    <row r="205" spans="1:13" hidden="1" x14ac:dyDescent="0.25">
      <c r="A205" s="14" t="s">
        <v>267</v>
      </c>
      <c r="B205" s="15" t="s">
        <v>164</v>
      </c>
      <c r="C205" s="16">
        <v>22395</v>
      </c>
      <c r="D205" s="11">
        <v>13233.24</v>
      </c>
      <c r="E205" s="11">
        <v>6173.44</v>
      </c>
      <c r="F205" s="11">
        <v>18739.400000000001</v>
      </c>
      <c r="G205" s="11">
        <v>48228.57</v>
      </c>
      <c r="H205" s="3"/>
      <c r="I205" s="11">
        <v>10000</v>
      </c>
      <c r="J205" s="11">
        <v>50000</v>
      </c>
      <c r="K205" s="3"/>
      <c r="L205" s="11">
        <v>50000</v>
      </c>
      <c r="M205" s="38">
        <f>+L205/J205</f>
        <v>1</v>
      </c>
    </row>
    <row r="206" spans="1:13" hidden="1" x14ac:dyDescent="0.25">
      <c r="A206" s="14" t="s">
        <v>268</v>
      </c>
      <c r="B206" s="15" t="s">
        <v>269</v>
      </c>
      <c r="C206" s="16">
        <v>0</v>
      </c>
      <c r="D206" s="11">
        <v>1016.49</v>
      </c>
      <c r="E206" s="11">
        <v>746.03</v>
      </c>
      <c r="F206" s="11">
        <v>3306.25</v>
      </c>
      <c r="G206" s="11">
        <v>1580.17</v>
      </c>
      <c r="H206" s="3"/>
      <c r="I206" s="11">
        <v>1000</v>
      </c>
      <c r="J206" s="11">
        <v>1000</v>
      </c>
      <c r="K206" s="3"/>
      <c r="L206" s="11">
        <v>1500</v>
      </c>
      <c r="M206" s="38">
        <f>+L206/J206</f>
        <v>1.5</v>
      </c>
    </row>
    <row r="207" spans="1:13" hidden="1" x14ac:dyDescent="0.25">
      <c r="A207" s="14" t="s">
        <v>270</v>
      </c>
      <c r="B207" s="15" t="s">
        <v>191</v>
      </c>
      <c r="C207" s="16">
        <v>69</v>
      </c>
      <c r="D207" s="11">
        <v>141252</v>
      </c>
      <c r="E207" s="11">
        <v>86987.44</v>
      </c>
      <c r="F207" s="11">
        <v>13770.45</v>
      </c>
      <c r="G207" s="11">
        <v>23304.49</v>
      </c>
      <c r="H207" s="3"/>
      <c r="I207" s="11">
        <v>315000</v>
      </c>
      <c r="J207" s="11">
        <v>20000</v>
      </c>
      <c r="K207" s="3"/>
      <c r="L207" s="11">
        <v>10000</v>
      </c>
      <c r="M207" s="38">
        <f>+L207/J207</f>
        <v>0.5</v>
      </c>
    </row>
    <row r="208" spans="1:13" hidden="1" x14ac:dyDescent="0.25">
      <c r="A208" s="21"/>
      <c r="B208" s="22"/>
      <c r="C208" s="16"/>
      <c r="D208" s="11"/>
      <c r="E208" s="11"/>
      <c r="F208" s="11"/>
      <c r="G208" s="11"/>
      <c r="H208" s="3"/>
      <c r="I208" s="11"/>
      <c r="J208" s="11"/>
      <c r="K208" s="3"/>
      <c r="L208" s="11"/>
    </row>
    <row r="209" spans="1:13" hidden="1" x14ac:dyDescent="0.25">
      <c r="A209" s="17" t="s">
        <v>21</v>
      </c>
      <c r="B209" s="18" t="s">
        <v>271</v>
      </c>
      <c r="C209" s="19">
        <f>SUM(C168:C208)</f>
        <v>1579629</v>
      </c>
      <c r="D209" s="11">
        <f>SUM(D168:D208)</f>
        <v>1937252.9199999997</v>
      </c>
      <c r="E209" s="11">
        <f>SUM(E168:E208)</f>
        <v>1746817.6199999994</v>
      </c>
      <c r="F209" s="11">
        <f>SUM(F168:F208)</f>
        <v>2558523.8799999994</v>
      </c>
      <c r="G209" s="11">
        <f>SUM(G168:G208)</f>
        <v>2157668.6200000006</v>
      </c>
      <c r="H209" s="3"/>
      <c r="I209" s="11">
        <f>SUM(I168:I208)</f>
        <v>3155324.91</v>
      </c>
      <c r="J209" s="11">
        <f>SUM(J168:J208)</f>
        <v>3165203.5100000002</v>
      </c>
      <c r="K209" s="3"/>
      <c r="L209" s="11">
        <f>SUM(L168:L208)</f>
        <v>3292677.1609702753</v>
      </c>
      <c r="M209" s="38">
        <f>+L209/J209</f>
        <v>1.040273445472792</v>
      </c>
    </row>
    <row r="210" spans="1:13" hidden="1" x14ac:dyDescent="0.25">
      <c r="D210" s="11"/>
      <c r="E210" s="11"/>
      <c r="F210" s="11"/>
      <c r="G210" s="11"/>
      <c r="H210" s="3"/>
      <c r="I210" s="11"/>
      <c r="J210" s="11"/>
      <c r="K210" s="3"/>
      <c r="L210" s="11"/>
    </row>
    <row r="211" spans="1:13" x14ac:dyDescent="0.25">
      <c r="A211" s="9" t="s">
        <v>272</v>
      </c>
      <c r="B211" s="10" t="s">
        <v>273</v>
      </c>
      <c r="D211" s="11"/>
      <c r="E211" s="11"/>
      <c r="F211" s="11"/>
      <c r="G211" s="11"/>
      <c r="H211" s="3"/>
      <c r="I211" s="11"/>
      <c r="J211" s="11"/>
      <c r="K211" s="3"/>
      <c r="L211" s="11"/>
    </row>
    <row r="212" spans="1:13" x14ac:dyDescent="0.25">
      <c r="A212" s="12" t="s">
        <v>9</v>
      </c>
      <c r="B212" s="13" t="s">
        <v>10</v>
      </c>
      <c r="D212" s="11"/>
      <c r="E212" s="11"/>
      <c r="F212" s="11"/>
      <c r="G212" s="11"/>
      <c r="H212" s="3"/>
      <c r="I212" s="11"/>
      <c r="J212" s="11"/>
      <c r="K212" s="3"/>
      <c r="L212" s="11"/>
    </row>
    <row r="213" spans="1:13" x14ac:dyDescent="0.25">
      <c r="A213" s="14" t="s">
        <v>274</v>
      </c>
      <c r="B213" s="15" t="s">
        <v>275</v>
      </c>
      <c r="C213" s="16">
        <v>9277</v>
      </c>
      <c r="D213" s="11">
        <v>5577.97</v>
      </c>
      <c r="E213" s="11">
        <v>4875.72</v>
      </c>
      <c r="F213" s="11">
        <v>9487.18</v>
      </c>
      <c r="G213" s="11">
        <v>7207</v>
      </c>
      <c r="H213" s="3"/>
      <c r="I213" s="11">
        <v>7500</v>
      </c>
      <c r="J213" s="11">
        <v>7500</v>
      </c>
      <c r="K213" s="3"/>
      <c r="L213" s="11">
        <v>7500</v>
      </c>
      <c r="M213" s="38">
        <f>+L213/J213</f>
        <v>1</v>
      </c>
    </row>
    <row r="214" spans="1:13" x14ac:dyDescent="0.25">
      <c r="A214" s="14" t="s">
        <v>276</v>
      </c>
      <c r="B214" s="15" t="s">
        <v>277</v>
      </c>
      <c r="C214" s="16">
        <v>27128</v>
      </c>
      <c r="D214" s="11">
        <v>25347.39</v>
      </c>
      <c r="E214" s="11">
        <v>24004.85</v>
      </c>
      <c r="F214" s="11">
        <v>50514.7</v>
      </c>
      <c r="G214" s="11">
        <v>49979.66</v>
      </c>
      <c r="H214" s="3"/>
      <c r="I214" s="11">
        <v>70000</v>
      </c>
      <c r="J214" s="11">
        <v>70000</v>
      </c>
      <c r="K214" s="3"/>
      <c r="L214" s="11">
        <v>70000</v>
      </c>
      <c r="M214" s="38">
        <f>+L214/J214</f>
        <v>1</v>
      </c>
    </row>
    <row r="215" spans="1:13" x14ac:dyDescent="0.25">
      <c r="A215" s="14" t="s">
        <v>278</v>
      </c>
      <c r="B215" s="15" t="s">
        <v>279</v>
      </c>
      <c r="C215" s="16">
        <v>14531</v>
      </c>
      <c r="D215" s="11">
        <v>19867.900000000001</v>
      </c>
      <c r="E215" s="11">
        <v>39492.120000000003</v>
      </c>
      <c r="F215" s="11">
        <v>23190.560000000001</v>
      </c>
      <c r="G215" s="11">
        <v>10967.22</v>
      </c>
      <c r="H215" s="3"/>
      <c r="I215" s="11">
        <v>20000</v>
      </c>
      <c r="J215" s="11">
        <v>20000</v>
      </c>
      <c r="K215" s="3"/>
      <c r="L215" s="11">
        <v>20000</v>
      </c>
      <c r="M215" s="38">
        <f>+L215/J215</f>
        <v>1</v>
      </c>
    </row>
    <row r="216" spans="1:13" x14ac:dyDescent="0.25">
      <c r="A216" s="14" t="s">
        <v>280</v>
      </c>
      <c r="B216" s="15" t="s">
        <v>281</v>
      </c>
      <c r="C216" s="16">
        <v>11628</v>
      </c>
      <c r="D216" s="11">
        <v>14296.15</v>
      </c>
      <c r="E216" s="11">
        <v>7727.36</v>
      </c>
      <c r="F216" s="11">
        <v>8328.17</v>
      </c>
      <c r="G216" s="11">
        <v>9746.52</v>
      </c>
      <c r="H216" s="3"/>
      <c r="I216" s="11">
        <v>10000</v>
      </c>
      <c r="J216" s="11">
        <v>10000</v>
      </c>
      <c r="K216" s="3"/>
      <c r="L216" s="11">
        <v>10000</v>
      </c>
      <c r="M216" s="38">
        <f>+L216/J216</f>
        <v>1</v>
      </c>
    </row>
    <row r="217" spans="1:13" x14ac:dyDescent="0.25">
      <c r="A217" s="14" t="s">
        <v>282</v>
      </c>
      <c r="B217" s="15" t="s">
        <v>283</v>
      </c>
      <c r="C217" s="16">
        <v>0</v>
      </c>
      <c r="D217" s="11">
        <v>368.57</v>
      </c>
      <c r="E217" s="11">
        <v>0</v>
      </c>
      <c r="F217" s="11">
        <v>32.909999999999997</v>
      </c>
      <c r="G217" s="11">
        <v>0</v>
      </c>
      <c r="H217" s="3"/>
      <c r="I217" s="11"/>
      <c r="J217" s="11">
        <v>0</v>
      </c>
      <c r="K217" s="3"/>
      <c r="L217" s="11"/>
    </row>
    <row r="218" spans="1:13" x14ac:dyDescent="0.25">
      <c r="A218" s="14" t="s">
        <v>284</v>
      </c>
      <c r="B218" s="15" t="s">
        <v>285</v>
      </c>
      <c r="C218" s="16">
        <v>758</v>
      </c>
      <c r="D218" s="11">
        <v>1656.96</v>
      </c>
      <c r="E218" s="11">
        <v>-2061</v>
      </c>
      <c r="F218" s="11">
        <v>16859.53</v>
      </c>
      <c r="G218" s="11">
        <v>1583.02</v>
      </c>
      <c r="H218" s="3"/>
      <c r="I218" s="11">
        <v>500</v>
      </c>
      <c r="J218" s="11">
        <v>1500</v>
      </c>
      <c r="K218" s="3"/>
      <c r="L218" s="11">
        <v>500</v>
      </c>
      <c r="M218" s="38">
        <f>+L218/J218</f>
        <v>0.33333333333333331</v>
      </c>
    </row>
    <row r="219" spans="1:13" x14ac:dyDescent="0.25">
      <c r="A219" s="14"/>
      <c r="B219" s="15"/>
      <c r="C219" s="16"/>
      <c r="D219" s="11"/>
      <c r="E219" s="11"/>
      <c r="F219" s="11"/>
      <c r="G219" s="11"/>
      <c r="H219" s="3"/>
      <c r="I219" s="11"/>
      <c r="J219" s="11"/>
      <c r="K219" s="3"/>
      <c r="L219" s="11"/>
    </row>
    <row r="220" spans="1:13" x14ac:dyDescent="0.25">
      <c r="A220" s="29"/>
      <c r="B220" s="30" t="s">
        <v>286</v>
      </c>
      <c r="C220" s="16">
        <f>SUM(C213:C218)</f>
        <v>63322</v>
      </c>
      <c r="D220" s="11">
        <f>SUM(D213:D218)</f>
        <v>67114.94</v>
      </c>
      <c r="E220" s="11">
        <f>SUM(E213:E218)</f>
        <v>74039.05</v>
      </c>
      <c r="F220" s="11">
        <f>SUM(F213:F218)</f>
        <v>108413.05</v>
      </c>
      <c r="G220" s="11">
        <f>SUM(G213:G218)</f>
        <v>79483.420000000013</v>
      </c>
      <c r="H220" s="3"/>
      <c r="I220" s="11">
        <f>SUM(I213:I218)</f>
        <v>108000</v>
      </c>
      <c r="J220" s="11">
        <f>SUM(J213:J218)</f>
        <v>109000</v>
      </c>
      <c r="K220" s="3"/>
      <c r="L220" s="11">
        <f>SUM(L213:L218)</f>
        <v>108000</v>
      </c>
      <c r="M220" s="38">
        <f>+L220/J220</f>
        <v>0.99082568807339455</v>
      </c>
    </row>
    <row r="221" spans="1:13" x14ac:dyDescent="0.25">
      <c r="A221" s="29"/>
      <c r="B221" s="30"/>
      <c r="C221" s="16"/>
      <c r="D221" s="11"/>
      <c r="E221" s="11"/>
      <c r="F221" s="11"/>
      <c r="G221" s="11"/>
      <c r="H221" s="3"/>
      <c r="I221" s="11"/>
      <c r="J221" s="11"/>
      <c r="K221" s="3"/>
      <c r="L221" s="11"/>
    </row>
    <row r="222" spans="1:13" x14ac:dyDescent="0.25">
      <c r="A222" s="14" t="s">
        <v>287</v>
      </c>
      <c r="B222" s="15" t="s">
        <v>124</v>
      </c>
      <c r="C222" s="16">
        <v>48451</v>
      </c>
      <c r="D222" s="11">
        <v>88856.51</v>
      </c>
      <c r="E222" s="11">
        <v>74977.039999999994</v>
      </c>
      <c r="F222" s="11">
        <v>104204.26</v>
      </c>
      <c r="G222" s="11">
        <v>66398.89</v>
      </c>
      <c r="H222" s="3"/>
      <c r="I222" s="11">
        <v>103599</v>
      </c>
      <c r="J222" s="11">
        <v>103599</v>
      </c>
      <c r="K222" s="3"/>
      <c r="L222" s="11">
        <f>+'[1]Non-Union - 3.5%'!$I$32+'[1]Non-Union - 3.5%'!$V$32</f>
        <v>108255.20399999998</v>
      </c>
      <c r="M222" s="38">
        <f t="shared" ref="M222:M237" si="8">+L222/J222</f>
        <v>1.0449444878811569</v>
      </c>
    </row>
    <row r="223" spans="1:13" x14ac:dyDescent="0.25">
      <c r="A223" s="14" t="s">
        <v>288</v>
      </c>
      <c r="B223" s="15" t="s">
        <v>126</v>
      </c>
      <c r="C223" s="16">
        <v>3883</v>
      </c>
      <c r="D223" s="11">
        <v>7534.55</v>
      </c>
      <c r="E223" s="11">
        <v>6082.32</v>
      </c>
      <c r="F223" s="11">
        <v>9557.49</v>
      </c>
      <c r="G223" s="11">
        <v>5362.49</v>
      </c>
      <c r="H223" s="3"/>
      <c r="I223" s="11">
        <v>8288</v>
      </c>
      <c r="J223" s="11">
        <v>8288</v>
      </c>
      <c r="K223" s="3"/>
      <c r="L223" s="11">
        <f>+'[1]Non-Union - 3.5%'!$P$32+'[1]Non-Union - 3.5%'!$Z$32</f>
        <v>8660.4163200000003</v>
      </c>
      <c r="M223" s="38">
        <f t="shared" si="8"/>
        <v>1.0449344015444015</v>
      </c>
    </row>
    <row r="224" spans="1:13" x14ac:dyDescent="0.25">
      <c r="A224" s="14" t="s">
        <v>289</v>
      </c>
      <c r="B224" s="15" t="s">
        <v>128</v>
      </c>
      <c r="C224" s="16">
        <v>11397</v>
      </c>
      <c r="D224" s="11">
        <v>11398.2</v>
      </c>
      <c r="E224" s="11">
        <v>12847.24</v>
      </c>
      <c r="F224" s="11">
        <v>36232.839999999997</v>
      </c>
      <c r="G224" s="11">
        <v>43496.77</v>
      </c>
      <c r="H224" s="3"/>
      <c r="I224" s="11">
        <v>50740</v>
      </c>
      <c r="J224" s="11">
        <v>50740</v>
      </c>
      <c r="K224" s="3"/>
      <c r="L224" s="11">
        <f>+SUM('[1]Non-Union - 3.5%'!$K$32:$N$32)</f>
        <v>81043.34</v>
      </c>
      <c r="M224" s="38">
        <f t="shared" si="8"/>
        <v>1.5972278281434764</v>
      </c>
    </row>
    <row r="225" spans="1:13" x14ac:dyDescent="0.25">
      <c r="A225" s="14" t="s">
        <v>290</v>
      </c>
      <c r="B225" s="15" t="s">
        <v>130</v>
      </c>
      <c r="C225" s="16">
        <v>1389</v>
      </c>
      <c r="D225" s="11">
        <v>1644.01</v>
      </c>
      <c r="E225" s="11">
        <v>2017.34</v>
      </c>
      <c r="F225" s="11">
        <v>1439.93</v>
      </c>
      <c r="G225" s="11">
        <v>1134.0999999999999</v>
      </c>
      <c r="H225" s="3"/>
      <c r="I225" s="11">
        <v>3108</v>
      </c>
      <c r="J225" s="11">
        <v>3108</v>
      </c>
      <c r="K225" s="3"/>
      <c r="L225" s="11">
        <f>+'[1]Non-Union - 3.5%'!$O$32+'[1]Non-Union - 3.5%'!$X$32</f>
        <v>1757.7979424999996</v>
      </c>
      <c r="M225" s="38">
        <f t="shared" si="8"/>
        <v>0.56557205357142848</v>
      </c>
    </row>
    <row r="226" spans="1:13" x14ac:dyDescent="0.25">
      <c r="A226" s="14" t="s">
        <v>291</v>
      </c>
      <c r="B226" s="15" t="s">
        <v>171</v>
      </c>
      <c r="C226" s="16">
        <v>619</v>
      </c>
      <c r="D226" s="11">
        <v>1144.03</v>
      </c>
      <c r="E226" s="11">
        <v>1059.58</v>
      </c>
      <c r="F226" s="11">
        <v>1475.13</v>
      </c>
      <c r="G226" s="11">
        <v>853.75</v>
      </c>
      <c r="H226" s="3"/>
      <c r="I226" s="11">
        <v>1000</v>
      </c>
      <c r="J226" s="11">
        <v>1000</v>
      </c>
      <c r="K226" s="3"/>
      <c r="L226" s="11">
        <v>1000</v>
      </c>
      <c r="M226" s="38">
        <f t="shared" si="8"/>
        <v>1</v>
      </c>
    </row>
    <row r="227" spans="1:13" x14ac:dyDescent="0.25">
      <c r="A227" s="14" t="s">
        <v>292</v>
      </c>
      <c r="B227" s="15" t="s">
        <v>132</v>
      </c>
      <c r="C227" s="16">
        <v>2386</v>
      </c>
      <c r="D227" s="11">
        <v>1856.23</v>
      </c>
      <c r="E227" s="11">
        <v>1566.85</v>
      </c>
      <c r="F227" s="11">
        <v>1388.72</v>
      </c>
      <c r="G227" s="11">
        <v>2564.87</v>
      </c>
      <c r="H227" s="3"/>
      <c r="I227" s="11">
        <v>3191</v>
      </c>
      <c r="J227" s="11">
        <v>3191</v>
      </c>
      <c r="K227" s="3"/>
      <c r="L227" s="11">
        <f>+'[1]Non-Union - 3.5%'!$R$32+'[1]Non-Union - 3.5%'!$Y$32</f>
        <v>3334.2602831999998</v>
      </c>
      <c r="M227" s="38">
        <f t="shared" si="8"/>
        <v>1.0448951059855844</v>
      </c>
    </row>
    <row r="228" spans="1:13" x14ac:dyDescent="0.25">
      <c r="A228" s="14">
        <v>6040300</v>
      </c>
      <c r="B228" s="15" t="s">
        <v>134</v>
      </c>
      <c r="C228" s="16">
        <v>0</v>
      </c>
      <c r="D228" s="11">
        <v>0</v>
      </c>
      <c r="E228" s="11">
        <v>8572.33</v>
      </c>
      <c r="F228" s="11">
        <v>8903.25</v>
      </c>
      <c r="G228" s="11">
        <v>11898</v>
      </c>
      <c r="H228" s="3"/>
      <c r="I228" s="11">
        <v>10000</v>
      </c>
      <c r="J228" s="11">
        <v>10000</v>
      </c>
      <c r="K228" s="3"/>
      <c r="L228" s="11">
        <v>10000</v>
      </c>
      <c r="M228" s="38">
        <f t="shared" si="8"/>
        <v>1</v>
      </c>
    </row>
    <row r="229" spans="1:13" x14ac:dyDescent="0.25">
      <c r="A229" s="14">
        <v>6040310</v>
      </c>
      <c r="B229" s="15" t="s">
        <v>136</v>
      </c>
      <c r="C229" s="16">
        <v>0</v>
      </c>
      <c r="D229" s="11">
        <v>0</v>
      </c>
      <c r="E229" s="11">
        <v>706.65</v>
      </c>
      <c r="F229" s="11">
        <v>830.74</v>
      </c>
      <c r="G229" s="11">
        <v>1017.92</v>
      </c>
      <c r="H229" s="3"/>
      <c r="I229" s="11">
        <v>900</v>
      </c>
      <c r="J229" s="11">
        <v>900</v>
      </c>
      <c r="K229" s="3"/>
      <c r="L229" s="11">
        <v>1000</v>
      </c>
      <c r="M229" s="38">
        <f t="shared" si="8"/>
        <v>1.1111111111111112</v>
      </c>
    </row>
    <row r="230" spans="1:13" x14ac:dyDescent="0.25">
      <c r="A230" s="14">
        <v>6040350</v>
      </c>
      <c r="B230" s="15" t="s">
        <v>138</v>
      </c>
      <c r="C230" s="16"/>
      <c r="D230" s="11"/>
      <c r="E230" s="11"/>
      <c r="F230" s="11">
        <v>563.01</v>
      </c>
      <c r="G230" s="11">
        <v>227.32</v>
      </c>
      <c r="H230" s="3"/>
      <c r="I230" s="11"/>
      <c r="J230" s="11">
        <v>0</v>
      </c>
      <c r="K230" s="3"/>
      <c r="L230" s="11">
        <f>+L228*3.08/100</f>
        <v>308</v>
      </c>
    </row>
    <row r="231" spans="1:13" x14ac:dyDescent="0.25">
      <c r="A231" s="14" t="s">
        <v>293</v>
      </c>
      <c r="B231" s="15" t="s">
        <v>140</v>
      </c>
      <c r="C231" s="16">
        <v>4014</v>
      </c>
      <c r="D231" s="11">
        <v>4235.8900000000003</v>
      </c>
      <c r="E231" s="11">
        <v>2757.43</v>
      </c>
      <c r="F231" s="11">
        <v>3496.7</v>
      </c>
      <c r="G231" s="11">
        <v>2711.72</v>
      </c>
      <c r="H231" s="3"/>
      <c r="I231" s="11">
        <v>2500</v>
      </c>
      <c r="J231" s="11">
        <v>2500</v>
      </c>
      <c r="K231" s="3"/>
      <c r="L231" s="11">
        <v>3000</v>
      </c>
      <c r="M231" s="38">
        <f t="shared" si="8"/>
        <v>1.2</v>
      </c>
    </row>
    <row r="232" spans="1:13" x14ac:dyDescent="0.25">
      <c r="A232" s="14" t="s">
        <v>294</v>
      </c>
      <c r="B232" s="15" t="s">
        <v>146</v>
      </c>
      <c r="C232" s="16">
        <v>473</v>
      </c>
      <c r="D232" s="11">
        <v>853.69</v>
      </c>
      <c r="E232" s="11">
        <v>16.989999999999998</v>
      </c>
      <c r="F232" s="11">
        <v>1099.22</v>
      </c>
      <c r="G232" s="11">
        <v>3000</v>
      </c>
      <c r="H232" s="3"/>
      <c r="I232" s="11">
        <v>1000</v>
      </c>
      <c r="J232" s="11">
        <v>1000</v>
      </c>
      <c r="K232" s="3"/>
      <c r="L232" s="11">
        <v>1500</v>
      </c>
      <c r="M232" s="38">
        <f t="shared" si="8"/>
        <v>1.5</v>
      </c>
    </row>
    <row r="233" spans="1:13" x14ac:dyDescent="0.25">
      <c r="A233" s="14" t="s">
        <v>295</v>
      </c>
      <c r="B233" s="15" t="s">
        <v>182</v>
      </c>
      <c r="C233" s="16">
        <v>2193</v>
      </c>
      <c r="D233" s="11">
        <v>5278.05</v>
      </c>
      <c r="E233" s="11">
        <v>5053.07</v>
      </c>
      <c r="F233" s="11">
        <v>5451.43</v>
      </c>
      <c r="G233" s="11">
        <v>4691.25</v>
      </c>
      <c r="H233" s="3"/>
      <c r="I233" s="11">
        <v>8000</v>
      </c>
      <c r="J233" s="11">
        <v>8000</v>
      </c>
      <c r="K233" s="3"/>
      <c r="L233" s="11">
        <v>8000</v>
      </c>
      <c r="M233" s="38">
        <f t="shared" si="8"/>
        <v>1</v>
      </c>
    </row>
    <row r="234" spans="1:13" x14ac:dyDescent="0.25">
      <c r="A234" s="14" t="s">
        <v>296</v>
      </c>
      <c r="B234" s="15" t="s">
        <v>254</v>
      </c>
      <c r="C234" s="16">
        <v>2199</v>
      </c>
      <c r="D234" s="11">
        <v>176.26</v>
      </c>
      <c r="E234" s="11">
        <v>2403.52</v>
      </c>
      <c r="F234" s="11">
        <v>2389.83</v>
      </c>
      <c r="G234" s="11">
        <v>332.52</v>
      </c>
      <c r="H234" s="3"/>
      <c r="I234" s="11">
        <v>2500</v>
      </c>
      <c r="J234" s="11">
        <v>2500</v>
      </c>
      <c r="K234" s="3"/>
      <c r="L234" s="11">
        <v>500</v>
      </c>
      <c r="M234" s="38">
        <f t="shared" si="8"/>
        <v>0.2</v>
      </c>
    </row>
    <row r="235" spans="1:13" x14ac:dyDescent="0.25">
      <c r="A235" s="14" t="s">
        <v>297</v>
      </c>
      <c r="B235" s="15" t="s">
        <v>160</v>
      </c>
      <c r="C235" s="16">
        <v>0</v>
      </c>
      <c r="D235" s="11">
        <v>6329.32</v>
      </c>
      <c r="E235" s="11">
        <v>4338.3</v>
      </c>
      <c r="F235" s="11">
        <v>6937.69</v>
      </c>
      <c r="G235" s="11">
        <v>2950.44</v>
      </c>
      <c r="H235" s="3"/>
      <c r="I235" s="11">
        <v>5000</v>
      </c>
      <c r="J235" s="11">
        <v>5000</v>
      </c>
      <c r="K235" s="3"/>
      <c r="L235" s="11">
        <v>5000</v>
      </c>
      <c r="M235" s="38">
        <f t="shared" si="8"/>
        <v>1</v>
      </c>
    </row>
    <row r="236" spans="1:13" x14ac:dyDescent="0.25">
      <c r="A236" s="14" t="s">
        <v>298</v>
      </c>
      <c r="B236" s="15" t="s">
        <v>80</v>
      </c>
      <c r="C236" s="16">
        <v>2718</v>
      </c>
      <c r="D236" s="11">
        <v>177.96</v>
      </c>
      <c r="E236" s="11">
        <v>142.22999999999999</v>
      </c>
      <c r="F236" s="11">
        <v>521.03</v>
      </c>
      <c r="G236" s="11">
        <v>36.24</v>
      </c>
      <c r="H236" s="3"/>
      <c r="I236" s="11">
        <v>150</v>
      </c>
      <c r="J236" s="11">
        <v>150</v>
      </c>
      <c r="K236" s="3"/>
      <c r="L236" s="11">
        <v>150</v>
      </c>
      <c r="M236" s="38">
        <f t="shared" si="8"/>
        <v>1</v>
      </c>
    </row>
    <row r="237" spans="1:13" x14ac:dyDescent="0.25">
      <c r="A237" s="14" t="s">
        <v>299</v>
      </c>
      <c r="B237" s="15" t="s">
        <v>164</v>
      </c>
      <c r="C237" s="16">
        <v>380</v>
      </c>
      <c r="D237" s="11">
        <v>75.31</v>
      </c>
      <c r="E237" s="11">
        <v>377.06</v>
      </c>
      <c r="F237" s="11">
        <v>117.86</v>
      </c>
      <c r="G237" s="11">
        <v>93.92</v>
      </c>
      <c r="H237" s="3"/>
      <c r="I237" s="11">
        <v>2500</v>
      </c>
      <c r="J237" s="11">
        <v>2500</v>
      </c>
      <c r="K237" s="3"/>
      <c r="L237" s="11">
        <v>2500</v>
      </c>
      <c r="M237" s="38">
        <f t="shared" si="8"/>
        <v>1</v>
      </c>
    </row>
    <row r="238" spans="1:13" x14ac:dyDescent="0.25">
      <c r="A238" s="14">
        <v>6042000</v>
      </c>
      <c r="B238" s="15" t="s">
        <v>300</v>
      </c>
      <c r="C238" s="16">
        <v>3327</v>
      </c>
      <c r="D238" s="11">
        <v>9920</v>
      </c>
      <c r="E238" s="11">
        <v>35098.980000000003</v>
      </c>
      <c r="F238" s="11">
        <v>3079.11</v>
      </c>
      <c r="G238" s="11"/>
      <c r="H238" s="3"/>
      <c r="I238" s="11"/>
      <c r="J238" s="11"/>
      <c r="K238" s="3"/>
      <c r="L238" s="11">
        <v>5000</v>
      </c>
    </row>
    <row r="239" spans="1:13" x14ac:dyDescent="0.25">
      <c r="A239" s="14"/>
      <c r="B239" s="15"/>
      <c r="C239" s="16"/>
      <c r="D239" s="11"/>
      <c r="E239" s="11"/>
      <c r="F239" s="11"/>
      <c r="G239" s="11"/>
      <c r="H239" s="3"/>
      <c r="I239" s="11"/>
      <c r="J239" s="11"/>
      <c r="K239" s="3"/>
      <c r="L239" s="11"/>
    </row>
    <row r="240" spans="1:13" x14ac:dyDescent="0.25">
      <c r="A240" s="29"/>
      <c r="B240" s="30" t="s">
        <v>301</v>
      </c>
      <c r="C240" s="16">
        <f>SUM(C222:C238)</f>
        <v>83429</v>
      </c>
      <c r="D240" s="11">
        <f>SUM(D222:D238)</f>
        <v>139480.01</v>
      </c>
      <c r="E240" s="11">
        <f>SUM(E222:E238)</f>
        <v>158016.93</v>
      </c>
      <c r="F240" s="11">
        <f>SUM(F222:F238)</f>
        <v>187688.23999999996</v>
      </c>
      <c r="G240" s="11">
        <f>SUM(G222:G238)</f>
        <v>146770.20000000001</v>
      </c>
      <c r="H240" s="3"/>
      <c r="I240" s="11">
        <f>SUM(I222:I238)</f>
        <v>202476</v>
      </c>
      <c r="J240" s="11">
        <f>SUM(J222:J238)</f>
        <v>202476</v>
      </c>
      <c r="K240" s="3"/>
      <c r="L240" s="11">
        <f>SUM(L222:L238)</f>
        <v>241009.0185457</v>
      </c>
      <c r="M240" s="38">
        <f>+L240/J240</f>
        <v>1.1903090664854106</v>
      </c>
    </row>
    <row r="241" spans="1:13" x14ac:dyDescent="0.25">
      <c r="A241" s="29"/>
      <c r="B241" s="30"/>
      <c r="C241" s="16"/>
      <c r="D241" s="11"/>
      <c r="E241" s="11"/>
      <c r="F241" s="11"/>
      <c r="G241" s="11"/>
      <c r="H241" s="3"/>
      <c r="I241" s="11"/>
      <c r="J241" s="11"/>
      <c r="K241" s="3"/>
      <c r="L241" s="11"/>
    </row>
    <row r="242" spans="1:13" x14ac:dyDescent="0.25">
      <c r="A242" s="17" t="s">
        <v>21</v>
      </c>
      <c r="B242" s="18" t="s">
        <v>302</v>
      </c>
      <c r="C242" s="25">
        <f>+C240+C220</f>
        <v>146751</v>
      </c>
      <c r="D242" s="11">
        <f>+D240+D220</f>
        <v>206594.95</v>
      </c>
      <c r="E242" s="11">
        <f t="shared" ref="E242:J242" si="9">+E240+E220</f>
        <v>232055.97999999998</v>
      </c>
      <c r="F242" s="11">
        <f t="shared" si="9"/>
        <v>296101.28999999998</v>
      </c>
      <c r="G242" s="11">
        <f t="shared" si="9"/>
        <v>226253.62000000002</v>
      </c>
      <c r="H242" s="3"/>
      <c r="I242" s="11">
        <f t="shared" si="9"/>
        <v>310476</v>
      </c>
      <c r="J242" s="11">
        <f t="shared" si="9"/>
        <v>311476</v>
      </c>
      <c r="K242" s="3"/>
      <c r="L242" s="11">
        <f>+L240+L220</f>
        <v>349009.0185457</v>
      </c>
      <c r="M242" s="38">
        <f>+L242/J242</f>
        <v>1.1205005154352181</v>
      </c>
    </row>
    <row r="243" spans="1:13" x14ac:dyDescent="0.25">
      <c r="D243" s="11"/>
      <c r="E243" s="11"/>
      <c r="F243" s="11"/>
      <c r="G243" s="11"/>
      <c r="H243" s="3"/>
      <c r="I243" s="11"/>
      <c r="J243" s="11"/>
      <c r="K243" s="3"/>
      <c r="L243" s="11"/>
    </row>
    <row r="244" spans="1:13" hidden="1" x14ac:dyDescent="0.25">
      <c r="A244" s="9" t="s">
        <v>303</v>
      </c>
      <c r="B244" s="10" t="s">
        <v>304</v>
      </c>
      <c r="D244" s="11"/>
      <c r="E244" s="11"/>
      <c r="F244" s="11"/>
      <c r="G244" s="11"/>
      <c r="H244" s="3"/>
      <c r="I244" s="11"/>
      <c r="J244" s="11"/>
      <c r="K244" s="3"/>
      <c r="L244" s="11"/>
    </row>
    <row r="245" spans="1:13" hidden="1" x14ac:dyDescent="0.25">
      <c r="A245" s="12" t="s">
        <v>9</v>
      </c>
      <c r="B245" s="13" t="s">
        <v>10</v>
      </c>
      <c r="D245" s="11"/>
      <c r="E245" s="11"/>
      <c r="F245" s="11"/>
      <c r="G245" s="11"/>
      <c r="H245" s="3"/>
      <c r="I245" s="11"/>
      <c r="J245" s="11"/>
      <c r="K245" s="3"/>
      <c r="L245" s="11"/>
    </row>
    <row r="246" spans="1:13" hidden="1" x14ac:dyDescent="0.25">
      <c r="A246" s="14" t="s">
        <v>305</v>
      </c>
      <c r="B246" s="15" t="s">
        <v>124</v>
      </c>
      <c r="C246" s="16">
        <v>342053</v>
      </c>
      <c r="D246" s="11">
        <v>325114.84999999998</v>
      </c>
      <c r="E246" s="11">
        <v>17769.150000000001</v>
      </c>
      <c r="F246" s="11">
        <v>23319.919999999998</v>
      </c>
      <c r="G246" s="11">
        <v>16313.84</v>
      </c>
      <c r="H246" s="3"/>
      <c r="I246" s="11">
        <v>25000</v>
      </c>
      <c r="J246" s="11">
        <v>25000</v>
      </c>
      <c r="K246" s="3"/>
      <c r="L246" s="11">
        <v>25875</v>
      </c>
      <c r="M246" s="38">
        <f t="shared" ref="M246:M251" si="10">+L246/J246</f>
        <v>1.0349999999999999</v>
      </c>
    </row>
    <row r="247" spans="1:13" hidden="1" x14ac:dyDescent="0.25">
      <c r="A247" s="14" t="s">
        <v>306</v>
      </c>
      <c r="B247" s="15" t="s">
        <v>126</v>
      </c>
      <c r="C247" s="16">
        <v>32251</v>
      </c>
      <c r="D247" s="11">
        <v>31248.5</v>
      </c>
      <c r="E247" s="11">
        <v>1603.74</v>
      </c>
      <c r="F247" s="11">
        <v>1976.08</v>
      </c>
      <c r="G247" s="11">
        <v>1306.32</v>
      </c>
      <c r="H247" s="3"/>
      <c r="I247" s="11">
        <v>2000</v>
      </c>
      <c r="J247" s="11">
        <v>2000</v>
      </c>
      <c r="K247" s="3"/>
      <c r="L247" s="11">
        <v>2070</v>
      </c>
      <c r="M247" s="38">
        <f t="shared" si="10"/>
        <v>1.0349999999999999</v>
      </c>
    </row>
    <row r="248" spans="1:13" hidden="1" x14ac:dyDescent="0.25">
      <c r="A248" s="14" t="s">
        <v>307</v>
      </c>
      <c r="B248" s="15" t="s">
        <v>128</v>
      </c>
      <c r="C248" s="16">
        <v>490</v>
      </c>
      <c r="D248" s="11">
        <v>704.4</v>
      </c>
      <c r="E248" s="11">
        <v>587</v>
      </c>
      <c r="F248" s="11">
        <v>704.4</v>
      </c>
      <c r="G248" s="11">
        <v>469.6</v>
      </c>
      <c r="H248" s="3"/>
      <c r="I248" s="11">
        <v>704</v>
      </c>
      <c r="J248" s="11">
        <v>704</v>
      </c>
      <c r="K248" s="3"/>
      <c r="L248" s="11">
        <v>704</v>
      </c>
      <c r="M248" s="38">
        <f t="shared" si="10"/>
        <v>1</v>
      </c>
    </row>
    <row r="249" spans="1:13" hidden="1" x14ac:dyDescent="0.25">
      <c r="A249" s="14" t="s">
        <v>308</v>
      </c>
      <c r="B249" s="15" t="s">
        <v>132</v>
      </c>
      <c r="C249" s="16">
        <v>13150</v>
      </c>
      <c r="D249" s="11">
        <v>11541.18</v>
      </c>
      <c r="E249" s="11">
        <v>782</v>
      </c>
      <c r="F249" s="11">
        <v>1295.52</v>
      </c>
      <c r="G249" s="11">
        <v>444.12</v>
      </c>
      <c r="H249" s="3"/>
      <c r="I249" s="11">
        <v>770</v>
      </c>
      <c r="J249" s="11">
        <v>770</v>
      </c>
      <c r="K249" s="3"/>
      <c r="L249" s="11">
        <v>797</v>
      </c>
      <c r="M249" s="38">
        <f t="shared" si="10"/>
        <v>1.035064935064935</v>
      </c>
    </row>
    <row r="250" spans="1:13" hidden="1" x14ac:dyDescent="0.25">
      <c r="A250" s="14">
        <v>6080300</v>
      </c>
      <c r="B250" s="15" t="s">
        <v>134</v>
      </c>
      <c r="C250" s="16">
        <v>0</v>
      </c>
      <c r="D250" s="11">
        <v>0</v>
      </c>
      <c r="E250" s="11">
        <v>356886.9</v>
      </c>
      <c r="F250" s="11">
        <v>364909.6</v>
      </c>
      <c r="G250" s="11">
        <v>402072.36</v>
      </c>
      <c r="H250" s="3"/>
      <c r="I250" s="11">
        <v>401992.5</v>
      </c>
      <c r="J250" s="11">
        <v>401992.5</v>
      </c>
      <c r="K250" s="3"/>
      <c r="L250" s="11">
        <v>445434.38</v>
      </c>
      <c r="M250" s="38">
        <f t="shared" si="10"/>
        <v>1.1080663942735249</v>
      </c>
    </row>
    <row r="251" spans="1:13" hidden="1" x14ac:dyDescent="0.25">
      <c r="A251" s="14">
        <v>6080310</v>
      </c>
      <c r="B251" s="15" t="s">
        <v>136</v>
      </c>
      <c r="C251" s="16">
        <v>0</v>
      </c>
      <c r="D251" s="11">
        <v>0</v>
      </c>
      <c r="E251" s="11">
        <f>33729.62+40.32</f>
        <v>33769.94</v>
      </c>
      <c r="F251" s="11">
        <v>32756.37</v>
      </c>
      <c r="G251" s="11">
        <v>36872.15</v>
      </c>
      <c r="H251" s="3"/>
      <c r="I251" s="11">
        <v>40199.25</v>
      </c>
      <c r="J251" s="11">
        <v>40199.25</v>
      </c>
      <c r="K251" s="3"/>
      <c r="L251" s="11">
        <v>40089.089999999997</v>
      </c>
      <c r="M251" s="38">
        <f t="shared" si="10"/>
        <v>0.99725965036661124</v>
      </c>
    </row>
    <row r="252" spans="1:13" hidden="1" x14ac:dyDescent="0.25">
      <c r="A252" s="14">
        <v>6080320</v>
      </c>
      <c r="B252" s="15" t="s">
        <v>309</v>
      </c>
      <c r="C252" s="16">
        <v>0</v>
      </c>
      <c r="D252" s="11">
        <v>0</v>
      </c>
      <c r="E252" s="11">
        <v>0</v>
      </c>
      <c r="F252" s="11">
        <v>0</v>
      </c>
      <c r="G252" s="11">
        <v>0</v>
      </c>
      <c r="H252" s="3"/>
      <c r="I252" s="11">
        <v>1000</v>
      </c>
      <c r="J252" s="11">
        <v>1000</v>
      </c>
      <c r="K252" s="3"/>
      <c r="L252" s="11">
        <v>0</v>
      </c>
    </row>
    <row r="253" spans="1:13" hidden="1" x14ac:dyDescent="0.25">
      <c r="A253" s="14">
        <v>6080350</v>
      </c>
      <c r="B253" s="15" t="s">
        <v>176</v>
      </c>
      <c r="C253" s="16">
        <v>0</v>
      </c>
      <c r="D253" s="11">
        <v>6569</v>
      </c>
      <c r="E253" s="11">
        <v>4785.88</v>
      </c>
      <c r="F253" s="11">
        <v>12720.3</v>
      </c>
      <c r="G253" s="11">
        <v>5261.6</v>
      </c>
      <c r="H253" s="3"/>
      <c r="I253" s="11">
        <v>10000</v>
      </c>
      <c r="J253" s="11">
        <v>10000</v>
      </c>
      <c r="K253" s="3"/>
      <c r="L253" s="11">
        <v>10000</v>
      </c>
      <c r="M253" s="38">
        <f t="shared" ref="M253:M258" si="11">+L253/J253</f>
        <v>1</v>
      </c>
    </row>
    <row r="254" spans="1:13" hidden="1" x14ac:dyDescent="0.25">
      <c r="A254" s="14">
        <v>6080360</v>
      </c>
      <c r="B254" s="15" t="s">
        <v>138</v>
      </c>
      <c r="C254" s="16">
        <v>0</v>
      </c>
      <c r="D254" s="11">
        <v>0</v>
      </c>
      <c r="E254" s="11">
        <v>7996.8</v>
      </c>
      <c r="F254" s="11">
        <v>31738.97</v>
      </c>
      <c r="G254" s="11">
        <v>-4259.54</v>
      </c>
      <c r="H254" s="3"/>
      <c r="I254" s="11">
        <v>12381.37</v>
      </c>
      <c r="J254" s="11">
        <v>12381.37</v>
      </c>
      <c r="K254" s="3"/>
      <c r="L254" s="11">
        <v>13719.368</v>
      </c>
      <c r="M254" s="38">
        <f t="shared" si="11"/>
        <v>1.1080654241008869</v>
      </c>
    </row>
    <row r="255" spans="1:13" hidden="1" x14ac:dyDescent="0.25">
      <c r="A255" s="14" t="s">
        <v>310</v>
      </c>
      <c r="B255" s="15" t="s">
        <v>140</v>
      </c>
      <c r="C255" s="16">
        <v>7273</v>
      </c>
      <c r="D255" s="11">
        <v>6086.12</v>
      </c>
      <c r="E255" s="11">
        <v>5902.42</v>
      </c>
      <c r="F255" s="11">
        <v>7997.13</v>
      </c>
      <c r="G255" s="11">
        <v>5212.95</v>
      </c>
      <c r="H255" s="3"/>
      <c r="I255" s="11">
        <v>8000</v>
      </c>
      <c r="J255" s="11">
        <v>8000</v>
      </c>
      <c r="K255" s="3"/>
      <c r="L255" s="11">
        <v>8000</v>
      </c>
      <c r="M255" s="38">
        <f t="shared" si="11"/>
        <v>1</v>
      </c>
    </row>
    <row r="256" spans="1:13" hidden="1" x14ac:dyDescent="0.25">
      <c r="A256" s="14" t="s">
        <v>311</v>
      </c>
      <c r="B256" s="15" t="s">
        <v>142</v>
      </c>
      <c r="C256" s="16">
        <v>1200</v>
      </c>
      <c r="D256" s="11">
        <v>1710</v>
      </c>
      <c r="E256" s="11">
        <v>1800</v>
      </c>
      <c r="F256" s="11">
        <v>3000</v>
      </c>
      <c r="G256" s="11">
        <v>1808</v>
      </c>
      <c r="H256" s="3"/>
      <c r="I256" s="11">
        <v>2340</v>
      </c>
      <c r="J256" s="11">
        <v>2340</v>
      </c>
      <c r="K256" s="3"/>
      <c r="L256" s="11">
        <v>3800</v>
      </c>
      <c r="M256" s="38">
        <f t="shared" si="11"/>
        <v>1.6239316239316239</v>
      </c>
    </row>
    <row r="257" spans="1:13" hidden="1" x14ac:dyDescent="0.25">
      <c r="A257" s="14">
        <v>6080520</v>
      </c>
      <c r="B257" s="15" t="s">
        <v>144</v>
      </c>
      <c r="C257" s="16"/>
      <c r="D257" s="11"/>
      <c r="E257" s="11"/>
      <c r="F257" s="11">
        <v>0</v>
      </c>
      <c r="G257" s="11">
        <v>444</v>
      </c>
      <c r="H257" s="3"/>
      <c r="I257" s="11"/>
      <c r="J257" s="11"/>
      <c r="K257" s="3"/>
      <c r="L257" s="11">
        <v>500</v>
      </c>
    </row>
    <row r="258" spans="1:13" hidden="1" x14ac:dyDescent="0.25">
      <c r="A258" s="14" t="s">
        <v>312</v>
      </c>
      <c r="B258" s="15" t="s">
        <v>146</v>
      </c>
      <c r="C258" s="16">
        <v>4475</v>
      </c>
      <c r="D258" s="11">
        <v>4265.8500000000004</v>
      </c>
      <c r="E258" s="11">
        <v>754.95</v>
      </c>
      <c r="F258" s="11">
        <v>12486.38</v>
      </c>
      <c r="G258" s="11">
        <v>1051.9100000000001</v>
      </c>
      <c r="H258" s="3"/>
      <c r="I258" s="11">
        <v>1500</v>
      </c>
      <c r="J258" s="11">
        <v>1500</v>
      </c>
      <c r="K258" s="3"/>
      <c r="L258" s="11">
        <v>1500</v>
      </c>
      <c r="M258" s="38">
        <f t="shared" si="11"/>
        <v>1</v>
      </c>
    </row>
    <row r="259" spans="1:13" hidden="1" x14ac:dyDescent="0.25">
      <c r="A259" s="14" t="s">
        <v>313</v>
      </c>
      <c r="B259" s="15" t="s">
        <v>314</v>
      </c>
      <c r="C259" s="16">
        <v>0</v>
      </c>
      <c r="D259" s="11">
        <v>5</v>
      </c>
      <c r="E259" s="11">
        <v>0</v>
      </c>
      <c r="F259" s="11">
        <v>0</v>
      </c>
      <c r="G259" s="11">
        <v>0</v>
      </c>
      <c r="H259" s="3"/>
      <c r="I259" s="11"/>
      <c r="J259" s="11"/>
      <c r="K259" s="3"/>
      <c r="L259" s="11"/>
    </row>
    <row r="260" spans="1:13" hidden="1" x14ac:dyDescent="0.25">
      <c r="A260" s="14" t="s">
        <v>315</v>
      </c>
      <c r="B260" s="15" t="s">
        <v>182</v>
      </c>
      <c r="C260" s="16">
        <v>386</v>
      </c>
      <c r="D260" s="11">
        <v>926.91</v>
      </c>
      <c r="E260" s="11">
        <v>988.02</v>
      </c>
      <c r="F260" s="11">
        <v>780.24</v>
      </c>
      <c r="G260" s="11">
        <v>782.45</v>
      </c>
      <c r="H260" s="3"/>
      <c r="I260" s="11">
        <v>1000</v>
      </c>
      <c r="J260" s="11">
        <v>1000</v>
      </c>
      <c r="K260" s="3"/>
      <c r="L260" s="11">
        <v>1000</v>
      </c>
      <c r="M260" s="38">
        <f t="shared" ref="M260:M268" si="12">+L260/J260</f>
        <v>1</v>
      </c>
    </row>
    <row r="261" spans="1:13" hidden="1" x14ac:dyDescent="0.25">
      <c r="A261" s="14" t="s">
        <v>316</v>
      </c>
      <c r="B261" s="15" t="s">
        <v>184</v>
      </c>
      <c r="C261" s="16">
        <v>1368</v>
      </c>
      <c r="D261" s="11">
        <v>1940.01</v>
      </c>
      <c r="E261" s="11">
        <v>2239.4</v>
      </c>
      <c r="F261" s="11">
        <v>2928.07</v>
      </c>
      <c r="G261" s="11">
        <v>666.59</v>
      </c>
      <c r="H261" s="3"/>
      <c r="I261" s="11">
        <v>1500</v>
      </c>
      <c r="J261" s="11">
        <v>1500</v>
      </c>
      <c r="K261" s="3"/>
      <c r="L261" s="11">
        <v>1000</v>
      </c>
      <c r="M261" s="38">
        <f t="shared" si="12"/>
        <v>0.66666666666666663</v>
      </c>
    </row>
    <row r="262" spans="1:13" hidden="1" x14ac:dyDescent="0.25">
      <c r="A262" s="14" t="s">
        <v>317</v>
      </c>
      <c r="B262" s="15" t="s">
        <v>154</v>
      </c>
      <c r="C262" s="16">
        <v>995</v>
      </c>
      <c r="D262" s="11">
        <v>1017.96</v>
      </c>
      <c r="E262" s="11">
        <v>843.3</v>
      </c>
      <c r="F262" s="11">
        <v>1314.66</v>
      </c>
      <c r="G262" s="11">
        <v>975.36</v>
      </c>
      <c r="H262" s="3"/>
      <c r="I262" s="11">
        <v>750</v>
      </c>
      <c r="J262" s="11">
        <v>750</v>
      </c>
      <c r="K262" s="3"/>
      <c r="L262" s="11">
        <v>1000</v>
      </c>
      <c r="M262" s="38">
        <f t="shared" si="12"/>
        <v>1.3333333333333333</v>
      </c>
    </row>
    <row r="263" spans="1:13" hidden="1" x14ac:dyDescent="0.25">
      <c r="A263" s="14" t="s">
        <v>318</v>
      </c>
      <c r="B263" s="15" t="s">
        <v>156</v>
      </c>
      <c r="C263" s="16">
        <v>500</v>
      </c>
      <c r="D263" s="11">
        <v>0</v>
      </c>
      <c r="E263" s="11">
        <v>0</v>
      </c>
      <c r="F263" s="11">
        <v>500</v>
      </c>
      <c r="G263" s="11">
        <v>0</v>
      </c>
      <c r="H263" s="3"/>
      <c r="I263" s="11">
        <v>500</v>
      </c>
      <c r="J263" s="11">
        <v>500</v>
      </c>
      <c r="K263" s="3"/>
      <c r="L263" s="11">
        <v>500</v>
      </c>
      <c r="M263" s="38">
        <f t="shared" si="12"/>
        <v>1</v>
      </c>
    </row>
    <row r="264" spans="1:13" hidden="1" x14ac:dyDescent="0.25">
      <c r="A264" s="14" t="s">
        <v>319</v>
      </c>
      <c r="B264" s="15" t="s">
        <v>158</v>
      </c>
      <c r="C264" s="16">
        <v>10420</v>
      </c>
      <c r="D264" s="11">
        <v>9835.7000000000007</v>
      </c>
      <c r="E264" s="11">
        <v>7220</v>
      </c>
      <c r="F264" s="11">
        <v>5075</v>
      </c>
      <c r="G264" s="11">
        <v>9020</v>
      </c>
      <c r="H264" s="3"/>
      <c r="I264" s="11">
        <v>10000</v>
      </c>
      <c r="J264" s="11">
        <v>10000</v>
      </c>
      <c r="K264" s="3"/>
      <c r="L264" s="11">
        <v>10000</v>
      </c>
      <c r="M264" s="38">
        <f t="shared" si="12"/>
        <v>1</v>
      </c>
    </row>
    <row r="265" spans="1:13" hidden="1" x14ac:dyDescent="0.25">
      <c r="A265" s="14" t="s">
        <v>320</v>
      </c>
      <c r="B265" s="15" t="s">
        <v>160</v>
      </c>
      <c r="C265" s="16">
        <v>1896</v>
      </c>
      <c r="D265" s="11">
        <v>6397.81</v>
      </c>
      <c r="E265" s="11">
        <v>4957.8999999999996</v>
      </c>
      <c r="F265" s="11">
        <v>4915.72</v>
      </c>
      <c r="G265" s="11">
        <v>2333.67</v>
      </c>
      <c r="H265" s="3"/>
      <c r="I265" s="11">
        <v>6000</v>
      </c>
      <c r="J265" s="11">
        <v>6000</v>
      </c>
      <c r="K265" s="3"/>
      <c r="L265" s="11">
        <v>5000</v>
      </c>
      <c r="M265" s="38">
        <f t="shared" si="12"/>
        <v>0.83333333333333337</v>
      </c>
    </row>
    <row r="266" spans="1:13" hidden="1" x14ac:dyDescent="0.25">
      <c r="A266" s="14" t="s">
        <v>321</v>
      </c>
      <c r="B266" s="15" t="s">
        <v>162</v>
      </c>
      <c r="C266" s="16">
        <v>811</v>
      </c>
      <c r="D266" s="11">
        <v>705.48</v>
      </c>
      <c r="E266" s="11">
        <v>1026.3399999999999</v>
      </c>
      <c r="F266" s="11">
        <v>0</v>
      </c>
      <c r="G266" s="11">
        <v>1248.79</v>
      </c>
      <c r="H266" s="3"/>
      <c r="I266" s="11"/>
      <c r="J266" s="11"/>
      <c r="K266" s="3"/>
      <c r="L266" s="11">
        <v>1500</v>
      </c>
    </row>
    <row r="267" spans="1:13" hidden="1" x14ac:dyDescent="0.25">
      <c r="A267" s="14" t="s">
        <v>322</v>
      </c>
      <c r="B267" s="15" t="s">
        <v>80</v>
      </c>
      <c r="C267" s="16">
        <v>388</v>
      </c>
      <c r="D267" s="11">
        <v>703.29</v>
      </c>
      <c r="E267" s="11">
        <v>568.28</v>
      </c>
      <c r="F267" s="11">
        <v>779.64</v>
      </c>
      <c r="G267" s="11">
        <v>483.23</v>
      </c>
      <c r="H267" s="3"/>
      <c r="I267" s="11"/>
      <c r="J267" s="11"/>
      <c r="K267" s="3"/>
      <c r="L267" s="11">
        <v>500</v>
      </c>
    </row>
    <row r="268" spans="1:13" hidden="1" x14ac:dyDescent="0.25">
      <c r="A268" s="14" t="s">
        <v>323</v>
      </c>
      <c r="B268" s="15" t="s">
        <v>164</v>
      </c>
      <c r="C268" s="16">
        <v>7135</v>
      </c>
      <c r="D268" s="11">
        <v>5008.47</v>
      </c>
      <c r="E268" s="11">
        <v>1193.99</v>
      </c>
      <c r="F268" s="11">
        <v>3410.95</v>
      </c>
      <c r="G268" s="11">
        <v>1638.72</v>
      </c>
      <c r="H268" s="3"/>
      <c r="I268" s="11">
        <v>2500</v>
      </c>
      <c r="J268" s="11">
        <v>2500</v>
      </c>
      <c r="K268" s="3"/>
      <c r="L268" s="11">
        <v>2500</v>
      </c>
      <c r="M268" s="38">
        <f t="shared" si="12"/>
        <v>1</v>
      </c>
    </row>
    <row r="269" spans="1:13" hidden="1" x14ac:dyDescent="0.25">
      <c r="A269" s="14">
        <v>6082000</v>
      </c>
      <c r="B269" s="15" t="s">
        <v>191</v>
      </c>
      <c r="C269" s="16">
        <v>7039</v>
      </c>
      <c r="D269" s="11">
        <v>7670</v>
      </c>
      <c r="E269" s="11">
        <v>4505</v>
      </c>
      <c r="F269" s="11">
        <v>3557</v>
      </c>
      <c r="G269" s="11">
        <v>0</v>
      </c>
      <c r="H269" s="3"/>
      <c r="I269" s="11"/>
      <c r="J269" s="11"/>
      <c r="K269" s="3"/>
      <c r="L269" s="11"/>
    </row>
    <row r="270" spans="1:13" hidden="1" x14ac:dyDescent="0.25">
      <c r="A270" s="21"/>
      <c r="B270" s="22"/>
      <c r="C270" s="16"/>
      <c r="D270" s="11"/>
      <c r="E270" s="11"/>
      <c r="F270" s="11"/>
      <c r="G270" s="11"/>
      <c r="H270" s="3"/>
      <c r="I270" s="11"/>
      <c r="J270" s="11"/>
      <c r="K270" s="3"/>
      <c r="L270" s="11"/>
    </row>
    <row r="271" spans="1:13" hidden="1" x14ac:dyDescent="0.25">
      <c r="A271" s="17" t="s">
        <v>21</v>
      </c>
      <c r="B271" s="18" t="s">
        <v>324</v>
      </c>
      <c r="C271" s="19">
        <f>SUM(C246:C270)</f>
        <v>431830</v>
      </c>
      <c r="D271" s="11">
        <f>SUM(D246:D270)</f>
        <v>421450.52999999991</v>
      </c>
      <c r="E271" s="11">
        <f>SUM(E246:E270)</f>
        <v>456181.01000000013</v>
      </c>
      <c r="F271" s="11">
        <f>SUM(F246:F270)</f>
        <v>516165.9499999999</v>
      </c>
      <c r="G271" s="11">
        <f>SUM(G246:G270)</f>
        <v>484146.11999999994</v>
      </c>
      <c r="H271" s="3"/>
      <c r="I271" s="11">
        <f>SUM(I246:I270)</f>
        <v>528137.12</v>
      </c>
      <c r="J271" s="11">
        <f>SUM(J246:J270)</f>
        <v>528137.12</v>
      </c>
      <c r="K271" s="3"/>
      <c r="L271" s="11">
        <f>SUM(L246:L270)</f>
        <v>575488.83799999999</v>
      </c>
      <c r="M271" s="38">
        <f>+L271/J271</f>
        <v>1.0896580001799532</v>
      </c>
    </row>
    <row r="272" spans="1:13" hidden="1" x14ac:dyDescent="0.25">
      <c r="D272" s="11"/>
      <c r="E272" s="11"/>
      <c r="F272" s="11"/>
      <c r="G272" s="11"/>
      <c r="H272" s="3"/>
      <c r="I272" s="11"/>
      <c r="J272" s="11"/>
      <c r="K272" s="3"/>
      <c r="L272" s="11"/>
    </row>
    <row r="273" spans="1:13" hidden="1" x14ac:dyDescent="0.25">
      <c r="A273" s="23" t="s">
        <v>86</v>
      </c>
      <c r="B273" s="24" t="s">
        <v>325</v>
      </c>
      <c r="C273" s="11">
        <f>+C271+C242+C209+C164</f>
        <v>3309823</v>
      </c>
      <c r="D273" s="11">
        <f>+D271+D242+D209+D164</f>
        <v>3906752.9799999995</v>
      </c>
      <c r="E273" s="11">
        <f>+E271+E242+E209+E164</f>
        <v>3631751.8499999996</v>
      </c>
      <c r="F273" s="11">
        <f>+F271+F242+F209+F164</f>
        <v>4897407.8759999992</v>
      </c>
      <c r="G273" s="11">
        <f>+G271+G242+G209+G164</f>
        <v>4083281.2700000005</v>
      </c>
      <c r="H273" s="3"/>
      <c r="I273" s="11">
        <f>+I271+I242+I209+I164</f>
        <v>5703036.3300000001</v>
      </c>
      <c r="J273" s="11">
        <f>+J271+J242+J209+J164</f>
        <v>5828826.9300000006</v>
      </c>
      <c r="K273" s="3"/>
      <c r="L273" s="11">
        <f>+L271+L242+L209+L164</f>
        <v>5989034.0945562609</v>
      </c>
      <c r="M273" s="38">
        <f>+L273/J273</f>
        <v>1.0274853184835016</v>
      </c>
    </row>
    <row r="274" spans="1:13" hidden="1" x14ac:dyDescent="0.25">
      <c r="D274" s="11"/>
      <c r="E274" s="11"/>
      <c r="F274" s="11"/>
      <c r="G274" s="11"/>
      <c r="H274" s="3"/>
      <c r="I274" s="11"/>
      <c r="J274" s="11"/>
      <c r="K274" s="3"/>
      <c r="L274" s="11"/>
    </row>
    <row r="275" spans="1:13" hidden="1" x14ac:dyDescent="0.25">
      <c r="D275" s="11"/>
      <c r="E275" s="11"/>
      <c r="F275" s="11"/>
      <c r="G275" s="11"/>
      <c r="H275" s="3"/>
      <c r="I275" s="11"/>
      <c r="J275" s="11"/>
      <c r="K275" s="3"/>
      <c r="L275" s="11"/>
    </row>
    <row r="276" spans="1:13" hidden="1" x14ac:dyDescent="0.25">
      <c r="A276" s="31"/>
      <c r="B276" s="32" t="s">
        <v>326</v>
      </c>
      <c r="C276" s="11">
        <f>+C63-C273</f>
        <v>933839</v>
      </c>
      <c r="D276" s="11">
        <f>+D63-D273</f>
        <v>2023199.9200000009</v>
      </c>
      <c r="E276" s="11">
        <f>+E63-E273</f>
        <v>1136378.6200000001</v>
      </c>
      <c r="F276" s="11">
        <f>+F63-F273</f>
        <v>874954.35400000121</v>
      </c>
      <c r="G276" s="11">
        <f>+G63-G273</f>
        <v>1688182.71</v>
      </c>
      <c r="H276" s="3"/>
      <c r="I276" s="11">
        <f>+I63-I273</f>
        <v>56968.669999999925</v>
      </c>
      <c r="J276" s="11">
        <f>+J63-J273</f>
        <v>349673.06999999937</v>
      </c>
      <c r="K276" s="3"/>
      <c r="L276" s="11">
        <f>+L63-L273</f>
        <v>-249534.09455626085</v>
      </c>
      <c r="M276" s="38">
        <f>+L276/J276</f>
        <v>-0.71362113918655878</v>
      </c>
    </row>
    <row r="277" spans="1:13" hidden="1" x14ac:dyDescent="0.25">
      <c r="D277" s="11"/>
      <c r="E277" s="11"/>
      <c r="F277" s="11"/>
      <c r="G277" s="11"/>
      <c r="H277" s="11"/>
      <c r="I277" s="11"/>
      <c r="J277" s="11"/>
      <c r="K277" s="11"/>
      <c r="L277" s="11"/>
    </row>
    <row r="278" spans="1:13" hidden="1" x14ac:dyDescent="0.25">
      <c r="A278" s="33"/>
      <c r="B278" s="33"/>
      <c r="C278" s="33"/>
      <c r="D278" s="11"/>
      <c r="E278" s="11"/>
      <c r="F278" s="11"/>
      <c r="G278" s="11"/>
      <c r="H278" s="11"/>
      <c r="I278" s="11"/>
      <c r="J278" s="11"/>
      <c r="K278" s="11"/>
      <c r="L278" s="11"/>
    </row>
    <row r="279" spans="1:13" hidden="1" x14ac:dyDescent="0.25">
      <c r="A279" s="33"/>
      <c r="B279" s="33"/>
      <c r="C279" s="34"/>
      <c r="D279" s="11"/>
      <c r="E279" s="11"/>
      <c r="F279" s="11"/>
      <c r="G279" s="11"/>
      <c r="H279" s="11"/>
      <c r="I279" s="11"/>
      <c r="J279" s="11"/>
      <c r="K279" s="11"/>
      <c r="L279" s="11"/>
    </row>
    <row r="280" spans="1:13" hidden="1" x14ac:dyDescent="0.25">
      <c r="A280" s="33"/>
      <c r="B280" s="33"/>
      <c r="C280" s="33"/>
      <c r="D280" s="35"/>
      <c r="E280" s="35"/>
      <c r="F280" s="35"/>
      <c r="G280" s="35"/>
      <c r="H280" s="11"/>
      <c r="I280" s="36"/>
      <c r="J280" s="36"/>
      <c r="K280" s="11"/>
      <c r="L280" s="36"/>
    </row>
    <row r="281" spans="1:13" hidden="1" x14ac:dyDescent="0.25">
      <c r="A281" s="33"/>
      <c r="B281" s="33"/>
      <c r="C281" s="33"/>
      <c r="D281" s="35"/>
      <c r="E281" s="35"/>
      <c r="F281" s="35"/>
      <c r="G281" s="35"/>
      <c r="H281" s="11"/>
      <c r="I281" s="35"/>
      <c r="J281" s="35"/>
      <c r="K281" s="11"/>
      <c r="L281" s="35"/>
    </row>
    <row r="282" spans="1:13" hidden="1" x14ac:dyDescent="0.25">
      <c r="A282" s="33"/>
      <c r="B282" s="33"/>
      <c r="C282" s="33"/>
      <c r="D282" s="35"/>
      <c r="E282" s="35"/>
      <c r="F282" s="35"/>
      <c r="G282" s="35"/>
      <c r="H282" s="11"/>
      <c r="I282" s="35"/>
      <c r="J282" s="35"/>
      <c r="K282" s="11"/>
      <c r="L282" s="35"/>
    </row>
    <row r="283" spans="1:13" hidden="1" x14ac:dyDescent="0.25">
      <c r="A283" s="33"/>
      <c r="B283" s="33"/>
      <c r="C283" s="33"/>
      <c r="D283" s="35"/>
      <c r="E283" s="35"/>
      <c r="F283" s="35"/>
      <c r="G283" s="35"/>
      <c r="H283" s="11"/>
      <c r="I283" s="35"/>
      <c r="J283" s="35"/>
      <c r="K283" s="11"/>
      <c r="L283" s="35"/>
    </row>
    <row r="284" spans="1:13" hidden="1" x14ac:dyDescent="0.25">
      <c r="A284" s="33"/>
      <c r="B284" s="33"/>
      <c r="C284" s="33"/>
      <c r="D284" s="35"/>
      <c r="E284" s="35"/>
      <c r="F284" s="35"/>
      <c r="G284" s="35"/>
      <c r="H284" s="11"/>
      <c r="I284" s="35"/>
      <c r="J284" s="35"/>
      <c r="K284" s="11"/>
      <c r="L284" s="35"/>
    </row>
    <row r="285" spans="1:13" hidden="1" x14ac:dyDescent="0.25">
      <c r="A285" s="33"/>
      <c r="B285" s="33"/>
      <c r="C285" s="33"/>
      <c r="D285" s="35"/>
      <c r="E285" s="35"/>
      <c r="F285" s="35"/>
      <c r="G285" s="35"/>
      <c r="H285" s="11"/>
      <c r="I285" s="35"/>
      <c r="J285" s="35"/>
      <c r="K285" s="11"/>
      <c r="L285" s="35"/>
    </row>
    <row r="286" spans="1:13" hidden="1" x14ac:dyDescent="0.25">
      <c r="A286" s="33"/>
      <c r="B286" s="33"/>
      <c r="C286" s="33"/>
      <c r="D286" s="35"/>
      <c r="E286" s="35"/>
      <c r="F286" s="35"/>
      <c r="G286" s="35"/>
      <c r="H286" s="11"/>
      <c r="I286" s="35"/>
      <c r="J286" s="35"/>
      <c r="K286" s="11"/>
      <c r="L286" s="35"/>
    </row>
    <row r="287" spans="1:13" hidden="1" x14ac:dyDescent="0.25">
      <c r="A287" s="33"/>
      <c r="B287" s="33"/>
      <c r="C287" s="33"/>
      <c r="D287" s="35"/>
      <c r="E287" s="35"/>
      <c r="F287" s="35"/>
      <c r="G287" s="35"/>
      <c r="H287" s="11"/>
      <c r="I287" s="35"/>
      <c r="J287" s="35"/>
      <c r="K287" s="11"/>
      <c r="L287" s="35"/>
    </row>
    <row r="288" spans="1:13" hidden="1" x14ac:dyDescent="0.25">
      <c r="A288" s="33"/>
      <c r="B288" s="33"/>
      <c r="C288" s="33"/>
      <c r="D288" s="35"/>
      <c r="E288" s="35"/>
      <c r="F288" s="35"/>
      <c r="G288" s="35"/>
      <c r="H288" s="11"/>
      <c r="I288" s="35"/>
      <c r="J288" s="35"/>
      <c r="K288" s="11"/>
      <c r="L288" s="35"/>
    </row>
    <row r="289" spans="1:12" hidden="1" x14ac:dyDescent="0.25">
      <c r="A289" s="33"/>
      <c r="B289" s="33"/>
      <c r="C289" s="33"/>
      <c r="D289" s="35"/>
      <c r="E289" s="35"/>
      <c r="F289" s="35"/>
      <c r="G289" s="35"/>
      <c r="H289" s="11"/>
      <c r="I289" s="35"/>
      <c r="J289" s="35"/>
      <c r="K289" s="11"/>
      <c r="L289" s="35"/>
    </row>
    <row r="290" spans="1:12" hidden="1" x14ac:dyDescent="0.25">
      <c r="A290" s="33"/>
      <c r="B290" s="33"/>
      <c r="C290" s="33"/>
      <c r="D290" s="35"/>
      <c r="E290" s="35"/>
      <c r="F290" s="35"/>
      <c r="G290" s="35"/>
      <c r="H290" s="11"/>
      <c r="I290" s="35"/>
      <c r="J290" s="35"/>
      <c r="K290" s="11"/>
      <c r="L290" s="35"/>
    </row>
    <row r="291" spans="1:12" hidden="1" x14ac:dyDescent="0.25">
      <c r="A291" s="33"/>
      <c r="B291" s="33"/>
      <c r="C291" s="33"/>
      <c r="D291" s="35"/>
      <c r="E291" s="35"/>
      <c r="F291" s="35"/>
      <c r="G291" s="35"/>
      <c r="H291" s="11"/>
      <c r="I291" s="35"/>
      <c r="J291" s="35"/>
      <c r="K291" s="11"/>
      <c r="L291" s="35"/>
    </row>
    <row r="292" spans="1:12" hidden="1" x14ac:dyDescent="0.25">
      <c r="A292" s="33"/>
      <c r="B292" s="33"/>
      <c r="C292" s="33"/>
      <c r="D292" s="35"/>
      <c r="E292" s="35"/>
      <c r="F292" s="35"/>
      <c r="G292" s="35"/>
      <c r="H292" s="11"/>
      <c r="I292" s="35"/>
      <c r="J292" s="35"/>
      <c r="K292" s="11"/>
      <c r="L292" s="35"/>
    </row>
    <row r="293" spans="1:12" hidden="1" x14ac:dyDescent="0.25">
      <c r="A293" s="33"/>
      <c r="B293" s="33"/>
      <c r="C293" s="33"/>
      <c r="D293" s="35"/>
      <c r="E293" s="35"/>
      <c r="F293" s="35"/>
      <c r="G293" s="35"/>
      <c r="H293" s="11"/>
      <c r="I293" s="35"/>
      <c r="J293" s="35"/>
      <c r="K293" s="11"/>
      <c r="L293" s="35"/>
    </row>
    <row r="294" spans="1:12" hidden="1" x14ac:dyDescent="0.25">
      <c r="A294" s="33"/>
      <c r="B294" s="33"/>
      <c r="C294" s="33"/>
      <c r="D294" s="35"/>
      <c r="E294" s="35"/>
      <c r="F294" s="35"/>
      <c r="G294" s="35"/>
      <c r="H294" s="11"/>
      <c r="I294" s="35"/>
      <c r="J294" s="35"/>
      <c r="K294" s="11"/>
      <c r="L294" s="35"/>
    </row>
    <row r="295" spans="1:12" hidden="1" x14ac:dyDescent="0.25">
      <c r="A295" s="33"/>
      <c r="B295" s="33"/>
      <c r="C295" s="33"/>
      <c r="D295" s="35"/>
      <c r="E295" s="35"/>
      <c r="F295" s="35"/>
      <c r="G295" s="35"/>
      <c r="H295" s="11"/>
      <c r="I295" s="35"/>
      <c r="J295" s="35"/>
      <c r="K295" s="11"/>
      <c r="L295" s="35"/>
    </row>
    <row r="296" spans="1:12" hidden="1" x14ac:dyDescent="0.25">
      <c r="A296" s="33"/>
      <c r="B296" s="33"/>
      <c r="C296" s="33"/>
      <c r="D296" s="35"/>
      <c r="E296" s="35"/>
      <c r="F296" s="35"/>
      <c r="G296" s="35"/>
      <c r="H296" s="11"/>
      <c r="I296" s="35"/>
      <c r="J296" s="35"/>
      <c r="K296" s="11"/>
      <c r="L296" s="35"/>
    </row>
    <row r="297" spans="1:12" hidden="1" x14ac:dyDescent="0.25">
      <c r="A297" s="33"/>
      <c r="B297" s="33"/>
      <c r="C297" s="33"/>
      <c r="D297" s="35"/>
      <c r="E297" s="35"/>
      <c r="F297" s="35"/>
      <c r="G297" s="35"/>
      <c r="H297" s="11"/>
      <c r="I297" s="35"/>
      <c r="J297" s="35"/>
      <c r="K297" s="11"/>
      <c r="L297" s="35"/>
    </row>
    <row r="298" spans="1:12" hidden="1" x14ac:dyDescent="0.25">
      <c r="A298" s="33"/>
      <c r="B298" s="33"/>
      <c r="C298" s="33"/>
      <c r="D298" s="35"/>
      <c r="E298" s="35"/>
      <c r="F298" s="35"/>
      <c r="G298" s="35"/>
      <c r="H298" s="11"/>
      <c r="I298" s="35"/>
      <c r="J298" s="35"/>
      <c r="K298" s="11"/>
      <c r="L298" s="35"/>
    </row>
    <row r="299" spans="1:12" hidden="1" x14ac:dyDescent="0.25">
      <c r="A299" s="33"/>
      <c r="B299" s="33"/>
      <c r="C299" s="33"/>
      <c r="D299" s="35"/>
      <c r="E299" s="35"/>
      <c r="F299" s="35"/>
      <c r="G299" s="35"/>
      <c r="H299" s="11"/>
      <c r="I299" s="35"/>
      <c r="J299" s="35"/>
      <c r="K299" s="11"/>
      <c r="L299" s="35"/>
    </row>
    <row r="300" spans="1:12" hidden="1" x14ac:dyDescent="0.25">
      <c r="A300" s="33"/>
      <c r="B300" s="33"/>
      <c r="C300" s="33"/>
      <c r="D300" s="35"/>
      <c r="E300" s="35"/>
      <c r="F300" s="35"/>
      <c r="G300" s="35"/>
      <c r="H300" s="11"/>
      <c r="I300" s="35"/>
      <c r="J300" s="35"/>
      <c r="K300" s="11"/>
      <c r="L300" s="35"/>
    </row>
    <row r="301" spans="1:12" hidden="1" x14ac:dyDescent="0.25">
      <c r="A301" s="33"/>
      <c r="B301" s="33"/>
      <c r="C301" s="33"/>
      <c r="D301" s="35"/>
      <c r="E301" s="35"/>
      <c r="F301" s="35"/>
      <c r="G301" s="35"/>
      <c r="H301" s="11"/>
      <c r="I301" s="35"/>
      <c r="J301" s="35"/>
      <c r="K301" s="11"/>
      <c r="L301" s="35"/>
    </row>
    <row r="302" spans="1:12" hidden="1" x14ac:dyDescent="0.25">
      <c r="A302" s="33"/>
      <c r="B302" s="33"/>
      <c r="C302" s="33"/>
      <c r="D302" s="35"/>
      <c r="E302" s="35"/>
      <c r="F302" s="35"/>
      <c r="G302" s="35"/>
      <c r="H302" s="11"/>
      <c r="I302" s="35"/>
      <c r="J302" s="35"/>
      <c r="K302" s="11"/>
      <c r="L302" s="35"/>
    </row>
    <row r="303" spans="1:12" hidden="1" x14ac:dyDescent="0.25">
      <c r="A303" s="33"/>
      <c r="B303" s="33"/>
      <c r="C303" s="33"/>
      <c r="D303" s="35"/>
      <c r="E303" s="35"/>
      <c r="F303" s="35"/>
      <c r="G303" s="35"/>
      <c r="H303" s="11"/>
      <c r="I303" s="35"/>
      <c r="J303" s="35"/>
      <c r="K303" s="11"/>
      <c r="L303" s="35"/>
    </row>
    <row r="304" spans="1:12" hidden="1" x14ac:dyDescent="0.25">
      <c r="A304" s="33"/>
      <c r="B304" s="33"/>
      <c r="C304" s="33"/>
      <c r="D304" s="35"/>
      <c r="E304" s="35"/>
      <c r="F304" s="35"/>
      <c r="G304" s="35"/>
      <c r="H304" s="11"/>
      <c r="I304" s="35"/>
      <c r="J304" s="35"/>
      <c r="K304" s="11"/>
      <c r="L304" s="35"/>
    </row>
    <row r="305" spans="1:12" hidden="1" x14ac:dyDescent="0.25">
      <c r="A305" s="33"/>
      <c r="B305" s="33"/>
      <c r="C305" s="33"/>
      <c r="D305" s="35"/>
      <c r="E305" s="35"/>
      <c r="F305" s="35"/>
      <c r="G305" s="35"/>
      <c r="H305" s="11"/>
      <c r="I305" s="35"/>
      <c r="J305" s="35"/>
      <c r="K305" s="11"/>
      <c r="L305" s="35"/>
    </row>
    <row r="306" spans="1:12" hidden="1" x14ac:dyDescent="0.25">
      <c r="A306" s="33"/>
      <c r="B306" s="33"/>
      <c r="C306" s="33"/>
      <c r="D306" s="35"/>
      <c r="E306" s="35"/>
      <c r="F306" s="35"/>
      <c r="G306" s="35"/>
      <c r="H306" s="11"/>
      <c r="I306" s="35"/>
      <c r="J306" s="35"/>
      <c r="K306" s="11"/>
      <c r="L306" s="35"/>
    </row>
    <row r="307" spans="1:12" hidden="1" x14ac:dyDescent="0.25">
      <c r="A307" s="33"/>
      <c r="B307" s="33"/>
      <c r="C307" s="33"/>
      <c r="D307" s="35"/>
      <c r="E307" s="35"/>
      <c r="F307" s="35"/>
      <c r="G307" s="35"/>
      <c r="H307" s="11"/>
      <c r="I307" s="35"/>
      <c r="J307" s="35"/>
      <c r="K307" s="11"/>
      <c r="L307" s="35"/>
    </row>
    <row r="308" spans="1:12" hidden="1" x14ac:dyDescent="0.25">
      <c r="A308" s="33"/>
      <c r="B308" s="33"/>
      <c r="C308" s="33"/>
      <c r="D308" s="35"/>
      <c r="E308" s="35"/>
      <c r="F308" s="35"/>
      <c r="G308" s="35"/>
      <c r="H308" s="11"/>
      <c r="I308" s="35"/>
      <c r="J308" s="35"/>
      <c r="K308" s="11"/>
      <c r="L308" s="35"/>
    </row>
    <row r="309" spans="1:12" hidden="1" x14ac:dyDescent="0.25">
      <c r="A309" s="33"/>
      <c r="B309" s="33"/>
      <c r="C309" s="33"/>
      <c r="D309" s="35"/>
      <c r="E309" s="35"/>
      <c r="F309" s="35"/>
      <c r="G309" s="35"/>
      <c r="H309" s="11"/>
      <c r="I309" s="35"/>
      <c r="J309" s="35"/>
      <c r="K309" s="11"/>
      <c r="L309" s="35"/>
    </row>
    <row r="310" spans="1:12" hidden="1" x14ac:dyDescent="0.25">
      <c r="A310" s="33"/>
      <c r="B310" s="33"/>
      <c r="C310" s="33"/>
      <c r="D310" s="35"/>
      <c r="E310" s="35"/>
      <c r="F310" s="35"/>
      <c r="G310" s="35"/>
      <c r="H310" s="11"/>
      <c r="I310" s="35"/>
      <c r="J310" s="35"/>
      <c r="K310" s="11"/>
      <c r="L310" s="35"/>
    </row>
    <row r="311" spans="1:12" hidden="1" x14ac:dyDescent="0.25">
      <c r="A311" s="33"/>
      <c r="B311" s="33"/>
      <c r="C311" s="33"/>
      <c r="D311" s="35"/>
      <c r="E311" s="35"/>
      <c r="F311" s="35"/>
      <c r="G311" s="35"/>
      <c r="H311" s="11"/>
      <c r="I311" s="35"/>
      <c r="J311" s="35"/>
      <c r="K311" s="11"/>
      <c r="L311" s="35"/>
    </row>
    <row r="312" spans="1:12" hidden="1" x14ac:dyDescent="0.25">
      <c r="A312" s="33"/>
      <c r="B312" s="33"/>
      <c r="C312" s="33"/>
      <c r="D312" s="35"/>
      <c r="E312" s="35"/>
      <c r="F312" s="35"/>
      <c r="G312" s="35"/>
      <c r="H312" s="11"/>
      <c r="I312" s="35"/>
      <c r="J312" s="35"/>
      <c r="K312" s="11"/>
      <c r="L312" s="35"/>
    </row>
    <row r="313" spans="1:12" hidden="1" x14ac:dyDescent="0.25">
      <c r="A313" s="33"/>
      <c r="B313" s="33"/>
      <c r="C313" s="33"/>
      <c r="D313" s="35"/>
      <c r="E313" s="35"/>
      <c r="F313" s="35"/>
      <c r="G313" s="35"/>
      <c r="H313" s="11"/>
      <c r="I313" s="35"/>
      <c r="J313" s="35"/>
      <c r="K313" s="11"/>
      <c r="L313" s="35"/>
    </row>
    <row r="314" spans="1:12" hidden="1" x14ac:dyDescent="0.25">
      <c r="A314" s="33"/>
      <c r="B314" s="33"/>
      <c r="C314" s="33"/>
      <c r="D314" s="35"/>
      <c r="E314" s="35"/>
      <c r="F314" s="35"/>
      <c r="G314" s="35"/>
      <c r="H314" s="11"/>
      <c r="I314" s="35"/>
      <c r="J314" s="35"/>
      <c r="K314" s="11"/>
      <c r="L314" s="35"/>
    </row>
    <row r="315" spans="1:12" hidden="1" x14ac:dyDescent="0.25">
      <c r="A315" s="33"/>
      <c r="B315" s="33"/>
      <c r="C315" s="33"/>
      <c r="D315" s="35"/>
      <c r="E315" s="35"/>
      <c r="F315" s="35"/>
      <c r="G315" s="35"/>
      <c r="H315" s="11"/>
      <c r="I315" s="35"/>
      <c r="J315" s="35"/>
      <c r="K315" s="11"/>
      <c r="L315" s="35"/>
    </row>
    <row r="316" spans="1:12" hidden="1" x14ac:dyDescent="0.25">
      <c r="A316" s="33"/>
      <c r="B316" s="33"/>
      <c r="C316" s="33"/>
      <c r="D316" s="35"/>
      <c r="E316" s="35"/>
      <c r="F316" s="35"/>
      <c r="G316" s="35"/>
      <c r="H316" s="11"/>
      <c r="I316" s="35"/>
      <c r="J316" s="35"/>
      <c r="K316" s="11"/>
      <c r="L316" s="35"/>
    </row>
    <row r="317" spans="1:12" hidden="1" x14ac:dyDescent="0.25">
      <c r="A317" s="33"/>
      <c r="B317" s="33"/>
      <c r="C317" s="33"/>
      <c r="D317" s="35"/>
      <c r="E317" s="35"/>
      <c r="F317" s="35"/>
      <c r="G317" s="35"/>
      <c r="H317" s="11"/>
      <c r="I317" s="35"/>
      <c r="J317" s="35"/>
      <c r="K317" s="11"/>
      <c r="L317" s="35"/>
    </row>
    <row r="318" spans="1:12" hidden="1" x14ac:dyDescent="0.25">
      <c r="A318" s="33"/>
      <c r="B318" s="33"/>
      <c r="C318" s="33"/>
      <c r="D318" s="35"/>
      <c r="E318" s="35"/>
      <c r="F318" s="35"/>
      <c r="G318" s="35"/>
      <c r="H318" s="11"/>
      <c r="I318" s="35"/>
      <c r="J318" s="35"/>
      <c r="K318" s="11"/>
      <c r="L318" s="35"/>
    </row>
    <row r="319" spans="1:12" hidden="1" x14ac:dyDescent="0.25">
      <c r="A319" s="33"/>
      <c r="B319" s="33"/>
      <c r="C319" s="33"/>
      <c r="D319" s="35"/>
      <c r="E319" s="35"/>
      <c r="F319" s="35"/>
      <c r="G319" s="35"/>
      <c r="H319" s="11"/>
      <c r="I319" s="35"/>
      <c r="J319" s="35"/>
      <c r="K319" s="11"/>
      <c r="L319" s="35"/>
    </row>
    <row r="320" spans="1:12" hidden="1" x14ac:dyDescent="0.25">
      <c r="A320" s="33"/>
      <c r="B320" s="33"/>
      <c r="C320" s="33"/>
      <c r="D320" s="35"/>
      <c r="E320" s="35"/>
      <c r="F320" s="35"/>
      <c r="G320" s="35"/>
      <c r="H320" s="11"/>
      <c r="I320" s="35"/>
      <c r="J320" s="35"/>
      <c r="K320" s="11"/>
      <c r="L320" s="35"/>
    </row>
    <row r="321" spans="1:12" hidden="1" x14ac:dyDescent="0.25">
      <c r="A321" s="33"/>
      <c r="B321" s="33"/>
      <c r="C321" s="33"/>
      <c r="D321" s="35"/>
      <c r="E321" s="35"/>
      <c r="F321" s="35"/>
      <c r="G321" s="35"/>
      <c r="H321" s="11"/>
      <c r="I321" s="35"/>
      <c r="J321" s="35"/>
      <c r="K321" s="11"/>
      <c r="L321" s="35"/>
    </row>
    <row r="322" spans="1:12" hidden="1" x14ac:dyDescent="0.25">
      <c r="A322" s="33"/>
      <c r="B322" s="33"/>
      <c r="C322" s="33"/>
      <c r="D322" s="35"/>
      <c r="E322" s="35"/>
      <c r="F322" s="35"/>
      <c r="G322" s="35"/>
      <c r="H322" s="11"/>
      <c r="I322" s="35"/>
      <c r="J322" s="35"/>
      <c r="K322" s="11"/>
      <c r="L322" s="35"/>
    </row>
    <row r="323" spans="1:12" hidden="1" x14ac:dyDescent="0.25">
      <c r="A323" s="33"/>
      <c r="B323" s="33"/>
      <c r="C323" s="33"/>
      <c r="D323" s="35"/>
      <c r="E323" s="35"/>
      <c r="F323" s="35"/>
      <c r="G323" s="35"/>
      <c r="H323" s="11"/>
      <c r="I323" s="35"/>
      <c r="J323" s="35"/>
      <c r="K323" s="11"/>
      <c r="L323" s="35"/>
    </row>
    <row r="324" spans="1:12" hidden="1" x14ac:dyDescent="0.25">
      <c r="A324" s="33"/>
      <c r="B324" s="33"/>
      <c r="C324" s="33"/>
      <c r="D324" s="35"/>
      <c r="E324" s="35"/>
      <c r="F324" s="35"/>
      <c r="G324" s="35"/>
      <c r="H324" s="11"/>
      <c r="I324" s="35"/>
      <c r="J324" s="35"/>
      <c r="K324" s="11"/>
      <c r="L324" s="35"/>
    </row>
    <row r="325" spans="1:12" hidden="1" x14ac:dyDescent="0.25">
      <c r="A325" s="33"/>
      <c r="B325" s="33"/>
      <c r="C325" s="33"/>
      <c r="D325" s="35"/>
      <c r="E325" s="35"/>
      <c r="F325" s="35"/>
      <c r="G325" s="35"/>
      <c r="H325" s="11"/>
      <c r="I325" s="35"/>
      <c r="J325" s="35"/>
      <c r="K325" s="11"/>
      <c r="L325" s="35"/>
    </row>
    <row r="326" spans="1:12" hidden="1" x14ac:dyDescent="0.25">
      <c r="A326" s="33"/>
      <c r="B326" s="33"/>
      <c r="C326" s="33"/>
      <c r="D326" s="35"/>
      <c r="E326" s="35"/>
      <c r="F326" s="35"/>
      <c r="G326" s="35"/>
      <c r="H326" s="11"/>
      <c r="I326" s="35"/>
      <c r="J326" s="35"/>
      <c r="K326" s="11"/>
      <c r="L326" s="35"/>
    </row>
    <row r="327" spans="1:12" hidden="1" x14ac:dyDescent="0.25">
      <c r="A327" s="33"/>
      <c r="B327" s="33"/>
      <c r="C327" s="33"/>
      <c r="D327" s="35"/>
      <c r="E327" s="35"/>
      <c r="F327" s="35"/>
      <c r="G327" s="35"/>
      <c r="H327" s="11"/>
      <c r="I327" s="35"/>
      <c r="J327" s="35"/>
      <c r="K327" s="11"/>
      <c r="L327" s="35"/>
    </row>
    <row r="328" spans="1:12" hidden="1" x14ac:dyDescent="0.25">
      <c r="A328" s="33"/>
      <c r="B328" s="33"/>
      <c r="C328" s="33"/>
      <c r="D328" s="35"/>
      <c r="E328" s="35"/>
      <c r="F328" s="35"/>
      <c r="G328" s="35"/>
      <c r="H328" s="11"/>
      <c r="I328" s="35"/>
      <c r="J328" s="35"/>
      <c r="K328" s="11"/>
      <c r="L328" s="35"/>
    </row>
    <row r="329" spans="1:12" hidden="1" x14ac:dyDescent="0.25">
      <c r="A329" s="33"/>
      <c r="B329" s="33"/>
      <c r="C329" s="33"/>
      <c r="D329" s="35"/>
      <c r="E329" s="35"/>
      <c r="F329" s="35"/>
      <c r="G329" s="35"/>
      <c r="H329" s="11"/>
      <c r="I329" s="35"/>
      <c r="J329" s="35"/>
      <c r="K329" s="11"/>
      <c r="L329" s="35"/>
    </row>
    <row r="330" spans="1:12" hidden="1" x14ac:dyDescent="0.25">
      <c r="A330" s="33"/>
      <c r="B330" s="33"/>
      <c r="C330" s="33"/>
      <c r="D330" s="35"/>
      <c r="E330" s="35"/>
      <c r="F330" s="35"/>
      <c r="G330" s="35"/>
      <c r="H330" s="11"/>
      <c r="I330" s="35"/>
      <c r="J330" s="35"/>
      <c r="K330" s="11"/>
      <c r="L330" s="35"/>
    </row>
    <row r="331" spans="1:12" hidden="1" x14ac:dyDescent="0.25">
      <c r="A331" s="33"/>
      <c r="B331" s="33"/>
      <c r="C331" s="33"/>
      <c r="D331" s="35"/>
      <c r="E331" s="35"/>
      <c r="F331" s="35"/>
      <c r="G331" s="35"/>
      <c r="H331" s="11"/>
      <c r="I331" s="35"/>
      <c r="J331" s="35"/>
      <c r="K331" s="11"/>
      <c r="L331" s="35"/>
    </row>
    <row r="332" spans="1:12" hidden="1" x14ac:dyDescent="0.25">
      <c r="A332" s="33"/>
      <c r="B332" s="33"/>
      <c r="C332" s="33"/>
      <c r="D332" s="35"/>
      <c r="E332" s="35"/>
      <c r="F332" s="35"/>
      <c r="G332" s="35"/>
      <c r="H332" s="11"/>
      <c r="I332" s="35"/>
      <c r="J332" s="35"/>
      <c r="K332" s="11"/>
      <c r="L332" s="35"/>
    </row>
    <row r="333" spans="1:12" hidden="1" x14ac:dyDescent="0.25">
      <c r="A333" s="33"/>
      <c r="B333" s="33"/>
      <c r="C333" s="33"/>
      <c r="D333" s="35"/>
      <c r="E333" s="35"/>
      <c r="F333" s="35"/>
      <c r="G333" s="35"/>
      <c r="H333" s="11"/>
      <c r="I333" s="35"/>
      <c r="J333" s="35"/>
      <c r="K333" s="11"/>
      <c r="L333" s="35"/>
    </row>
    <row r="334" spans="1:12" hidden="1" x14ac:dyDescent="0.25">
      <c r="A334" s="33"/>
      <c r="B334" s="33"/>
      <c r="C334" s="33"/>
      <c r="D334" s="35"/>
      <c r="E334" s="35"/>
      <c r="F334" s="35"/>
      <c r="G334" s="35"/>
      <c r="H334" s="11"/>
      <c r="I334" s="35"/>
      <c r="J334" s="35"/>
      <c r="K334" s="11"/>
      <c r="L334" s="35"/>
    </row>
    <row r="335" spans="1:12" hidden="1" x14ac:dyDescent="0.25">
      <c r="A335" s="33"/>
      <c r="B335" s="33"/>
      <c r="C335" s="33"/>
      <c r="D335" s="35"/>
      <c r="E335" s="35"/>
      <c r="F335" s="35"/>
      <c r="G335" s="35"/>
      <c r="H335" s="11"/>
      <c r="I335" s="35"/>
      <c r="J335" s="35"/>
      <c r="K335" s="11"/>
      <c r="L335" s="35"/>
    </row>
    <row r="336" spans="1:12" hidden="1" x14ac:dyDescent="0.25">
      <c r="A336" s="33"/>
      <c r="B336" s="33"/>
      <c r="C336" s="33"/>
      <c r="D336" s="35"/>
      <c r="E336" s="35"/>
      <c r="F336" s="35"/>
      <c r="G336" s="35"/>
      <c r="H336" s="11"/>
      <c r="I336" s="35"/>
      <c r="J336" s="35"/>
      <c r="K336" s="11"/>
      <c r="L336" s="35"/>
    </row>
    <row r="337" spans="1:12" hidden="1" x14ac:dyDescent="0.25">
      <c r="A337" s="33"/>
      <c r="B337" s="33"/>
      <c r="C337" s="33"/>
      <c r="D337" s="35"/>
      <c r="E337" s="35"/>
      <c r="F337" s="35"/>
      <c r="G337" s="35"/>
      <c r="H337" s="11"/>
      <c r="I337" s="35"/>
      <c r="J337" s="35"/>
      <c r="K337" s="11"/>
      <c r="L337" s="35"/>
    </row>
    <row r="338" spans="1:12" hidden="1" x14ac:dyDescent="0.25">
      <c r="A338" s="33"/>
      <c r="B338" s="33"/>
      <c r="C338" s="33"/>
      <c r="D338" s="35"/>
      <c r="E338" s="35"/>
      <c r="F338" s="35"/>
      <c r="G338" s="35"/>
      <c r="H338" s="11"/>
      <c r="I338" s="35"/>
      <c r="J338" s="35"/>
      <c r="K338" s="11"/>
      <c r="L338" s="35"/>
    </row>
    <row r="339" spans="1:12" hidden="1" x14ac:dyDescent="0.25">
      <c r="A339" s="33"/>
      <c r="B339" s="33"/>
      <c r="C339" s="33"/>
      <c r="D339" s="35"/>
      <c r="E339" s="35"/>
      <c r="F339" s="35"/>
      <c r="G339" s="35"/>
      <c r="H339" s="11"/>
      <c r="I339" s="35"/>
      <c r="J339" s="35"/>
      <c r="K339" s="11"/>
      <c r="L339" s="35"/>
    </row>
    <row r="340" spans="1:12" hidden="1" x14ac:dyDescent="0.25">
      <c r="A340" s="33"/>
      <c r="B340" s="33"/>
      <c r="C340" s="33"/>
      <c r="D340" s="35"/>
      <c r="E340" s="35"/>
      <c r="F340" s="35"/>
      <c r="G340" s="35"/>
      <c r="H340" s="11"/>
      <c r="I340" s="35"/>
      <c r="J340" s="35"/>
      <c r="K340" s="11"/>
      <c r="L340" s="35"/>
    </row>
    <row r="341" spans="1:12" hidden="1" x14ac:dyDescent="0.25">
      <c r="A341" s="33"/>
      <c r="B341" s="33"/>
      <c r="C341" s="33"/>
      <c r="D341" s="35"/>
      <c r="E341" s="35"/>
      <c r="F341" s="35"/>
      <c r="G341" s="35"/>
      <c r="H341" s="11"/>
      <c r="I341" s="35"/>
      <c r="J341" s="35"/>
      <c r="K341" s="11"/>
      <c r="L341" s="35"/>
    </row>
    <row r="342" spans="1:12" hidden="1" x14ac:dyDescent="0.25">
      <c r="A342" s="33"/>
      <c r="B342" s="33"/>
      <c r="C342" s="33"/>
      <c r="D342" s="35"/>
      <c r="E342" s="35"/>
      <c r="F342" s="35"/>
      <c r="G342" s="35"/>
      <c r="H342" s="11"/>
      <c r="I342" s="35"/>
      <c r="J342" s="35"/>
      <c r="K342" s="11"/>
      <c r="L342" s="35"/>
    </row>
    <row r="343" spans="1:12" hidden="1" x14ac:dyDescent="0.25">
      <c r="A343" s="33"/>
      <c r="B343" s="33"/>
      <c r="C343" s="33"/>
      <c r="D343" s="35"/>
      <c r="E343" s="35"/>
      <c r="F343" s="35"/>
      <c r="G343" s="35"/>
      <c r="H343" s="11"/>
      <c r="I343" s="35"/>
      <c r="J343" s="35"/>
      <c r="K343" s="11"/>
      <c r="L343" s="35"/>
    </row>
    <row r="344" spans="1:12" hidden="1" x14ac:dyDescent="0.25">
      <c r="A344" s="33"/>
      <c r="B344" s="33"/>
      <c r="C344" s="33"/>
      <c r="D344" s="35"/>
      <c r="E344" s="35"/>
      <c r="F344" s="35"/>
      <c r="G344" s="35"/>
      <c r="H344" s="11"/>
      <c r="I344" s="35"/>
      <c r="J344" s="35"/>
      <c r="K344" s="11"/>
      <c r="L344" s="35"/>
    </row>
    <row r="345" spans="1:12" hidden="1" x14ac:dyDescent="0.25">
      <c r="A345" s="33"/>
      <c r="B345" s="33"/>
      <c r="C345" s="33"/>
      <c r="D345" s="35"/>
      <c r="E345" s="35"/>
      <c r="F345" s="35"/>
      <c r="G345" s="35"/>
      <c r="H345" s="11"/>
      <c r="I345" s="35"/>
      <c r="J345" s="35"/>
      <c r="K345" s="11"/>
      <c r="L345" s="35"/>
    </row>
    <row r="346" spans="1:12" hidden="1" x14ac:dyDescent="0.25">
      <c r="A346" s="33"/>
      <c r="B346" s="33"/>
      <c r="C346" s="33"/>
      <c r="D346" s="35"/>
      <c r="E346" s="35"/>
      <c r="F346" s="35"/>
      <c r="G346" s="35"/>
      <c r="H346" s="11"/>
      <c r="I346" s="35"/>
      <c r="J346" s="35"/>
      <c r="K346" s="11"/>
      <c r="L346" s="35"/>
    </row>
    <row r="347" spans="1:12" hidden="1" x14ac:dyDescent="0.25">
      <c r="A347" s="33"/>
      <c r="B347" s="33"/>
      <c r="C347" s="33"/>
      <c r="D347" s="35"/>
      <c r="E347" s="35"/>
      <c r="F347" s="35"/>
      <c r="G347" s="35"/>
      <c r="H347" s="11"/>
      <c r="I347" s="35"/>
      <c r="J347" s="35"/>
      <c r="K347" s="11"/>
      <c r="L347" s="35"/>
    </row>
    <row r="348" spans="1:12" hidden="1" x14ac:dyDescent="0.25">
      <c r="A348" s="33"/>
      <c r="B348" s="33"/>
      <c r="C348" s="33"/>
      <c r="D348" s="35"/>
      <c r="E348" s="35"/>
      <c r="F348" s="35"/>
      <c r="G348" s="35"/>
      <c r="H348" s="11"/>
      <c r="I348" s="35"/>
      <c r="J348" s="35"/>
      <c r="K348" s="11"/>
      <c r="L348" s="35"/>
    </row>
    <row r="349" spans="1:12" hidden="1" x14ac:dyDescent="0.25">
      <c r="A349" s="33"/>
      <c r="B349" s="33"/>
      <c r="C349" s="33"/>
      <c r="D349" s="35"/>
      <c r="E349" s="35"/>
      <c r="F349" s="35"/>
      <c r="G349" s="35"/>
      <c r="H349" s="11"/>
      <c r="I349" s="35"/>
      <c r="J349" s="35"/>
      <c r="K349" s="11"/>
      <c r="L349" s="35"/>
    </row>
    <row r="350" spans="1:12" hidden="1" x14ac:dyDescent="0.25">
      <c r="A350" s="33"/>
      <c r="B350" s="33"/>
      <c r="C350" s="33"/>
      <c r="D350" s="35"/>
      <c r="E350" s="35"/>
      <c r="F350" s="35"/>
      <c r="G350" s="35"/>
      <c r="H350" s="11"/>
      <c r="I350" s="35"/>
      <c r="J350" s="35"/>
      <c r="K350" s="11"/>
      <c r="L350" s="35"/>
    </row>
    <row r="351" spans="1:12" hidden="1" x14ac:dyDescent="0.25">
      <c r="A351" s="33"/>
      <c r="B351" s="33"/>
      <c r="C351" s="33"/>
      <c r="D351" s="35"/>
      <c r="E351" s="35"/>
      <c r="F351" s="35"/>
      <c r="G351" s="35"/>
      <c r="H351" s="11"/>
      <c r="I351" s="35"/>
      <c r="J351" s="35"/>
      <c r="K351" s="11"/>
      <c r="L351" s="35"/>
    </row>
    <row r="352" spans="1:12" hidden="1" x14ac:dyDescent="0.25">
      <c r="A352" s="33"/>
      <c r="B352" s="33"/>
      <c r="C352" s="33"/>
      <c r="D352" s="35"/>
      <c r="E352" s="35"/>
      <c r="F352" s="35"/>
      <c r="G352" s="35"/>
      <c r="H352" s="11"/>
      <c r="I352" s="35"/>
      <c r="J352" s="35"/>
      <c r="K352" s="11"/>
      <c r="L352" s="35"/>
    </row>
    <row r="353" spans="1:12" hidden="1" x14ac:dyDescent="0.25">
      <c r="A353" s="33"/>
      <c r="B353" s="33"/>
      <c r="C353" s="33"/>
      <c r="D353" s="35"/>
      <c r="E353" s="35"/>
      <c r="F353" s="35"/>
      <c r="G353" s="35"/>
      <c r="H353" s="11"/>
      <c r="I353" s="35"/>
      <c r="J353" s="35"/>
      <c r="K353" s="11"/>
      <c r="L353" s="35"/>
    </row>
    <row r="354" spans="1:12" hidden="1" x14ac:dyDescent="0.25">
      <c r="A354" s="33"/>
      <c r="B354" s="33"/>
      <c r="C354" s="33"/>
      <c r="D354" s="35"/>
      <c r="E354" s="35"/>
      <c r="F354" s="35"/>
      <c r="G354" s="35"/>
      <c r="H354" s="11"/>
      <c r="I354" s="35"/>
      <c r="J354" s="35"/>
      <c r="K354" s="11"/>
      <c r="L354" s="35"/>
    </row>
    <row r="355" spans="1:12" hidden="1" x14ac:dyDescent="0.25">
      <c r="A355" s="33"/>
      <c r="B355" s="33"/>
      <c r="C355" s="33"/>
      <c r="D355" s="35"/>
      <c r="E355" s="35"/>
      <c r="F355" s="35"/>
      <c r="G355" s="35"/>
      <c r="H355" s="11"/>
      <c r="I355" s="35"/>
      <c r="J355" s="35"/>
      <c r="K355" s="11"/>
      <c r="L355" s="35"/>
    </row>
    <row r="356" spans="1:12" hidden="1" x14ac:dyDescent="0.25">
      <c r="A356" s="33"/>
      <c r="B356" s="33"/>
      <c r="C356" s="33"/>
      <c r="D356" s="35"/>
      <c r="E356" s="35"/>
      <c r="F356" s="35"/>
      <c r="G356" s="35"/>
      <c r="H356" s="11"/>
      <c r="I356" s="35"/>
      <c r="J356" s="35"/>
      <c r="K356" s="11"/>
      <c r="L356" s="35"/>
    </row>
    <row r="357" spans="1:12" hidden="1" x14ac:dyDescent="0.25">
      <c r="A357" s="33"/>
      <c r="B357" s="33"/>
      <c r="C357" s="33"/>
      <c r="D357" s="35"/>
      <c r="E357" s="35"/>
      <c r="F357" s="35"/>
      <c r="G357" s="35"/>
      <c r="H357" s="11"/>
      <c r="I357" s="35"/>
      <c r="J357" s="35"/>
      <c r="K357" s="11"/>
      <c r="L357" s="35"/>
    </row>
    <row r="358" spans="1:12" hidden="1" x14ac:dyDescent="0.25">
      <c r="D358" s="11"/>
      <c r="E358" s="11"/>
      <c r="F358" s="11"/>
      <c r="G358" s="11"/>
      <c r="H358" s="11"/>
      <c r="I358" s="11"/>
      <c r="J358" s="11"/>
      <c r="K358" s="11"/>
      <c r="L358" s="11"/>
    </row>
    <row r="359" spans="1:12" hidden="1" x14ac:dyDescent="0.25">
      <c r="D359" s="11"/>
      <c r="E359" s="11"/>
      <c r="F359" s="11"/>
      <c r="G359" s="11"/>
      <c r="H359" s="11"/>
      <c r="I359" s="11"/>
      <c r="J359" s="11"/>
      <c r="K359" s="11"/>
      <c r="L359" s="11"/>
    </row>
    <row r="360" spans="1:12" hidden="1" x14ac:dyDescent="0.25">
      <c r="D360" s="11"/>
      <c r="E360" s="11"/>
      <c r="F360" s="11"/>
      <c r="G360" s="11"/>
      <c r="H360" s="11"/>
      <c r="I360" s="11"/>
      <c r="J360" s="11"/>
      <c r="K360" s="11"/>
      <c r="L360" s="11"/>
    </row>
    <row r="361" spans="1:12" hidden="1" x14ac:dyDescent="0.25">
      <c r="D361" s="11"/>
      <c r="E361" s="11"/>
      <c r="F361" s="11"/>
      <c r="G361" s="11"/>
      <c r="H361" s="11"/>
      <c r="I361" s="11"/>
      <c r="J361" s="11"/>
      <c r="K361" s="11"/>
      <c r="L361" s="11"/>
    </row>
    <row r="362" spans="1:12" hidden="1" x14ac:dyDescent="0.25">
      <c r="D362" s="11"/>
      <c r="E362" s="11"/>
      <c r="F362" s="11"/>
      <c r="G362" s="11"/>
      <c r="H362" s="11"/>
      <c r="I362" s="11"/>
      <c r="J362" s="11"/>
      <c r="K362" s="11"/>
      <c r="L362" s="11"/>
    </row>
    <row r="363" spans="1:12" hidden="1" x14ac:dyDescent="0.25">
      <c r="D363" s="11"/>
      <c r="E363" s="11"/>
      <c r="F363" s="11"/>
      <c r="G363" s="11"/>
      <c r="H363" s="11"/>
      <c r="I363" s="11"/>
      <c r="J363" s="11"/>
      <c r="K363" s="11"/>
      <c r="L363" s="11"/>
    </row>
    <row r="364" spans="1:12" hidden="1" x14ac:dyDescent="0.25">
      <c r="D364" s="11"/>
      <c r="E364" s="11"/>
      <c r="F364" s="11"/>
      <c r="G364" s="11"/>
      <c r="H364" s="11"/>
      <c r="I364" s="11"/>
      <c r="J364" s="11"/>
      <c r="K364" s="11"/>
      <c r="L364" s="11"/>
    </row>
    <row r="365" spans="1:12" hidden="1" x14ac:dyDescent="0.25">
      <c r="D365" s="11"/>
      <c r="E365" s="11"/>
      <c r="F365" s="11"/>
      <c r="G365" s="11"/>
      <c r="H365" s="11"/>
      <c r="I365" s="11"/>
      <c r="J365" s="11"/>
      <c r="K365" s="11"/>
      <c r="L365" s="11"/>
    </row>
    <row r="366" spans="1:12" hidden="1" x14ac:dyDescent="0.25">
      <c r="D366" s="11"/>
      <c r="E366" s="11"/>
      <c r="F366" s="11"/>
      <c r="G366" s="11"/>
      <c r="H366" s="11"/>
      <c r="I366" s="11"/>
      <c r="J366" s="11"/>
      <c r="K366" s="11"/>
      <c r="L366" s="11"/>
    </row>
    <row r="367" spans="1:12" hidden="1" x14ac:dyDescent="0.25">
      <c r="D367" s="11"/>
      <c r="E367" s="11"/>
      <c r="F367" s="11"/>
      <c r="G367" s="11"/>
      <c r="H367" s="11"/>
      <c r="I367" s="11"/>
      <c r="J367" s="11"/>
      <c r="K367" s="11"/>
      <c r="L367" s="11"/>
    </row>
    <row r="368" spans="1:12" hidden="1" x14ac:dyDescent="0.25">
      <c r="D368" s="11"/>
      <c r="E368" s="11"/>
      <c r="F368" s="11"/>
      <c r="G368" s="11"/>
      <c r="H368" s="11"/>
      <c r="I368" s="11"/>
      <c r="J368" s="11"/>
      <c r="K368" s="11"/>
      <c r="L368" s="11"/>
    </row>
    <row r="369" spans="4:12" hidden="1" x14ac:dyDescent="0.25">
      <c r="D369" s="11"/>
      <c r="E369" s="11"/>
      <c r="F369" s="11"/>
      <c r="G369" s="11"/>
      <c r="H369" s="11"/>
      <c r="I369" s="11"/>
      <c r="J369" s="11"/>
      <c r="K369" s="11"/>
      <c r="L369" s="11"/>
    </row>
    <row r="370" spans="4:12" hidden="1" x14ac:dyDescent="0.25">
      <c r="D370" s="11"/>
      <c r="E370" s="11"/>
      <c r="F370" s="11"/>
      <c r="G370" s="11"/>
      <c r="H370" s="11"/>
      <c r="I370" s="11"/>
      <c r="J370" s="11"/>
      <c r="K370" s="11"/>
      <c r="L370" s="11"/>
    </row>
    <row r="371" spans="4:12" hidden="1" x14ac:dyDescent="0.25">
      <c r="D371" s="11"/>
      <c r="E371" s="11"/>
      <c r="F371" s="11"/>
      <c r="G371" s="11"/>
      <c r="H371" s="11"/>
      <c r="I371" s="11"/>
      <c r="J371" s="11"/>
      <c r="K371" s="11"/>
      <c r="L371" s="11"/>
    </row>
    <row r="372" spans="4:12" hidden="1" x14ac:dyDescent="0.25">
      <c r="D372" s="11"/>
      <c r="E372" s="11"/>
      <c r="F372" s="11"/>
      <c r="G372" s="11"/>
      <c r="H372" s="11"/>
      <c r="I372" s="11"/>
      <c r="J372" s="11"/>
      <c r="K372" s="11"/>
      <c r="L372" s="11"/>
    </row>
    <row r="373" spans="4:12" hidden="1" x14ac:dyDescent="0.25">
      <c r="D373" s="11"/>
      <c r="E373" s="11"/>
      <c r="F373" s="11"/>
      <c r="G373" s="11"/>
      <c r="H373" s="11"/>
      <c r="I373" s="11"/>
      <c r="J373" s="11"/>
      <c r="K373" s="11"/>
      <c r="L373" s="11"/>
    </row>
    <row r="374" spans="4:12" hidden="1" x14ac:dyDescent="0.25">
      <c r="D374" s="11"/>
      <c r="E374" s="11"/>
      <c r="F374" s="11"/>
      <c r="G374" s="11"/>
      <c r="H374" s="11"/>
      <c r="I374" s="11"/>
      <c r="J374" s="11"/>
      <c r="K374" s="11"/>
      <c r="L374" s="11"/>
    </row>
    <row r="375" spans="4:12" hidden="1" x14ac:dyDescent="0.25">
      <c r="D375" s="11"/>
      <c r="E375" s="11"/>
      <c r="F375" s="11"/>
      <c r="G375" s="11"/>
      <c r="H375" s="11"/>
      <c r="I375" s="11"/>
      <c r="J375" s="11"/>
      <c r="K375" s="11"/>
      <c r="L375" s="11"/>
    </row>
    <row r="376" spans="4:12" hidden="1" x14ac:dyDescent="0.25">
      <c r="D376" s="11"/>
      <c r="E376" s="11"/>
      <c r="F376" s="11"/>
      <c r="G376" s="11"/>
      <c r="H376" s="11"/>
      <c r="I376" s="11"/>
      <c r="J376" s="11"/>
      <c r="K376" s="11"/>
      <c r="L376" s="11"/>
    </row>
    <row r="377" spans="4:12" hidden="1" x14ac:dyDescent="0.25">
      <c r="D377" s="11"/>
      <c r="E377" s="11"/>
      <c r="F377" s="11"/>
      <c r="G377" s="11"/>
      <c r="H377" s="11"/>
      <c r="I377" s="11"/>
      <c r="J377" s="11"/>
      <c r="K377" s="11"/>
      <c r="L377" s="11"/>
    </row>
    <row r="378" spans="4:12" hidden="1" x14ac:dyDescent="0.25">
      <c r="D378" s="11"/>
      <c r="E378" s="11"/>
      <c r="F378" s="11"/>
      <c r="G378" s="11"/>
      <c r="H378" s="11"/>
      <c r="I378" s="11"/>
      <c r="J378" s="11"/>
      <c r="K378" s="11"/>
      <c r="L378" s="11"/>
    </row>
    <row r="379" spans="4:12" hidden="1" x14ac:dyDescent="0.25">
      <c r="D379" s="11"/>
      <c r="E379" s="11"/>
      <c r="F379" s="11"/>
      <c r="G379" s="11"/>
      <c r="H379" s="11"/>
      <c r="I379" s="11"/>
      <c r="J379" s="11"/>
      <c r="K379" s="11"/>
      <c r="L379" s="11"/>
    </row>
    <row r="380" spans="4:12" hidden="1" x14ac:dyDescent="0.25">
      <c r="D380" s="11"/>
      <c r="E380" s="11"/>
      <c r="F380" s="11"/>
      <c r="G380" s="11"/>
      <c r="H380" s="11"/>
      <c r="I380" s="11"/>
      <c r="J380" s="11"/>
      <c r="K380" s="11"/>
      <c r="L380" s="11"/>
    </row>
    <row r="381" spans="4:12" hidden="1" x14ac:dyDescent="0.25">
      <c r="D381" s="11"/>
      <c r="E381" s="11"/>
      <c r="F381" s="11"/>
      <c r="G381" s="11"/>
      <c r="H381" s="11"/>
      <c r="I381" s="11"/>
      <c r="J381" s="11"/>
      <c r="K381" s="11"/>
      <c r="L381" s="11"/>
    </row>
    <row r="382" spans="4:12" hidden="1" x14ac:dyDescent="0.25">
      <c r="D382" s="11"/>
      <c r="E382" s="11"/>
      <c r="F382" s="11"/>
      <c r="G382" s="11"/>
      <c r="H382" s="11"/>
      <c r="I382" s="11"/>
      <c r="J382" s="11"/>
      <c r="K382" s="11"/>
      <c r="L382" s="11"/>
    </row>
    <row r="383" spans="4:12" hidden="1" x14ac:dyDescent="0.25">
      <c r="D383" s="11"/>
      <c r="E383" s="11"/>
      <c r="F383" s="11"/>
      <c r="G383" s="11"/>
      <c r="H383" s="11"/>
      <c r="I383" s="11"/>
      <c r="J383" s="11"/>
      <c r="K383" s="11"/>
      <c r="L383" s="11"/>
    </row>
    <row r="384" spans="4:12" hidden="1" x14ac:dyDescent="0.25">
      <c r="D384" s="11"/>
      <c r="E384" s="11"/>
      <c r="F384" s="11"/>
      <c r="G384" s="11"/>
      <c r="H384" s="11"/>
      <c r="I384" s="11"/>
      <c r="J384" s="11"/>
      <c r="K384" s="11"/>
      <c r="L384" s="11"/>
    </row>
    <row r="385" spans="4:12" hidden="1" x14ac:dyDescent="0.25">
      <c r="D385" s="11"/>
      <c r="E385" s="11"/>
      <c r="F385" s="11"/>
      <c r="G385" s="11"/>
      <c r="H385" s="11"/>
      <c r="I385" s="11"/>
      <c r="J385" s="11"/>
      <c r="K385" s="11"/>
      <c r="L385" s="11"/>
    </row>
    <row r="386" spans="4:12" hidden="1" x14ac:dyDescent="0.25">
      <c r="D386" s="11"/>
      <c r="E386" s="11"/>
      <c r="F386" s="11"/>
      <c r="G386" s="11"/>
      <c r="H386" s="11"/>
      <c r="I386" s="11"/>
      <c r="J386" s="11"/>
      <c r="K386" s="11"/>
      <c r="L386" s="11"/>
    </row>
    <row r="387" spans="4:12" hidden="1" x14ac:dyDescent="0.25">
      <c r="D387" s="11"/>
      <c r="E387" s="11"/>
      <c r="F387" s="11"/>
      <c r="G387" s="11"/>
      <c r="H387" s="11"/>
      <c r="I387" s="11"/>
      <c r="J387" s="11"/>
      <c r="K387" s="11"/>
      <c r="L387" s="11"/>
    </row>
    <row r="388" spans="4:12" hidden="1" x14ac:dyDescent="0.25">
      <c r="D388" s="11"/>
      <c r="E388" s="11"/>
      <c r="F388" s="11"/>
      <c r="G388" s="11"/>
      <c r="H388" s="11"/>
      <c r="I388" s="11"/>
      <c r="J388" s="11"/>
      <c r="K388" s="11"/>
      <c r="L388" s="11"/>
    </row>
    <row r="389" spans="4:12" hidden="1" x14ac:dyDescent="0.25">
      <c r="D389" s="11"/>
      <c r="E389" s="11"/>
      <c r="F389" s="11"/>
      <c r="G389" s="11"/>
      <c r="H389" s="11"/>
      <c r="I389" s="11"/>
      <c r="J389" s="11"/>
      <c r="K389" s="11"/>
      <c r="L389" s="11"/>
    </row>
    <row r="390" spans="4:12" hidden="1" x14ac:dyDescent="0.25">
      <c r="D390" s="11"/>
      <c r="E390" s="11"/>
      <c r="F390" s="11"/>
      <c r="G390" s="11"/>
      <c r="H390" s="11"/>
      <c r="I390" s="11"/>
      <c r="J390" s="11"/>
      <c r="K390" s="11"/>
      <c r="L390" s="11"/>
    </row>
    <row r="391" spans="4:12" hidden="1" x14ac:dyDescent="0.25">
      <c r="D391" s="11"/>
      <c r="E391" s="11"/>
      <c r="F391" s="11"/>
      <c r="G391" s="11"/>
      <c r="H391" s="11"/>
      <c r="I391" s="11"/>
      <c r="J391" s="11"/>
      <c r="K391" s="11"/>
      <c r="L391" s="11"/>
    </row>
    <row r="392" spans="4:12" hidden="1" x14ac:dyDescent="0.25">
      <c r="D392" s="11"/>
      <c r="E392" s="11"/>
      <c r="F392" s="11"/>
      <c r="G392" s="11"/>
      <c r="H392" s="11"/>
      <c r="I392" s="11"/>
      <c r="J392" s="11"/>
      <c r="K392" s="11"/>
      <c r="L392" s="11"/>
    </row>
    <row r="393" spans="4:12" hidden="1" x14ac:dyDescent="0.25">
      <c r="D393" s="11"/>
      <c r="E393" s="11"/>
      <c r="F393" s="11"/>
      <c r="G393" s="11"/>
      <c r="H393" s="11"/>
      <c r="I393" s="11"/>
      <c r="J393" s="11"/>
      <c r="K393" s="11"/>
      <c r="L393" s="11"/>
    </row>
    <row r="394" spans="4:12" hidden="1" x14ac:dyDescent="0.25">
      <c r="D394" s="11"/>
      <c r="E394" s="11"/>
      <c r="F394" s="11"/>
      <c r="G394" s="11"/>
      <c r="H394" s="11"/>
      <c r="I394" s="11"/>
      <c r="J394" s="11"/>
      <c r="K394" s="11"/>
      <c r="L394" s="11"/>
    </row>
    <row r="395" spans="4:12" hidden="1" x14ac:dyDescent="0.25">
      <c r="D395" s="11"/>
      <c r="E395" s="11"/>
      <c r="F395" s="11"/>
      <c r="G395" s="11"/>
      <c r="H395" s="11"/>
      <c r="I395" s="11"/>
      <c r="J395" s="11"/>
      <c r="K395" s="11"/>
      <c r="L395" s="11"/>
    </row>
    <row r="396" spans="4:12" hidden="1" x14ac:dyDescent="0.25">
      <c r="D396" s="11"/>
      <c r="E396" s="11"/>
      <c r="F396" s="11"/>
      <c r="G396" s="11"/>
      <c r="H396" s="11"/>
      <c r="I396" s="11"/>
      <c r="J396" s="11"/>
      <c r="K396" s="11"/>
      <c r="L396" s="11"/>
    </row>
    <row r="397" spans="4:12" hidden="1" x14ac:dyDescent="0.25">
      <c r="D397" s="11"/>
      <c r="E397" s="11"/>
      <c r="F397" s="11"/>
      <c r="G397" s="11"/>
      <c r="H397" s="11"/>
      <c r="I397" s="11"/>
      <c r="J397" s="11"/>
      <c r="K397" s="11"/>
      <c r="L397" s="11"/>
    </row>
    <row r="398" spans="4:12" hidden="1" x14ac:dyDescent="0.25">
      <c r="D398" s="11"/>
      <c r="E398" s="11"/>
      <c r="F398" s="11"/>
      <c r="G398" s="11"/>
      <c r="H398" s="11"/>
      <c r="I398" s="11"/>
      <c r="J398" s="11"/>
      <c r="K398" s="11"/>
      <c r="L398" s="11"/>
    </row>
    <row r="399" spans="4:12" hidden="1" x14ac:dyDescent="0.25">
      <c r="D399" s="11"/>
      <c r="E399" s="11"/>
      <c r="F399" s="11"/>
      <c r="G399" s="11"/>
      <c r="H399" s="11"/>
      <c r="I399" s="11"/>
      <c r="J399" s="11"/>
      <c r="K399" s="11"/>
      <c r="L399" s="11"/>
    </row>
    <row r="400" spans="4:12" hidden="1" x14ac:dyDescent="0.25">
      <c r="D400" s="11"/>
      <c r="E400" s="11"/>
      <c r="F400" s="11"/>
      <c r="G400" s="11"/>
      <c r="H400" s="11"/>
      <c r="I400" s="11"/>
      <c r="J400" s="11"/>
      <c r="K400" s="11"/>
      <c r="L400" s="11"/>
    </row>
    <row r="401" spans="4:12" hidden="1" x14ac:dyDescent="0.25">
      <c r="D401" s="11"/>
      <c r="E401" s="11"/>
      <c r="F401" s="11"/>
      <c r="G401" s="11"/>
      <c r="H401" s="11"/>
      <c r="I401" s="11"/>
      <c r="J401" s="11"/>
      <c r="K401" s="11"/>
      <c r="L401" s="11"/>
    </row>
    <row r="402" spans="4:12" hidden="1" x14ac:dyDescent="0.25">
      <c r="D402" s="11"/>
      <c r="E402" s="11"/>
      <c r="F402" s="11"/>
      <c r="G402" s="11"/>
      <c r="H402" s="11"/>
      <c r="I402" s="11"/>
      <c r="J402" s="11"/>
      <c r="K402" s="11"/>
      <c r="L402" s="11"/>
    </row>
    <row r="403" spans="4:12" hidden="1" x14ac:dyDescent="0.25">
      <c r="D403" s="11"/>
      <c r="E403" s="11"/>
      <c r="F403" s="11"/>
      <c r="G403" s="11"/>
      <c r="H403" s="11"/>
      <c r="I403" s="11"/>
      <c r="J403" s="11"/>
      <c r="K403" s="11"/>
      <c r="L403" s="11"/>
    </row>
    <row r="404" spans="4:12" hidden="1" x14ac:dyDescent="0.25">
      <c r="D404" s="11"/>
      <c r="E404" s="11"/>
      <c r="F404" s="11"/>
      <c r="G404" s="11"/>
      <c r="H404" s="11"/>
      <c r="I404" s="11"/>
      <c r="J404" s="11"/>
      <c r="K404" s="11"/>
      <c r="L404" s="11"/>
    </row>
    <row r="405" spans="4:12" hidden="1" x14ac:dyDescent="0.25">
      <c r="D405" s="11"/>
      <c r="E405" s="11"/>
      <c r="F405" s="11"/>
      <c r="G405" s="11"/>
      <c r="H405" s="11"/>
      <c r="I405" s="11"/>
      <c r="J405" s="11"/>
      <c r="K405" s="11"/>
      <c r="L405" s="11"/>
    </row>
    <row r="406" spans="4:12" hidden="1" x14ac:dyDescent="0.25">
      <c r="D406" s="11"/>
      <c r="E406" s="11"/>
      <c r="F406" s="11"/>
      <c r="G406" s="11"/>
      <c r="H406" s="11"/>
      <c r="I406" s="11"/>
      <c r="J406" s="11"/>
      <c r="K406" s="11"/>
      <c r="L406" s="11"/>
    </row>
    <row r="407" spans="4:12" hidden="1" x14ac:dyDescent="0.25">
      <c r="D407" s="11"/>
      <c r="E407" s="11"/>
      <c r="F407" s="11"/>
      <c r="G407" s="11"/>
      <c r="H407" s="11"/>
      <c r="I407" s="11"/>
      <c r="J407" s="11"/>
      <c r="K407" s="11"/>
      <c r="L407" s="11"/>
    </row>
    <row r="408" spans="4:12" hidden="1" x14ac:dyDescent="0.25">
      <c r="D408" s="11"/>
      <c r="E408" s="11"/>
      <c r="F408" s="11"/>
      <c r="G408" s="11"/>
      <c r="H408" s="11"/>
      <c r="I408" s="11"/>
      <c r="J408" s="11"/>
      <c r="K408" s="11"/>
      <c r="L408" s="11"/>
    </row>
    <row r="409" spans="4:12" hidden="1" x14ac:dyDescent="0.25">
      <c r="D409" s="11"/>
      <c r="E409" s="11"/>
      <c r="F409" s="11"/>
      <c r="G409" s="11"/>
      <c r="H409" s="11"/>
      <c r="I409" s="11"/>
      <c r="J409" s="11"/>
      <c r="K409" s="11"/>
      <c r="L409" s="11"/>
    </row>
    <row r="410" spans="4:12" hidden="1" x14ac:dyDescent="0.25">
      <c r="D410" s="11"/>
      <c r="E410" s="11"/>
      <c r="F410" s="11"/>
      <c r="G410" s="11"/>
      <c r="H410" s="11"/>
      <c r="I410" s="11"/>
      <c r="J410" s="11"/>
      <c r="K410" s="11"/>
      <c r="L410" s="11"/>
    </row>
    <row r="411" spans="4:12" hidden="1" x14ac:dyDescent="0.25">
      <c r="D411" s="11"/>
      <c r="E411" s="11"/>
      <c r="F411" s="11"/>
      <c r="G411" s="11"/>
      <c r="H411" s="11"/>
      <c r="I411" s="11"/>
      <c r="J411" s="11"/>
      <c r="K411" s="11"/>
      <c r="L411" s="11"/>
    </row>
    <row r="412" spans="4:12" hidden="1" x14ac:dyDescent="0.25">
      <c r="D412" s="11"/>
      <c r="E412" s="11"/>
      <c r="F412" s="11"/>
      <c r="G412" s="11"/>
      <c r="H412" s="11"/>
      <c r="I412" s="11"/>
      <c r="J412" s="11"/>
      <c r="K412" s="11"/>
      <c r="L412" s="11"/>
    </row>
    <row r="413" spans="4:12" hidden="1" x14ac:dyDescent="0.25">
      <c r="D413" s="11"/>
      <c r="E413" s="11"/>
      <c r="F413" s="11"/>
      <c r="G413" s="11"/>
      <c r="H413" s="11"/>
      <c r="I413" s="11"/>
      <c r="J413" s="11"/>
      <c r="K413" s="11"/>
      <c r="L413" s="11"/>
    </row>
    <row r="414" spans="4:12" hidden="1" x14ac:dyDescent="0.25">
      <c r="D414" s="11"/>
      <c r="E414" s="11"/>
      <c r="F414" s="11"/>
      <c r="G414" s="11"/>
      <c r="H414" s="11"/>
      <c r="I414" s="11"/>
      <c r="J414" s="11"/>
      <c r="K414" s="11"/>
      <c r="L414" s="11"/>
    </row>
    <row r="415" spans="4:12" hidden="1" x14ac:dyDescent="0.25">
      <c r="D415" s="11"/>
      <c r="E415" s="11"/>
      <c r="F415" s="11"/>
      <c r="G415" s="11"/>
      <c r="H415" s="11"/>
      <c r="I415" s="11"/>
      <c r="J415" s="11"/>
      <c r="K415" s="11"/>
      <c r="L415" s="11"/>
    </row>
    <row r="416" spans="4:12" hidden="1" x14ac:dyDescent="0.25">
      <c r="D416" s="11"/>
      <c r="E416" s="11"/>
      <c r="F416" s="11"/>
      <c r="G416" s="11"/>
      <c r="H416" s="11"/>
      <c r="I416" s="11"/>
      <c r="J416" s="11"/>
      <c r="K416" s="11"/>
      <c r="L416" s="11"/>
    </row>
    <row r="417" spans="4:12" hidden="1" x14ac:dyDescent="0.25">
      <c r="D417" s="11"/>
      <c r="E417" s="11"/>
      <c r="F417" s="11"/>
      <c r="G417" s="11"/>
      <c r="H417" s="11"/>
      <c r="I417" s="11"/>
      <c r="J417" s="11"/>
      <c r="K417" s="11"/>
      <c r="L417" s="11"/>
    </row>
    <row r="418" spans="4:12" hidden="1" x14ac:dyDescent="0.25">
      <c r="D418" s="11"/>
      <c r="E418" s="11"/>
      <c r="F418" s="11"/>
      <c r="G418" s="11"/>
      <c r="H418" s="11"/>
      <c r="I418" s="11"/>
      <c r="J418" s="11"/>
      <c r="K418" s="11"/>
      <c r="L418" s="11"/>
    </row>
    <row r="419" spans="4:12" hidden="1" x14ac:dyDescent="0.25">
      <c r="D419" s="11"/>
      <c r="E419" s="11"/>
      <c r="F419" s="11"/>
      <c r="G419" s="11"/>
      <c r="H419" s="11"/>
      <c r="I419" s="11"/>
      <c r="J419" s="11"/>
      <c r="K419" s="11"/>
      <c r="L419" s="11"/>
    </row>
    <row r="420" spans="4:12" hidden="1" x14ac:dyDescent="0.25">
      <c r="D420" s="11"/>
      <c r="E420" s="11"/>
      <c r="F420" s="11"/>
      <c r="G420" s="11"/>
      <c r="H420" s="11"/>
      <c r="I420" s="11"/>
      <c r="J420" s="11"/>
      <c r="K420" s="11"/>
      <c r="L420" s="11"/>
    </row>
    <row r="421" spans="4:12" hidden="1" x14ac:dyDescent="0.25">
      <c r="D421" s="11"/>
      <c r="E421" s="11"/>
      <c r="F421" s="11"/>
      <c r="G421" s="11"/>
      <c r="H421" s="11"/>
      <c r="I421" s="11"/>
      <c r="J421" s="11"/>
      <c r="K421" s="11"/>
      <c r="L421" s="11"/>
    </row>
    <row r="422" spans="4:12" hidden="1" x14ac:dyDescent="0.25">
      <c r="D422" s="11"/>
      <c r="E422" s="11"/>
      <c r="F422" s="11"/>
      <c r="G422" s="11"/>
      <c r="H422" s="11"/>
      <c r="I422" s="11"/>
      <c r="J422" s="11"/>
      <c r="K422" s="11"/>
      <c r="L422" s="11"/>
    </row>
    <row r="423" spans="4:12" hidden="1" x14ac:dyDescent="0.25">
      <c r="D423" s="11"/>
      <c r="E423" s="11"/>
      <c r="F423" s="11"/>
      <c r="G423" s="11"/>
      <c r="H423" s="11"/>
      <c r="I423" s="11"/>
      <c r="J423" s="11"/>
      <c r="K423" s="11"/>
      <c r="L423" s="11"/>
    </row>
    <row r="424" spans="4:12" hidden="1" x14ac:dyDescent="0.25">
      <c r="D424" s="11"/>
      <c r="E424" s="11"/>
      <c r="F424" s="11"/>
      <c r="G424" s="11"/>
      <c r="H424" s="11"/>
      <c r="I424" s="11"/>
      <c r="J424" s="11"/>
      <c r="K424" s="11"/>
      <c r="L424" s="11"/>
    </row>
    <row r="425" spans="4:12" hidden="1" x14ac:dyDescent="0.25">
      <c r="D425" s="11"/>
      <c r="E425" s="11"/>
      <c r="F425" s="11"/>
      <c r="G425" s="11"/>
      <c r="H425" s="11"/>
      <c r="I425" s="11"/>
      <c r="J425" s="11"/>
      <c r="K425" s="11"/>
      <c r="L425" s="11"/>
    </row>
    <row r="426" spans="4:12" hidden="1" x14ac:dyDescent="0.25">
      <c r="D426" s="11"/>
      <c r="E426" s="11"/>
      <c r="F426" s="11"/>
      <c r="G426" s="11"/>
      <c r="H426" s="11"/>
      <c r="I426" s="11"/>
      <c r="J426" s="11"/>
      <c r="K426" s="11"/>
      <c r="L426" s="11"/>
    </row>
    <row r="427" spans="4:12" hidden="1" x14ac:dyDescent="0.25">
      <c r="D427" s="11"/>
      <c r="E427" s="11"/>
      <c r="F427" s="11"/>
      <c r="G427" s="11"/>
      <c r="H427" s="11"/>
      <c r="I427" s="11"/>
      <c r="J427" s="11"/>
      <c r="K427" s="11"/>
      <c r="L427" s="11"/>
    </row>
    <row r="428" spans="4:12" hidden="1" x14ac:dyDescent="0.25">
      <c r="D428" s="11"/>
      <c r="E428" s="11"/>
      <c r="F428" s="11"/>
      <c r="G428" s="11"/>
      <c r="H428" s="11"/>
      <c r="I428" s="11"/>
      <c r="J428" s="11"/>
      <c r="K428" s="11"/>
      <c r="L428" s="11"/>
    </row>
    <row r="429" spans="4:12" hidden="1" x14ac:dyDescent="0.25">
      <c r="D429" s="11"/>
      <c r="E429" s="11"/>
      <c r="F429" s="11"/>
      <c r="G429" s="11"/>
      <c r="H429" s="11"/>
      <c r="I429" s="11"/>
      <c r="J429" s="11"/>
      <c r="K429" s="11"/>
      <c r="L429" s="11"/>
    </row>
    <row r="430" spans="4:12" hidden="1" x14ac:dyDescent="0.25">
      <c r="D430" s="11"/>
      <c r="E430" s="11"/>
      <c r="F430" s="11"/>
      <c r="G430" s="11"/>
      <c r="H430" s="11"/>
      <c r="I430" s="11"/>
      <c r="J430" s="11"/>
      <c r="K430" s="11"/>
      <c r="L430" s="11"/>
    </row>
    <row r="431" spans="4:12" hidden="1" x14ac:dyDescent="0.25">
      <c r="D431" s="11"/>
      <c r="E431" s="11"/>
      <c r="F431" s="11"/>
      <c r="G431" s="11"/>
      <c r="H431" s="11"/>
      <c r="I431" s="11"/>
      <c r="J431" s="11"/>
      <c r="K431" s="11"/>
      <c r="L431" s="11"/>
    </row>
    <row r="432" spans="4:12" hidden="1" x14ac:dyDescent="0.25">
      <c r="D432" s="11"/>
      <c r="E432" s="11"/>
      <c r="F432" s="11"/>
      <c r="G432" s="11"/>
      <c r="H432" s="11"/>
      <c r="I432" s="11"/>
      <c r="J432" s="11"/>
      <c r="K432" s="11"/>
      <c r="L432" s="11"/>
    </row>
    <row r="433" spans="4:12" hidden="1" x14ac:dyDescent="0.25">
      <c r="D433" s="11"/>
      <c r="E433" s="11"/>
      <c r="F433" s="11"/>
      <c r="G433" s="11"/>
      <c r="H433" s="11"/>
      <c r="I433" s="11"/>
      <c r="J433" s="11"/>
      <c r="K433" s="11"/>
      <c r="L433" s="11"/>
    </row>
    <row r="434" spans="4:12" hidden="1" x14ac:dyDescent="0.25">
      <c r="D434" s="11"/>
      <c r="E434" s="11"/>
      <c r="F434" s="11"/>
      <c r="G434" s="11"/>
      <c r="H434" s="11"/>
      <c r="I434" s="11"/>
      <c r="J434" s="11"/>
      <c r="K434" s="11"/>
      <c r="L434" s="11"/>
    </row>
    <row r="435" spans="4:12" hidden="1" x14ac:dyDescent="0.25">
      <c r="D435" s="11"/>
      <c r="E435" s="11"/>
      <c r="F435" s="11"/>
      <c r="G435" s="11"/>
      <c r="H435" s="11"/>
      <c r="I435" s="11"/>
      <c r="J435" s="11"/>
      <c r="K435" s="11"/>
      <c r="L435" s="11"/>
    </row>
    <row r="436" spans="4:12" hidden="1" x14ac:dyDescent="0.25">
      <c r="D436" s="11"/>
      <c r="E436" s="11"/>
      <c r="F436" s="11"/>
      <c r="G436" s="11"/>
      <c r="H436" s="11"/>
      <c r="I436" s="11"/>
      <c r="J436" s="11"/>
      <c r="K436" s="11"/>
      <c r="L436" s="11"/>
    </row>
    <row r="437" spans="4:12" hidden="1" x14ac:dyDescent="0.25">
      <c r="D437" s="11"/>
      <c r="E437" s="11"/>
      <c r="F437" s="11"/>
      <c r="G437" s="11"/>
      <c r="H437" s="11"/>
      <c r="I437" s="11"/>
      <c r="J437" s="11"/>
      <c r="K437" s="11"/>
      <c r="L437" s="11"/>
    </row>
    <row r="438" spans="4:12" hidden="1" x14ac:dyDescent="0.25">
      <c r="D438" s="11"/>
      <c r="E438" s="11"/>
      <c r="F438" s="11"/>
      <c r="G438" s="11"/>
      <c r="H438" s="11"/>
      <c r="I438" s="11"/>
      <c r="J438" s="11"/>
      <c r="K438" s="11"/>
      <c r="L438" s="11"/>
    </row>
    <row r="439" spans="4:12" hidden="1" x14ac:dyDescent="0.25">
      <c r="D439" s="11"/>
      <c r="E439" s="11"/>
      <c r="F439" s="11"/>
      <c r="G439" s="11"/>
      <c r="H439" s="11"/>
      <c r="I439" s="11"/>
      <c r="J439" s="11"/>
      <c r="K439" s="11"/>
      <c r="L439" s="11"/>
    </row>
    <row r="440" spans="4:12" hidden="1" x14ac:dyDescent="0.25">
      <c r="D440" s="11"/>
      <c r="E440" s="11"/>
      <c r="F440" s="11"/>
      <c r="G440" s="11"/>
      <c r="H440" s="11"/>
      <c r="I440" s="11"/>
      <c r="J440" s="11"/>
      <c r="K440" s="11"/>
      <c r="L440" s="11"/>
    </row>
    <row r="441" spans="4:12" hidden="1" x14ac:dyDescent="0.25">
      <c r="D441" s="11"/>
      <c r="E441" s="11"/>
      <c r="F441" s="11"/>
      <c r="G441" s="11"/>
      <c r="H441" s="11"/>
      <c r="I441" s="11"/>
      <c r="J441" s="11"/>
      <c r="K441" s="11"/>
      <c r="L441" s="11"/>
    </row>
    <row r="442" spans="4:12" hidden="1" x14ac:dyDescent="0.25">
      <c r="D442" s="11"/>
      <c r="E442" s="11"/>
      <c r="F442" s="11"/>
      <c r="G442" s="11"/>
      <c r="H442" s="11"/>
      <c r="I442" s="11"/>
      <c r="J442" s="11"/>
      <c r="K442" s="11"/>
      <c r="L442" s="11"/>
    </row>
    <row r="443" spans="4:12" hidden="1" x14ac:dyDescent="0.25">
      <c r="D443" s="11"/>
      <c r="E443" s="11"/>
      <c r="F443" s="11"/>
      <c r="G443" s="11"/>
      <c r="H443" s="11"/>
      <c r="I443" s="11"/>
      <c r="J443" s="11"/>
      <c r="K443" s="11"/>
      <c r="L443" s="11"/>
    </row>
    <row r="444" spans="4:12" hidden="1" x14ac:dyDescent="0.25">
      <c r="D444" s="11"/>
      <c r="E444" s="11"/>
      <c r="F444" s="11"/>
      <c r="G444" s="11"/>
      <c r="H444" s="11"/>
      <c r="I444" s="11"/>
      <c r="J444" s="11"/>
      <c r="K444" s="11"/>
      <c r="L444" s="11"/>
    </row>
    <row r="445" spans="4:12" hidden="1" x14ac:dyDescent="0.25">
      <c r="D445" s="11"/>
      <c r="E445" s="11"/>
      <c r="F445" s="11"/>
      <c r="G445" s="11"/>
      <c r="H445" s="11"/>
      <c r="I445" s="11"/>
      <c r="J445" s="11"/>
      <c r="K445" s="11"/>
      <c r="L445" s="11"/>
    </row>
    <row r="446" spans="4:12" hidden="1" x14ac:dyDescent="0.25">
      <c r="D446" s="11"/>
      <c r="E446" s="11"/>
      <c r="F446" s="11"/>
      <c r="G446" s="11"/>
      <c r="H446" s="11"/>
      <c r="I446" s="11"/>
      <c r="J446" s="11"/>
      <c r="K446" s="11"/>
      <c r="L446" s="11"/>
    </row>
    <row r="447" spans="4:12" hidden="1" x14ac:dyDescent="0.25">
      <c r="D447" s="11"/>
      <c r="E447" s="11"/>
      <c r="F447" s="11"/>
      <c r="G447" s="11"/>
      <c r="H447" s="11"/>
      <c r="I447" s="11"/>
      <c r="J447" s="11"/>
      <c r="K447" s="11"/>
      <c r="L447" s="11"/>
    </row>
    <row r="448" spans="4:12" hidden="1" x14ac:dyDescent="0.25">
      <c r="D448" s="11"/>
      <c r="E448" s="11"/>
      <c r="F448" s="11"/>
      <c r="G448" s="11"/>
      <c r="H448" s="11"/>
      <c r="I448" s="11"/>
      <c r="J448" s="11"/>
      <c r="K448" s="11"/>
      <c r="L448" s="11"/>
    </row>
    <row r="449" spans="4:12" hidden="1" x14ac:dyDescent="0.25">
      <c r="D449" s="11"/>
      <c r="E449" s="11"/>
      <c r="F449" s="11"/>
      <c r="G449" s="11"/>
      <c r="H449" s="11"/>
      <c r="I449" s="11"/>
      <c r="J449" s="11"/>
      <c r="K449" s="11"/>
      <c r="L449" s="11"/>
    </row>
    <row r="450" spans="4:12" hidden="1" x14ac:dyDescent="0.25">
      <c r="D450" s="11"/>
      <c r="E450" s="11"/>
      <c r="F450" s="11"/>
      <c r="G450" s="11"/>
      <c r="H450" s="11"/>
      <c r="I450" s="11"/>
      <c r="J450" s="11"/>
      <c r="K450" s="11"/>
      <c r="L450" s="11"/>
    </row>
    <row r="451" spans="4:12" hidden="1" x14ac:dyDescent="0.25">
      <c r="D451" s="11"/>
      <c r="E451" s="11"/>
      <c r="F451" s="11"/>
      <c r="G451" s="11"/>
      <c r="H451" s="11"/>
      <c r="I451" s="11"/>
      <c r="J451" s="11"/>
      <c r="K451" s="11"/>
      <c r="L451" s="11"/>
    </row>
    <row r="452" spans="4:12" hidden="1" x14ac:dyDescent="0.25">
      <c r="D452" s="11"/>
      <c r="E452" s="11"/>
      <c r="F452" s="11"/>
      <c r="G452" s="11"/>
      <c r="H452" s="11"/>
      <c r="I452" s="11"/>
      <c r="J452" s="11"/>
      <c r="K452" s="11"/>
      <c r="L452" s="11"/>
    </row>
    <row r="453" spans="4:12" hidden="1" x14ac:dyDescent="0.25">
      <c r="D453" s="11"/>
      <c r="E453" s="11"/>
      <c r="F453" s="11"/>
      <c r="G453" s="11"/>
      <c r="H453" s="11"/>
      <c r="I453" s="11"/>
      <c r="J453" s="11"/>
      <c r="K453" s="11"/>
      <c r="L453" s="11"/>
    </row>
    <row r="454" spans="4:12" hidden="1" x14ac:dyDescent="0.25">
      <c r="D454" s="11"/>
      <c r="E454" s="11"/>
      <c r="F454" s="11"/>
      <c r="G454" s="11"/>
      <c r="H454" s="11"/>
      <c r="I454" s="11"/>
      <c r="J454" s="11"/>
      <c r="K454" s="11"/>
      <c r="L454" s="11"/>
    </row>
    <row r="455" spans="4:12" hidden="1" x14ac:dyDescent="0.25">
      <c r="D455" s="11"/>
      <c r="E455" s="11"/>
      <c r="F455" s="11"/>
      <c r="G455" s="11"/>
      <c r="H455" s="11"/>
      <c r="I455" s="11"/>
      <c r="J455" s="11"/>
      <c r="K455" s="11"/>
      <c r="L455" s="11"/>
    </row>
    <row r="456" spans="4:12" hidden="1" x14ac:dyDescent="0.25">
      <c r="D456" s="11"/>
      <c r="E456" s="11"/>
      <c r="F456" s="11"/>
      <c r="G456" s="11"/>
      <c r="H456" s="11"/>
      <c r="I456" s="11"/>
      <c r="J456" s="11"/>
      <c r="K456" s="11"/>
      <c r="L456" s="11"/>
    </row>
    <row r="457" spans="4:12" hidden="1" x14ac:dyDescent="0.25">
      <c r="D457" s="11"/>
      <c r="E457" s="11"/>
      <c r="F457" s="11"/>
      <c r="G457" s="11"/>
      <c r="H457" s="11"/>
      <c r="I457" s="11"/>
      <c r="J457" s="11"/>
      <c r="K457" s="11"/>
      <c r="L457" s="11"/>
    </row>
    <row r="458" spans="4:12" hidden="1" x14ac:dyDescent="0.25">
      <c r="D458" s="11"/>
      <c r="E458" s="11"/>
      <c r="F458" s="11"/>
      <c r="G458" s="11"/>
      <c r="H458" s="11"/>
      <c r="I458" s="11"/>
      <c r="J458" s="11"/>
      <c r="K458" s="11"/>
      <c r="L458" s="11"/>
    </row>
    <row r="459" spans="4:12" hidden="1" x14ac:dyDescent="0.25">
      <c r="D459" s="11"/>
      <c r="E459" s="11"/>
      <c r="F459" s="11"/>
      <c r="G459" s="11"/>
      <c r="H459" s="11"/>
      <c r="I459" s="11"/>
      <c r="J459" s="11"/>
      <c r="K459" s="11"/>
      <c r="L459" s="11"/>
    </row>
    <row r="460" spans="4:12" hidden="1" x14ac:dyDescent="0.25">
      <c r="D460" s="11"/>
      <c r="E460" s="11"/>
      <c r="F460" s="11"/>
      <c r="G460" s="11"/>
      <c r="H460" s="11"/>
      <c r="I460" s="11"/>
      <c r="J460" s="11"/>
      <c r="K460" s="11"/>
      <c r="L460" s="11"/>
    </row>
    <row r="461" spans="4:12" hidden="1" x14ac:dyDescent="0.25">
      <c r="D461" s="11"/>
      <c r="E461" s="11"/>
      <c r="F461" s="11"/>
      <c r="G461" s="11"/>
      <c r="H461" s="11"/>
      <c r="I461" s="11"/>
      <c r="J461" s="11"/>
      <c r="K461" s="11"/>
      <c r="L461" s="11"/>
    </row>
    <row r="462" spans="4:12" hidden="1" x14ac:dyDescent="0.25">
      <c r="D462" s="11"/>
      <c r="E462" s="11"/>
      <c r="F462" s="11"/>
      <c r="G462" s="11"/>
      <c r="H462" s="11"/>
      <c r="I462" s="11"/>
      <c r="J462" s="11"/>
      <c r="K462" s="11"/>
      <c r="L462" s="11"/>
    </row>
    <row r="463" spans="4:12" hidden="1" x14ac:dyDescent="0.25">
      <c r="D463" s="11"/>
      <c r="E463" s="11"/>
      <c r="F463" s="11"/>
      <c r="G463" s="11"/>
      <c r="H463" s="11"/>
      <c r="I463" s="11"/>
      <c r="J463" s="11"/>
      <c r="K463" s="11"/>
      <c r="L463" s="11"/>
    </row>
    <row r="464" spans="4:12" hidden="1" x14ac:dyDescent="0.25">
      <c r="D464" s="11"/>
      <c r="E464" s="11"/>
      <c r="F464" s="11"/>
      <c r="G464" s="11"/>
      <c r="H464" s="11"/>
      <c r="I464" s="11"/>
      <c r="J464" s="11"/>
      <c r="K464" s="11"/>
      <c r="L464" s="11"/>
    </row>
    <row r="465" spans="4:12" hidden="1" x14ac:dyDescent="0.25">
      <c r="D465" s="11"/>
      <c r="E465" s="11"/>
      <c r="F465" s="11"/>
      <c r="G465" s="11"/>
      <c r="H465" s="11"/>
      <c r="I465" s="11"/>
      <c r="J465" s="11"/>
      <c r="K465" s="11"/>
      <c r="L465" s="11"/>
    </row>
    <row r="466" spans="4:12" hidden="1" x14ac:dyDescent="0.25">
      <c r="D466" s="11"/>
      <c r="E466" s="11"/>
      <c r="F466" s="11"/>
      <c r="G466" s="11"/>
      <c r="H466" s="11"/>
      <c r="I466" s="11"/>
      <c r="J466" s="11"/>
      <c r="K466" s="11"/>
      <c r="L466" s="11"/>
    </row>
    <row r="467" spans="4:12" hidden="1" x14ac:dyDescent="0.25">
      <c r="D467" s="11"/>
      <c r="E467" s="11"/>
      <c r="F467" s="11"/>
      <c r="G467" s="11"/>
      <c r="H467" s="11"/>
      <c r="I467" s="11"/>
      <c r="J467" s="11"/>
      <c r="K467" s="11"/>
      <c r="L467" s="11"/>
    </row>
    <row r="468" spans="4:12" hidden="1" x14ac:dyDescent="0.25">
      <c r="D468" s="11"/>
      <c r="E468" s="11"/>
      <c r="F468" s="11"/>
      <c r="G468" s="11"/>
      <c r="H468" s="11"/>
      <c r="I468" s="11"/>
      <c r="J468" s="11"/>
      <c r="K468" s="11"/>
      <c r="L468" s="11"/>
    </row>
    <row r="469" spans="4:12" hidden="1" x14ac:dyDescent="0.25">
      <c r="D469" s="11"/>
      <c r="E469" s="11"/>
      <c r="F469" s="11"/>
      <c r="G469" s="11"/>
      <c r="H469" s="11"/>
      <c r="I469" s="11"/>
      <c r="J469" s="11"/>
      <c r="K469" s="11"/>
      <c r="L469" s="11"/>
    </row>
    <row r="470" spans="4:12" hidden="1" x14ac:dyDescent="0.25">
      <c r="D470" s="11"/>
      <c r="E470" s="11"/>
      <c r="F470" s="11"/>
      <c r="G470" s="11"/>
      <c r="H470" s="11"/>
      <c r="I470" s="11"/>
      <c r="J470" s="11"/>
      <c r="K470" s="11"/>
      <c r="L470" s="11"/>
    </row>
    <row r="471" spans="4:12" hidden="1" x14ac:dyDescent="0.25">
      <c r="D471" s="11"/>
      <c r="E471" s="11"/>
      <c r="F471" s="11"/>
      <c r="G471" s="11"/>
      <c r="H471" s="11"/>
      <c r="I471" s="11"/>
      <c r="J471" s="11"/>
      <c r="K471" s="11"/>
      <c r="L471" s="11"/>
    </row>
    <row r="472" spans="4:12" hidden="1" x14ac:dyDescent="0.25">
      <c r="D472" s="11"/>
      <c r="E472" s="11"/>
      <c r="F472" s="11"/>
      <c r="G472" s="11"/>
      <c r="H472" s="11"/>
      <c r="I472" s="11"/>
      <c r="J472" s="11"/>
      <c r="K472" s="11"/>
      <c r="L472" s="11"/>
    </row>
    <row r="473" spans="4:12" hidden="1" x14ac:dyDescent="0.25">
      <c r="D473" s="11"/>
      <c r="E473" s="11"/>
      <c r="F473" s="11"/>
      <c r="G473" s="11"/>
      <c r="H473" s="11"/>
      <c r="I473" s="11"/>
      <c r="J473" s="11"/>
      <c r="K473" s="11"/>
      <c r="L473" s="11"/>
    </row>
    <row r="474" spans="4:12" hidden="1" x14ac:dyDescent="0.25">
      <c r="D474" s="11"/>
      <c r="E474" s="11"/>
      <c r="F474" s="11"/>
      <c r="G474" s="11"/>
      <c r="H474" s="11"/>
      <c r="I474" s="11"/>
      <c r="J474" s="11"/>
      <c r="K474" s="11"/>
      <c r="L474" s="11"/>
    </row>
    <row r="475" spans="4:12" hidden="1" x14ac:dyDescent="0.25">
      <c r="D475" s="11"/>
      <c r="E475" s="11"/>
      <c r="F475" s="11"/>
      <c r="G475" s="11"/>
      <c r="H475" s="11"/>
      <c r="I475" s="11"/>
      <c r="J475" s="11"/>
      <c r="K475" s="11"/>
      <c r="L475" s="11"/>
    </row>
    <row r="476" spans="4:12" hidden="1" x14ac:dyDescent="0.25">
      <c r="D476" s="11"/>
      <c r="E476" s="11"/>
      <c r="F476" s="11"/>
      <c r="G476" s="11"/>
      <c r="H476" s="11"/>
      <c r="I476" s="11"/>
      <c r="J476" s="11"/>
      <c r="K476" s="11"/>
      <c r="L476" s="11"/>
    </row>
    <row r="477" spans="4:12" hidden="1" x14ac:dyDescent="0.25">
      <c r="D477" s="11"/>
      <c r="E477" s="11"/>
      <c r="F477" s="11"/>
      <c r="G477" s="11"/>
      <c r="H477" s="11"/>
      <c r="I477" s="11"/>
      <c r="J477" s="11"/>
      <c r="K477" s="11"/>
      <c r="L477" s="11"/>
    </row>
    <row r="478" spans="4:12" hidden="1" x14ac:dyDescent="0.25">
      <c r="D478" s="11"/>
      <c r="E478" s="11"/>
      <c r="F478" s="11"/>
      <c r="G478" s="11"/>
      <c r="H478" s="11"/>
      <c r="I478" s="11"/>
      <c r="J478" s="11"/>
      <c r="K478" s="11"/>
      <c r="L478" s="11"/>
    </row>
    <row r="479" spans="4:12" hidden="1" x14ac:dyDescent="0.25">
      <c r="D479" s="11"/>
      <c r="E479" s="11"/>
      <c r="F479" s="11"/>
      <c r="G479" s="11"/>
      <c r="H479" s="11"/>
      <c r="I479" s="11"/>
      <c r="J479" s="11"/>
      <c r="K479" s="11"/>
      <c r="L479" s="11"/>
    </row>
    <row r="480" spans="4:12" hidden="1" x14ac:dyDescent="0.25">
      <c r="D480" s="11"/>
      <c r="E480" s="11"/>
      <c r="F480" s="11"/>
      <c r="G480" s="11"/>
      <c r="H480" s="11"/>
      <c r="I480" s="11"/>
      <c r="J480" s="11"/>
      <c r="K480" s="11"/>
      <c r="L480" s="11"/>
    </row>
    <row r="481" spans="4:12" hidden="1" x14ac:dyDescent="0.25">
      <c r="D481" s="11"/>
      <c r="E481" s="11"/>
      <c r="F481" s="11"/>
      <c r="G481" s="11"/>
      <c r="H481" s="11"/>
      <c r="I481" s="11"/>
      <c r="J481" s="11"/>
      <c r="K481" s="11"/>
      <c r="L481" s="11"/>
    </row>
    <row r="482" spans="4:12" hidden="1" x14ac:dyDescent="0.25">
      <c r="D482" s="11"/>
      <c r="E482" s="11"/>
      <c r="F482" s="11"/>
      <c r="G482" s="11"/>
      <c r="H482" s="11"/>
      <c r="I482" s="11"/>
      <c r="J482" s="11"/>
      <c r="K482" s="11"/>
      <c r="L482" s="11"/>
    </row>
    <row r="483" spans="4:12" hidden="1" x14ac:dyDescent="0.25">
      <c r="D483" s="11"/>
      <c r="E483" s="11"/>
      <c r="F483" s="11"/>
      <c r="G483" s="11"/>
      <c r="H483" s="11"/>
      <c r="I483" s="11"/>
      <c r="J483" s="11"/>
      <c r="K483" s="11"/>
      <c r="L483" s="11"/>
    </row>
    <row r="484" spans="4:12" hidden="1" x14ac:dyDescent="0.25">
      <c r="D484" s="11"/>
      <c r="E484" s="11"/>
      <c r="F484" s="11"/>
      <c r="G484" s="11"/>
      <c r="H484" s="11"/>
      <c r="I484" s="11"/>
      <c r="J484" s="11"/>
      <c r="K484" s="11"/>
      <c r="L484" s="11"/>
    </row>
    <row r="485" spans="4:12" hidden="1" x14ac:dyDescent="0.25">
      <c r="D485" s="11"/>
      <c r="E485" s="11"/>
      <c r="F485" s="11"/>
      <c r="G485" s="11"/>
      <c r="H485" s="11"/>
      <c r="I485" s="11"/>
      <c r="J485" s="11"/>
      <c r="K485" s="11"/>
      <c r="L485" s="11"/>
    </row>
    <row r="486" spans="4:12" hidden="1" x14ac:dyDescent="0.25">
      <c r="D486" s="11"/>
      <c r="E486" s="11"/>
      <c r="F486" s="11"/>
      <c r="G486" s="11"/>
      <c r="H486" s="11"/>
      <c r="I486" s="11"/>
      <c r="J486" s="11"/>
      <c r="K486" s="11"/>
      <c r="L486" s="11"/>
    </row>
    <row r="487" spans="4:12" hidden="1" x14ac:dyDescent="0.25">
      <c r="D487" s="11"/>
      <c r="E487" s="11"/>
      <c r="F487" s="11"/>
      <c r="G487" s="11"/>
      <c r="H487" s="11"/>
      <c r="I487" s="11"/>
      <c r="J487" s="11"/>
      <c r="K487" s="11"/>
      <c r="L487" s="11"/>
    </row>
    <row r="488" spans="4:12" hidden="1" x14ac:dyDescent="0.25">
      <c r="D488" s="11"/>
      <c r="E488" s="11"/>
      <c r="F488" s="11"/>
      <c r="G488" s="11"/>
      <c r="H488" s="11"/>
      <c r="I488" s="11"/>
      <c r="J488" s="11"/>
      <c r="K488" s="11"/>
      <c r="L488" s="11"/>
    </row>
    <row r="489" spans="4:12" hidden="1" x14ac:dyDescent="0.25">
      <c r="D489" s="11"/>
      <c r="E489" s="11"/>
      <c r="F489" s="11"/>
      <c r="G489" s="11"/>
      <c r="H489" s="11"/>
      <c r="I489" s="11"/>
      <c r="J489" s="11"/>
      <c r="K489" s="11"/>
      <c r="L489" s="11"/>
    </row>
    <row r="490" spans="4:12" hidden="1" x14ac:dyDescent="0.25">
      <c r="D490" s="11"/>
      <c r="E490" s="11"/>
      <c r="F490" s="11"/>
      <c r="G490" s="11"/>
      <c r="H490" s="11"/>
      <c r="I490" s="11"/>
      <c r="J490" s="11"/>
      <c r="K490" s="11"/>
      <c r="L490" s="11"/>
    </row>
    <row r="491" spans="4:12" hidden="1" x14ac:dyDescent="0.25">
      <c r="D491" s="11"/>
      <c r="E491" s="11"/>
      <c r="F491" s="11"/>
      <c r="G491" s="11"/>
      <c r="H491" s="11"/>
      <c r="I491" s="11"/>
      <c r="J491" s="11"/>
      <c r="K491" s="11"/>
      <c r="L491" s="11"/>
    </row>
    <row r="492" spans="4:12" hidden="1" x14ac:dyDescent="0.25">
      <c r="D492" s="11"/>
      <c r="E492" s="11"/>
      <c r="F492" s="11"/>
      <c r="G492" s="11"/>
      <c r="H492" s="11"/>
      <c r="I492" s="11"/>
      <c r="J492" s="11"/>
      <c r="K492" s="11"/>
      <c r="L492" s="11"/>
    </row>
    <row r="493" spans="4:12" hidden="1" x14ac:dyDescent="0.25">
      <c r="D493" s="11"/>
      <c r="E493" s="11"/>
      <c r="F493" s="11"/>
      <c r="G493" s="11"/>
      <c r="H493" s="11"/>
      <c r="I493" s="11"/>
      <c r="J493" s="11"/>
      <c r="K493" s="11"/>
      <c r="L493" s="11"/>
    </row>
    <row r="494" spans="4:12" hidden="1" x14ac:dyDescent="0.25">
      <c r="D494" s="11"/>
      <c r="E494" s="11"/>
      <c r="F494" s="11"/>
      <c r="G494" s="11"/>
      <c r="H494" s="11"/>
      <c r="I494" s="11"/>
      <c r="J494" s="11"/>
      <c r="K494" s="11"/>
      <c r="L494" s="11"/>
    </row>
    <row r="495" spans="4:12" hidden="1" x14ac:dyDescent="0.25">
      <c r="D495" s="11"/>
      <c r="E495" s="11"/>
      <c r="F495" s="11"/>
      <c r="G495" s="11"/>
      <c r="H495" s="11"/>
      <c r="I495" s="11"/>
      <c r="J495" s="11"/>
      <c r="K495" s="11"/>
      <c r="L495" s="11"/>
    </row>
    <row r="496" spans="4:12" hidden="1" x14ac:dyDescent="0.25">
      <c r="D496" s="11"/>
      <c r="E496" s="11"/>
      <c r="F496" s="11"/>
      <c r="G496" s="11"/>
      <c r="H496" s="11"/>
      <c r="I496" s="11"/>
      <c r="J496" s="11"/>
      <c r="K496" s="11"/>
      <c r="L496" s="11"/>
    </row>
    <row r="497" spans="4:12" hidden="1" x14ac:dyDescent="0.25">
      <c r="D497" s="11"/>
      <c r="E497" s="11"/>
      <c r="F497" s="11"/>
      <c r="G497" s="11"/>
      <c r="H497" s="11"/>
      <c r="I497" s="11"/>
      <c r="J497" s="11"/>
      <c r="K497" s="11"/>
      <c r="L497" s="11"/>
    </row>
    <row r="498" spans="4:12" hidden="1" x14ac:dyDescent="0.25">
      <c r="D498" s="11"/>
      <c r="E498" s="11"/>
      <c r="F498" s="11"/>
      <c r="G498" s="11"/>
      <c r="H498" s="11"/>
      <c r="I498" s="11"/>
      <c r="J498" s="11"/>
      <c r="K498" s="11"/>
      <c r="L498" s="11"/>
    </row>
    <row r="499" spans="4:12" hidden="1" x14ac:dyDescent="0.25">
      <c r="D499" s="11"/>
      <c r="E499" s="11"/>
      <c r="F499" s="11"/>
      <c r="G499" s="11"/>
      <c r="H499" s="11"/>
      <c r="I499" s="11"/>
      <c r="J499" s="11"/>
      <c r="K499" s="11"/>
      <c r="L499" s="11"/>
    </row>
    <row r="500" spans="4:12" hidden="1" x14ac:dyDescent="0.25">
      <c r="D500" s="11"/>
      <c r="E500" s="11"/>
      <c r="F500" s="11"/>
      <c r="G500" s="11"/>
      <c r="H500" s="11"/>
      <c r="I500" s="11"/>
      <c r="J500" s="11"/>
      <c r="K500" s="11"/>
      <c r="L500" s="11"/>
    </row>
    <row r="501" spans="4:12" hidden="1" x14ac:dyDescent="0.25">
      <c r="D501" s="11"/>
      <c r="E501" s="11"/>
      <c r="F501" s="11"/>
      <c r="G501" s="11"/>
      <c r="H501" s="11"/>
      <c r="I501" s="11"/>
      <c r="J501" s="11"/>
      <c r="K501" s="11"/>
      <c r="L501" s="11"/>
    </row>
    <row r="502" spans="4:12" hidden="1" x14ac:dyDescent="0.25">
      <c r="D502" s="11"/>
      <c r="E502" s="11"/>
      <c r="F502" s="11"/>
      <c r="G502" s="11"/>
      <c r="H502" s="11"/>
      <c r="I502" s="11"/>
      <c r="J502" s="11"/>
      <c r="K502" s="11"/>
      <c r="L502" s="11"/>
    </row>
    <row r="503" spans="4:12" hidden="1" x14ac:dyDescent="0.25">
      <c r="D503" s="11"/>
      <c r="E503" s="11"/>
      <c r="F503" s="11"/>
      <c r="G503" s="11"/>
      <c r="H503" s="11"/>
      <c r="I503" s="11"/>
      <c r="J503" s="11"/>
      <c r="K503" s="11"/>
      <c r="L503" s="11"/>
    </row>
    <row r="504" spans="4:12" hidden="1" x14ac:dyDescent="0.25">
      <c r="D504" s="11"/>
      <c r="E504" s="11"/>
      <c r="F504" s="11"/>
      <c r="G504" s="11"/>
      <c r="H504" s="11"/>
      <c r="I504" s="11"/>
      <c r="J504" s="11"/>
      <c r="K504" s="11"/>
      <c r="L504" s="11"/>
    </row>
    <row r="505" spans="4:12" hidden="1" x14ac:dyDescent="0.25">
      <c r="D505" s="11"/>
      <c r="E505" s="11"/>
      <c r="F505" s="11"/>
      <c r="G505" s="11"/>
      <c r="H505" s="11"/>
      <c r="I505" s="11"/>
      <c r="J505" s="11"/>
      <c r="K505" s="11"/>
      <c r="L505" s="11"/>
    </row>
    <row r="506" spans="4:12" hidden="1" x14ac:dyDescent="0.25">
      <c r="D506" s="11"/>
      <c r="E506" s="11"/>
      <c r="F506" s="11"/>
      <c r="G506" s="11"/>
      <c r="H506" s="11"/>
      <c r="I506" s="11"/>
      <c r="J506" s="11"/>
      <c r="K506" s="11"/>
      <c r="L506" s="11"/>
    </row>
    <row r="507" spans="4:12" hidden="1" x14ac:dyDescent="0.25">
      <c r="D507" s="11"/>
      <c r="E507" s="11"/>
      <c r="F507" s="11"/>
      <c r="G507" s="11"/>
      <c r="H507" s="11"/>
      <c r="I507" s="11"/>
      <c r="J507" s="11"/>
      <c r="K507" s="11"/>
      <c r="L507" s="11"/>
    </row>
    <row r="508" spans="4:12" hidden="1" x14ac:dyDescent="0.25">
      <c r="D508" s="11"/>
      <c r="E508" s="11"/>
      <c r="F508" s="11"/>
      <c r="G508" s="11"/>
      <c r="H508" s="11"/>
      <c r="I508" s="11"/>
      <c r="J508" s="11"/>
      <c r="K508" s="11"/>
      <c r="L508" s="11"/>
    </row>
    <row r="509" spans="4:12" hidden="1" x14ac:dyDescent="0.25">
      <c r="D509" s="11"/>
      <c r="E509" s="11"/>
      <c r="F509" s="11"/>
      <c r="G509" s="11"/>
      <c r="H509" s="11"/>
      <c r="I509" s="11"/>
      <c r="J509" s="11"/>
      <c r="K509" s="11"/>
      <c r="L509" s="11"/>
    </row>
    <row r="510" spans="4:12" hidden="1" x14ac:dyDescent="0.25">
      <c r="D510" s="11"/>
      <c r="E510" s="11"/>
      <c r="F510" s="11"/>
      <c r="G510" s="11"/>
      <c r="H510" s="11"/>
      <c r="I510" s="11"/>
      <c r="J510" s="11"/>
      <c r="K510" s="11"/>
      <c r="L510" s="11"/>
    </row>
    <row r="511" spans="4:12" hidden="1" x14ac:dyDescent="0.25">
      <c r="D511" s="11"/>
      <c r="E511" s="11"/>
      <c r="F511" s="11"/>
      <c r="G511" s="11"/>
      <c r="H511" s="11"/>
      <c r="I511" s="11"/>
      <c r="J511" s="11"/>
      <c r="K511" s="11"/>
      <c r="L511" s="11"/>
    </row>
    <row r="512" spans="4:12" hidden="1" x14ac:dyDescent="0.25">
      <c r="D512" s="11"/>
      <c r="E512" s="11"/>
      <c r="F512" s="11"/>
      <c r="G512" s="11"/>
      <c r="H512" s="11"/>
      <c r="I512" s="11"/>
      <c r="J512" s="11"/>
      <c r="K512" s="11"/>
      <c r="L512" s="11"/>
    </row>
    <row r="513" spans="4:12" hidden="1" x14ac:dyDescent="0.25">
      <c r="D513" s="11"/>
      <c r="E513" s="11"/>
      <c r="F513" s="11"/>
      <c r="G513" s="11"/>
      <c r="H513" s="11"/>
      <c r="I513" s="11"/>
      <c r="J513" s="11"/>
      <c r="K513" s="11"/>
      <c r="L513" s="11"/>
    </row>
    <row r="514" spans="4:12" hidden="1" x14ac:dyDescent="0.25">
      <c r="D514" s="11"/>
      <c r="E514" s="11"/>
      <c r="F514" s="11"/>
      <c r="G514" s="11"/>
      <c r="H514" s="11"/>
      <c r="I514" s="11"/>
      <c r="J514" s="11"/>
      <c r="K514" s="11"/>
      <c r="L514" s="11"/>
    </row>
    <row r="515" spans="4:12" hidden="1" x14ac:dyDescent="0.25">
      <c r="D515" s="11"/>
      <c r="E515" s="11"/>
      <c r="F515" s="11"/>
      <c r="G515" s="11"/>
      <c r="H515" s="11"/>
      <c r="I515" s="11"/>
      <c r="J515" s="11"/>
      <c r="K515" s="11"/>
      <c r="L515" s="11"/>
    </row>
    <row r="516" spans="4:12" hidden="1" x14ac:dyDescent="0.25">
      <c r="D516" s="11"/>
      <c r="E516" s="11"/>
      <c r="F516" s="11"/>
      <c r="G516" s="11"/>
      <c r="H516" s="11"/>
      <c r="I516" s="11"/>
      <c r="J516" s="11"/>
      <c r="K516" s="11"/>
      <c r="L516" s="11"/>
    </row>
    <row r="517" spans="4:12" hidden="1" x14ac:dyDescent="0.25">
      <c r="D517" s="11"/>
      <c r="E517" s="11"/>
      <c r="F517" s="11"/>
      <c r="G517" s="11"/>
      <c r="H517" s="11"/>
      <c r="I517" s="11"/>
      <c r="J517" s="11"/>
      <c r="K517" s="11"/>
      <c r="L517" s="11"/>
    </row>
    <row r="518" spans="4:12" hidden="1" x14ac:dyDescent="0.25">
      <c r="D518" s="11"/>
      <c r="E518" s="11"/>
      <c r="F518" s="11"/>
      <c r="G518" s="11"/>
      <c r="H518" s="11"/>
      <c r="I518" s="11"/>
      <c r="J518" s="11"/>
      <c r="K518" s="11"/>
      <c r="L518" s="11"/>
    </row>
    <row r="519" spans="4:12" hidden="1" x14ac:dyDescent="0.25">
      <c r="D519" s="11"/>
      <c r="E519" s="11"/>
      <c r="F519" s="11"/>
      <c r="G519" s="11"/>
      <c r="H519" s="11"/>
      <c r="I519" s="11"/>
      <c r="J519" s="11"/>
      <c r="K519" s="11"/>
      <c r="L519" s="11"/>
    </row>
    <row r="520" spans="4:12" hidden="1" x14ac:dyDescent="0.25">
      <c r="D520" s="11"/>
      <c r="E520" s="11"/>
      <c r="F520" s="11"/>
      <c r="G520" s="11"/>
      <c r="H520" s="11"/>
      <c r="I520" s="11"/>
      <c r="J520" s="11"/>
      <c r="K520" s="11"/>
      <c r="L520" s="11"/>
    </row>
    <row r="521" spans="4:12" hidden="1" x14ac:dyDescent="0.25">
      <c r="D521" s="11"/>
      <c r="E521" s="11"/>
      <c r="F521" s="11"/>
      <c r="G521" s="11"/>
      <c r="H521" s="11"/>
      <c r="I521" s="11"/>
      <c r="J521" s="11"/>
      <c r="K521" s="11"/>
      <c r="L521" s="11"/>
    </row>
    <row r="522" spans="4:12" hidden="1" x14ac:dyDescent="0.25">
      <c r="D522" s="11"/>
      <c r="E522" s="11"/>
      <c r="F522" s="11"/>
      <c r="G522" s="11"/>
      <c r="H522" s="11"/>
      <c r="I522" s="11"/>
      <c r="J522" s="11"/>
      <c r="K522" s="11"/>
      <c r="L522" s="11"/>
    </row>
    <row r="523" spans="4:12" hidden="1" x14ac:dyDescent="0.25">
      <c r="D523" s="11"/>
      <c r="E523" s="11"/>
      <c r="F523" s="11"/>
      <c r="G523" s="11"/>
      <c r="H523" s="11"/>
      <c r="I523" s="11"/>
      <c r="J523" s="11"/>
      <c r="K523" s="11"/>
      <c r="L523" s="11"/>
    </row>
    <row r="524" spans="4:12" hidden="1" x14ac:dyDescent="0.25">
      <c r="D524" s="11"/>
      <c r="E524" s="11"/>
      <c r="F524" s="11"/>
      <c r="G524" s="11"/>
      <c r="H524" s="11"/>
      <c r="I524" s="11"/>
      <c r="J524" s="11"/>
      <c r="K524" s="11"/>
      <c r="L524" s="11"/>
    </row>
    <row r="525" spans="4:12" hidden="1" x14ac:dyDescent="0.25">
      <c r="D525" s="11"/>
      <c r="E525" s="11"/>
      <c r="F525" s="11"/>
      <c r="G525" s="11"/>
      <c r="H525" s="11"/>
      <c r="I525" s="11"/>
      <c r="J525" s="11"/>
      <c r="K525" s="11"/>
      <c r="L525" s="11"/>
    </row>
    <row r="526" spans="4:12" hidden="1" x14ac:dyDescent="0.25">
      <c r="D526" s="11"/>
      <c r="E526" s="11"/>
      <c r="F526" s="11"/>
      <c r="G526" s="11"/>
      <c r="H526" s="11"/>
      <c r="I526" s="11"/>
      <c r="J526" s="11"/>
      <c r="K526" s="11"/>
      <c r="L526" s="11"/>
    </row>
    <row r="527" spans="4:12" hidden="1" x14ac:dyDescent="0.25">
      <c r="D527" s="11"/>
      <c r="E527" s="11"/>
      <c r="F527" s="11"/>
      <c r="G527" s="11"/>
      <c r="H527" s="11"/>
      <c r="I527" s="11"/>
      <c r="J527" s="11"/>
      <c r="K527" s="11"/>
      <c r="L527" s="11"/>
    </row>
    <row r="528" spans="4:12" hidden="1" x14ac:dyDescent="0.25">
      <c r="D528" s="11"/>
      <c r="E528" s="11"/>
      <c r="F528" s="11"/>
      <c r="G528" s="11"/>
      <c r="H528" s="11"/>
      <c r="I528" s="11"/>
      <c r="J528" s="11"/>
      <c r="K528" s="11"/>
      <c r="L528" s="11"/>
    </row>
    <row r="529" spans="4:12" hidden="1" x14ac:dyDescent="0.25">
      <c r="D529" s="11"/>
      <c r="E529" s="11"/>
      <c r="F529" s="11"/>
      <c r="G529" s="11"/>
      <c r="H529" s="11"/>
      <c r="I529" s="11"/>
      <c r="J529" s="11"/>
      <c r="K529" s="11"/>
      <c r="L529" s="11"/>
    </row>
    <row r="530" spans="4:12" hidden="1" x14ac:dyDescent="0.25">
      <c r="D530" s="11"/>
      <c r="E530" s="11"/>
      <c r="F530" s="11"/>
      <c r="G530" s="11"/>
      <c r="H530" s="11"/>
      <c r="I530" s="11"/>
      <c r="J530" s="11"/>
      <c r="K530" s="11"/>
      <c r="L530" s="11"/>
    </row>
    <row r="531" spans="4:12" hidden="1" x14ac:dyDescent="0.25">
      <c r="D531" s="11"/>
      <c r="E531" s="11"/>
      <c r="F531" s="11"/>
      <c r="G531" s="11"/>
      <c r="H531" s="11"/>
      <c r="I531" s="11"/>
      <c r="J531" s="11"/>
      <c r="K531" s="11"/>
      <c r="L531" s="11"/>
    </row>
    <row r="532" spans="4:12" hidden="1" x14ac:dyDescent="0.25">
      <c r="D532" s="11"/>
      <c r="E532" s="11"/>
      <c r="F532" s="11"/>
      <c r="G532" s="11"/>
      <c r="H532" s="11"/>
      <c r="I532" s="11"/>
      <c r="J532" s="11"/>
      <c r="K532" s="11"/>
      <c r="L532" s="11"/>
    </row>
    <row r="533" spans="4:12" hidden="1" x14ac:dyDescent="0.25">
      <c r="D533" s="11"/>
      <c r="E533" s="11"/>
      <c r="F533" s="11"/>
      <c r="G533" s="11"/>
      <c r="H533" s="11"/>
      <c r="I533" s="11"/>
      <c r="J533" s="11"/>
      <c r="K533" s="11"/>
      <c r="L533" s="11"/>
    </row>
    <row r="534" spans="4:12" hidden="1" x14ac:dyDescent="0.25">
      <c r="D534" s="11"/>
      <c r="E534" s="11"/>
      <c r="F534" s="11"/>
      <c r="G534" s="11"/>
      <c r="H534" s="11"/>
      <c r="I534" s="11"/>
      <c r="J534" s="11"/>
      <c r="K534" s="11"/>
      <c r="L534" s="11"/>
    </row>
    <row r="535" spans="4:12" hidden="1" x14ac:dyDescent="0.25">
      <c r="D535" s="11"/>
      <c r="E535" s="11"/>
      <c r="F535" s="11"/>
      <c r="G535" s="11"/>
      <c r="H535" s="11"/>
      <c r="I535" s="11"/>
      <c r="J535" s="11"/>
      <c r="K535" s="11"/>
      <c r="L535" s="11"/>
    </row>
    <row r="536" spans="4:12" hidden="1" x14ac:dyDescent="0.25">
      <c r="D536" s="11"/>
      <c r="E536" s="11"/>
      <c r="F536" s="11"/>
      <c r="G536" s="11"/>
      <c r="H536" s="11"/>
      <c r="I536" s="11"/>
      <c r="J536" s="11"/>
      <c r="K536" s="11"/>
      <c r="L536" s="11"/>
    </row>
    <row r="537" spans="4:12" hidden="1" x14ac:dyDescent="0.25">
      <c r="D537" s="11"/>
      <c r="E537" s="11"/>
      <c r="F537" s="11"/>
      <c r="G537" s="11"/>
      <c r="H537" s="11"/>
      <c r="I537" s="11"/>
      <c r="J537" s="11"/>
      <c r="K537" s="11"/>
      <c r="L537" s="11"/>
    </row>
    <row r="538" spans="4:12" hidden="1" x14ac:dyDescent="0.25">
      <c r="D538" s="11"/>
      <c r="E538" s="11"/>
      <c r="F538" s="11"/>
      <c r="G538" s="11"/>
      <c r="H538" s="11"/>
      <c r="I538" s="11"/>
      <c r="J538" s="11"/>
      <c r="K538" s="11"/>
      <c r="L538" s="11"/>
    </row>
    <row r="539" spans="4:12" hidden="1" x14ac:dyDescent="0.25">
      <c r="D539" s="11"/>
      <c r="E539" s="11"/>
      <c r="F539" s="11"/>
      <c r="G539" s="11"/>
      <c r="H539" s="11"/>
      <c r="I539" s="11"/>
      <c r="J539" s="11"/>
      <c r="K539" s="11"/>
      <c r="L539" s="11"/>
    </row>
    <row r="540" spans="4:12" hidden="1" x14ac:dyDescent="0.25">
      <c r="D540" s="11"/>
      <c r="E540" s="11"/>
      <c r="F540" s="11"/>
      <c r="G540" s="11"/>
      <c r="H540" s="11"/>
      <c r="I540" s="11"/>
      <c r="J540" s="11"/>
      <c r="K540" s="11"/>
      <c r="L540" s="11"/>
    </row>
    <row r="541" spans="4:12" hidden="1" x14ac:dyDescent="0.25">
      <c r="D541" s="11"/>
      <c r="E541" s="11"/>
      <c r="F541" s="11"/>
      <c r="G541" s="11"/>
      <c r="H541" s="11"/>
      <c r="I541" s="11"/>
      <c r="J541" s="11"/>
      <c r="K541" s="11"/>
      <c r="L541" s="11"/>
    </row>
    <row r="542" spans="4:12" hidden="1" x14ac:dyDescent="0.25">
      <c r="D542" s="11"/>
      <c r="E542" s="11"/>
      <c r="F542" s="11"/>
      <c r="G542" s="11"/>
      <c r="H542" s="11"/>
      <c r="I542" s="11"/>
      <c r="J542" s="11"/>
      <c r="K542" s="11"/>
      <c r="L542" s="11"/>
    </row>
    <row r="543" spans="4:12" hidden="1" x14ac:dyDescent="0.25">
      <c r="D543" s="11"/>
      <c r="E543" s="11"/>
      <c r="F543" s="11"/>
      <c r="G543" s="11"/>
      <c r="H543" s="11"/>
      <c r="I543" s="11"/>
      <c r="J543" s="11"/>
      <c r="K543" s="11"/>
      <c r="L543" s="11"/>
    </row>
    <row r="544" spans="4:12" hidden="1" x14ac:dyDescent="0.25">
      <c r="D544" s="11"/>
      <c r="E544" s="11"/>
      <c r="F544" s="11"/>
      <c r="G544" s="11"/>
      <c r="H544" s="11"/>
      <c r="I544" s="11"/>
      <c r="J544" s="11"/>
      <c r="K544" s="11"/>
      <c r="L544" s="11"/>
    </row>
    <row r="545" spans="4:12" hidden="1" x14ac:dyDescent="0.25">
      <c r="D545" s="11"/>
      <c r="E545" s="11"/>
      <c r="F545" s="11"/>
      <c r="G545" s="11"/>
      <c r="H545" s="11"/>
      <c r="I545" s="11"/>
      <c r="J545" s="11"/>
      <c r="K545" s="11"/>
      <c r="L545" s="11"/>
    </row>
    <row r="546" spans="4:12" hidden="1" x14ac:dyDescent="0.25">
      <c r="D546" s="11"/>
      <c r="E546" s="11"/>
      <c r="F546" s="11"/>
      <c r="G546" s="11"/>
      <c r="H546" s="11"/>
      <c r="I546" s="11"/>
      <c r="J546" s="11"/>
      <c r="K546" s="11"/>
      <c r="L546" s="11"/>
    </row>
    <row r="547" spans="4:12" hidden="1" x14ac:dyDescent="0.25">
      <c r="D547" s="11"/>
      <c r="E547" s="11"/>
      <c r="F547" s="11"/>
      <c r="G547" s="11"/>
      <c r="H547" s="11"/>
      <c r="I547" s="11"/>
      <c r="J547" s="11"/>
      <c r="K547" s="11"/>
      <c r="L547" s="11"/>
    </row>
    <row r="548" spans="4:12" hidden="1" x14ac:dyDescent="0.25">
      <c r="D548" s="11"/>
      <c r="E548" s="11"/>
      <c r="F548" s="11"/>
      <c r="G548" s="11"/>
      <c r="H548" s="11"/>
      <c r="I548" s="11"/>
      <c r="J548" s="11"/>
      <c r="K548" s="11"/>
      <c r="L548" s="11"/>
    </row>
    <row r="549" spans="4:12" hidden="1" x14ac:dyDescent="0.25">
      <c r="D549" s="11"/>
      <c r="E549" s="11"/>
      <c r="F549" s="11"/>
      <c r="G549" s="11"/>
      <c r="H549" s="11"/>
      <c r="I549" s="11"/>
      <c r="J549" s="11"/>
      <c r="K549" s="11"/>
      <c r="L549" s="11"/>
    </row>
    <row r="550" spans="4:12" hidden="1" x14ac:dyDescent="0.25">
      <c r="D550" s="11"/>
      <c r="E550" s="11"/>
      <c r="F550" s="11"/>
      <c r="G550" s="11"/>
      <c r="H550" s="11"/>
      <c r="I550" s="11"/>
      <c r="J550" s="11"/>
      <c r="K550" s="11"/>
      <c r="L550" s="11"/>
    </row>
    <row r="551" spans="4:12" hidden="1" x14ac:dyDescent="0.25">
      <c r="D551" s="11"/>
      <c r="E551" s="11"/>
      <c r="F551" s="11"/>
      <c r="G551" s="11"/>
      <c r="H551" s="11"/>
      <c r="I551" s="11"/>
      <c r="J551" s="11"/>
      <c r="K551" s="11"/>
      <c r="L551" s="11"/>
    </row>
    <row r="552" spans="4:12" hidden="1" x14ac:dyDescent="0.25">
      <c r="D552" s="11"/>
      <c r="E552" s="11"/>
      <c r="F552" s="11"/>
      <c r="G552" s="11"/>
      <c r="H552" s="11"/>
      <c r="I552" s="11"/>
      <c r="J552" s="11"/>
      <c r="K552" s="11"/>
      <c r="L552" s="11"/>
    </row>
    <row r="553" spans="4:12" hidden="1" x14ac:dyDescent="0.25">
      <c r="D553" s="11"/>
      <c r="E553" s="11"/>
      <c r="F553" s="11"/>
      <c r="G553" s="11"/>
      <c r="H553" s="11"/>
      <c r="I553" s="11"/>
      <c r="J553" s="11"/>
      <c r="K553" s="11"/>
      <c r="L553" s="11"/>
    </row>
    <row r="554" spans="4:12" hidden="1" x14ac:dyDescent="0.25">
      <c r="D554" s="11"/>
      <c r="E554" s="11"/>
      <c r="F554" s="11"/>
      <c r="G554" s="11"/>
      <c r="H554" s="11"/>
      <c r="I554" s="11"/>
      <c r="J554" s="11"/>
      <c r="K554" s="11"/>
      <c r="L554" s="11"/>
    </row>
    <row r="555" spans="4:12" hidden="1" x14ac:dyDescent="0.25">
      <c r="D555" s="11"/>
      <c r="E555" s="11"/>
      <c r="F555" s="11"/>
      <c r="G555" s="11"/>
      <c r="H555" s="11"/>
      <c r="I555" s="11"/>
      <c r="J555" s="11"/>
      <c r="K555" s="11"/>
      <c r="L555" s="11"/>
    </row>
    <row r="556" spans="4:12" hidden="1" x14ac:dyDescent="0.25">
      <c r="D556" s="11"/>
      <c r="E556" s="11"/>
      <c r="F556" s="11"/>
      <c r="G556" s="11"/>
      <c r="H556" s="11"/>
      <c r="I556" s="11"/>
      <c r="J556" s="11"/>
      <c r="K556" s="11"/>
      <c r="L556" s="11"/>
    </row>
    <row r="557" spans="4:12" hidden="1" x14ac:dyDescent="0.25">
      <c r="D557" s="11"/>
      <c r="E557" s="11"/>
      <c r="F557" s="11"/>
      <c r="G557" s="11"/>
      <c r="H557" s="11"/>
      <c r="I557" s="11"/>
      <c r="J557" s="11"/>
      <c r="K557" s="11"/>
      <c r="L557" s="11"/>
    </row>
    <row r="558" spans="4:12" hidden="1" x14ac:dyDescent="0.25">
      <c r="D558" s="11"/>
      <c r="E558" s="11"/>
      <c r="F558" s="11"/>
      <c r="G558" s="11"/>
      <c r="H558" s="11"/>
      <c r="I558" s="11"/>
      <c r="J558" s="11"/>
      <c r="K558" s="11"/>
      <c r="L558" s="11"/>
    </row>
    <row r="559" spans="4:12" hidden="1" x14ac:dyDescent="0.25">
      <c r="D559" s="11"/>
      <c r="E559" s="11"/>
      <c r="F559" s="11"/>
      <c r="G559" s="11"/>
      <c r="H559" s="11"/>
      <c r="I559" s="11"/>
      <c r="J559" s="11"/>
      <c r="K559" s="11"/>
      <c r="L559" s="11"/>
    </row>
    <row r="560" spans="4:12" hidden="1" x14ac:dyDescent="0.25">
      <c r="D560" s="11"/>
      <c r="E560" s="11"/>
      <c r="F560" s="11"/>
      <c r="G560" s="11"/>
      <c r="H560" s="11"/>
      <c r="I560" s="11"/>
      <c r="J560" s="11"/>
      <c r="K560" s="11"/>
      <c r="L560" s="11"/>
    </row>
    <row r="561" spans="4:12" hidden="1" x14ac:dyDescent="0.25">
      <c r="D561" s="11"/>
      <c r="E561" s="11"/>
      <c r="F561" s="11"/>
      <c r="G561" s="11"/>
      <c r="H561" s="11"/>
      <c r="I561" s="11"/>
      <c r="J561" s="11"/>
      <c r="K561" s="11"/>
      <c r="L561" s="11"/>
    </row>
    <row r="562" spans="4:12" hidden="1" x14ac:dyDescent="0.25">
      <c r="D562" s="11"/>
      <c r="E562" s="11"/>
      <c r="F562" s="11"/>
      <c r="G562" s="11"/>
      <c r="H562" s="11"/>
      <c r="I562" s="11"/>
      <c r="J562" s="11"/>
      <c r="K562" s="11"/>
      <c r="L562" s="11"/>
    </row>
    <row r="563" spans="4:12" hidden="1" x14ac:dyDescent="0.25">
      <c r="D563" s="11"/>
      <c r="E563" s="11"/>
      <c r="F563" s="11"/>
      <c r="G563" s="11"/>
      <c r="H563" s="11"/>
      <c r="I563" s="11"/>
      <c r="J563" s="11"/>
      <c r="K563" s="11"/>
      <c r="L563" s="11"/>
    </row>
    <row r="564" spans="4:12" hidden="1" x14ac:dyDescent="0.25">
      <c r="D564" s="11"/>
      <c r="E564" s="11"/>
      <c r="F564" s="11"/>
      <c r="G564" s="11"/>
      <c r="H564" s="11"/>
      <c r="I564" s="11"/>
      <c r="J564" s="11"/>
      <c r="K564" s="11"/>
      <c r="L564" s="11"/>
    </row>
    <row r="565" spans="4:12" hidden="1" x14ac:dyDescent="0.25">
      <c r="D565" s="11"/>
      <c r="E565" s="11"/>
      <c r="F565" s="11"/>
      <c r="G565" s="11"/>
      <c r="H565" s="11"/>
      <c r="I565" s="11"/>
      <c r="J565" s="11"/>
      <c r="K565" s="11"/>
      <c r="L565" s="11"/>
    </row>
    <row r="566" spans="4:12" hidden="1" x14ac:dyDescent="0.25">
      <c r="D566" s="11"/>
      <c r="E566" s="11"/>
      <c r="F566" s="11"/>
      <c r="G566" s="11"/>
      <c r="H566" s="11"/>
      <c r="I566" s="11"/>
      <c r="J566" s="11"/>
      <c r="K566" s="11"/>
      <c r="L566" s="11"/>
    </row>
    <row r="567" spans="4:12" hidden="1" x14ac:dyDescent="0.25">
      <c r="D567" s="11"/>
      <c r="E567" s="11"/>
      <c r="F567" s="11"/>
      <c r="G567" s="11"/>
      <c r="H567" s="11"/>
      <c r="I567" s="11"/>
      <c r="J567" s="11"/>
      <c r="K567" s="11"/>
      <c r="L567" s="11"/>
    </row>
    <row r="568" spans="4:12" hidden="1" x14ac:dyDescent="0.25">
      <c r="D568" s="11"/>
      <c r="E568" s="11"/>
      <c r="F568" s="11"/>
      <c r="G568" s="11"/>
      <c r="H568" s="11"/>
      <c r="I568" s="11"/>
      <c r="J568" s="11"/>
      <c r="K568" s="11"/>
      <c r="L568" s="11"/>
    </row>
    <row r="569" spans="4:12" hidden="1" x14ac:dyDescent="0.25">
      <c r="D569" s="11"/>
      <c r="E569" s="11"/>
      <c r="F569" s="11"/>
      <c r="G569" s="11"/>
      <c r="H569" s="11"/>
      <c r="I569" s="11"/>
      <c r="J569" s="11"/>
      <c r="K569" s="11"/>
      <c r="L569" s="11"/>
    </row>
    <row r="570" spans="4:12" hidden="1" x14ac:dyDescent="0.25">
      <c r="D570" s="11"/>
      <c r="E570" s="11"/>
      <c r="F570" s="11"/>
      <c r="G570" s="11"/>
      <c r="H570" s="11"/>
      <c r="I570" s="11"/>
      <c r="J570" s="11"/>
      <c r="K570" s="11"/>
      <c r="L570" s="11"/>
    </row>
    <row r="571" spans="4:12" hidden="1" x14ac:dyDescent="0.25">
      <c r="D571" s="11"/>
      <c r="E571" s="11"/>
      <c r="F571" s="11"/>
      <c r="G571" s="11"/>
      <c r="H571" s="11"/>
      <c r="I571" s="11"/>
      <c r="J571" s="11"/>
      <c r="K571" s="11"/>
      <c r="L571" s="11"/>
    </row>
    <row r="572" spans="4:12" hidden="1" x14ac:dyDescent="0.25">
      <c r="D572" s="11"/>
      <c r="E572" s="11"/>
      <c r="F572" s="11"/>
      <c r="G572" s="11"/>
      <c r="H572" s="11"/>
      <c r="I572" s="11"/>
      <c r="J572" s="11"/>
      <c r="K572" s="11"/>
      <c r="L572" s="11"/>
    </row>
    <row r="573" spans="4:12" hidden="1" x14ac:dyDescent="0.25">
      <c r="D573" s="11"/>
      <c r="E573" s="11"/>
      <c r="F573" s="11"/>
      <c r="G573" s="11"/>
      <c r="H573" s="11"/>
      <c r="I573" s="11"/>
      <c r="J573" s="11"/>
      <c r="K573" s="11"/>
      <c r="L573" s="11"/>
    </row>
    <row r="574" spans="4:12" hidden="1" x14ac:dyDescent="0.25">
      <c r="D574" s="11"/>
      <c r="E574" s="11"/>
      <c r="F574" s="11"/>
      <c r="G574" s="11"/>
      <c r="H574" s="11"/>
      <c r="I574" s="11"/>
      <c r="J574" s="11"/>
      <c r="K574" s="11"/>
      <c r="L574" s="11"/>
    </row>
    <row r="575" spans="4:12" hidden="1" x14ac:dyDescent="0.25">
      <c r="D575" s="11"/>
      <c r="E575" s="11"/>
      <c r="F575" s="11"/>
      <c r="G575" s="11"/>
      <c r="H575" s="11"/>
      <c r="I575" s="11"/>
      <c r="J575" s="11"/>
      <c r="K575" s="11"/>
      <c r="L575" s="11"/>
    </row>
    <row r="576" spans="4:12" hidden="1" x14ac:dyDescent="0.25">
      <c r="D576" s="11"/>
      <c r="E576" s="11"/>
      <c r="F576" s="11"/>
      <c r="G576" s="11"/>
      <c r="H576" s="11"/>
      <c r="I576" s="11"/>
      <c r="J576" s="11"/>
      <c r="K576" s="11"/>
      <c r="L576" s="11"/>
    </row>
    <row r="577" spans="4:12" hidden="1" x14ac:dyDescent="0.25">
      <c r="D577" s="11"/>
      <c r="E577" s="11"/>
      <c r="F577" s="11"/>
      <c r="G577" s="11"/>
      <c r="H577" s="11"/>
      <c r="I577" s="11"/>
      <c r="J577" s="11"/>
      <c r="K577" s="11"/>
      <c r="L577" s="11"/>
    </row>
    <row r="578" spans="4:12" hidden="1" x14ac:dyDescent="0.25">
      <c r="D578" s="11"/>
      <c r="E578" s="11"/>
      <c r="F578" s="11"/>
      <c r="G578" s="11"/>
      <c r="H578" s="11"/>
      <c r="I578" s="11"/>
      <c r="J578" s="11"/>
      <c r="K578" s="11"/>
      <c r="L578" s="11"/>
    </row>
    <row r="579" spans="4:12" hidden="1" x14ac:dyDescent="0.25">
      <c r="D579" s="11"/>
      <c r="E579" s="11"/>
      <c r="F579" s="11"/>
      <c r="G579" s="11"/>
      <c r="H579" s="11"/>
      <c r="I579" s="11"/>
      <c r="J579" s="11"/>
      <c r="K579" s="11"/>
      <c r="L579" s="11"/>
    </row>
    <row r="580" spans="4:12" hidden="1" x14ac:dyDescent="0.25">
      <c r="D580" s="11"/>
      <c r="E580" s="11"/>
      <c r="F580" s="11"/>
      <c r="G580" s="11"/>
      <c r="H580" s="11"/>
      <c r="I580" s="11"/>
      <c r="J580" s="11"/>
      <c r="K580" s="11"/>
      <c r="L580" s="11"/>
    </row>
    <row r="581" spans="4:12" hidden="1" x14ac:dyDescent="0.25">
      <c r="D581" s="11"/>
      <c r="E581" s="11"/>
      <c r="F581" s="11"/>
      <c r="G581" s="11"/>
      <c r="H581" s="11"/>
      <c r="I581" s="11"/>
      <c r="J581" s="11"/>
      <c r="K581" s="11"/>
      <c r="L581" s="11"/>
    </row>
    <row r="582" spans="4:12" hidden="1" x14ac:dyDescent="0.25">
      <c r="D582" s="11"/>
      <c r="E582" s="11"/>
      <c r="F582" s="11"/>
      <c r="G582" s="11"/>
      <c r="H582" s="11"/>
      <c r="I582" s="11"/>
      <c r="J582" s="11"/>
      <c r="K582" s="11"/>
      <c r="L582" s="11"/>
    </row>
    <row r="583" spans="4:12" hidden="1" x14ac:dyDescent="0.25">
      <c r="D583" s="11"/>
      <c r="E583" s="11"/>
      <c r="F583" s="11"/>
      <c r="G583" s="11"/>
      <c r="H583" s="11"/>
      <c r="I583" s="11"/>
      <c r="J583" s="11"/>
      <c r="K583" s="11"/>
      <c r="L583" s="11"/>
    </row>
    <row r="584" spans="4:12" hidden="1" x14ac:dyDescent="0.25">
      <c r="D584" s="11"/>
      <c r="E584" s="11"/>
      <c r="F584" s="11"/>
      <c r="G584" s="11"/>
      <c r="H584" s="11"/>
      <c r="I584" s="11"/>
      <c r="J584" s="11"/>
      <c r="K584" s="11"/>
      <c r="L584" s="11"/>
    </row>
    <row r="585" spans="4:12" hidden="1" x14ac:dyDescent="0.25">
      <c r="D585" s="11"/>
      <c r="E585" s="11"/>
      <c r="F585" s="11"/>
      <c r="G585" s="11"/>
      <c r="H585" s="11"/>
      <c r="I585" s="11"/>
      <c r="J585" s="11"/>
      <c r="K585" s="11"/>
      <c r="L585" s="11"/>
    </row>
    <row r="586" spans="4:12" hidden="1" x14ac:dyDescent="0.25">
      <c r="D586" s="11"/>
      <c r="E586" s="11"/>
      <c r="F586" s="11"/>
      <c r="G586" s="11"/>
      <c r="H586" s="11"/>
      <c r="I586" s="11"/>
      <c r="J586" s="11"/>
      <c r="K586" s="11"/>
      <c r="L586" s="11"/>
    </row>
    <row r="587" spans="4:12" hidden="1" x14ac:dyDescent="0.25">
      <c r="D587" s="11"/>
      <c r="E587" s="11"/>
      <c r="F587" s="11"/>
      <c r="G587" s="11"/>
      <c r="H587" s="11"/>
      <c r="I587" s="11"/>
      <c r="J587" s="11"/>
      <c r="K587" s="11"/>
      <c r="L587" s="11"/>
    </row>
    <row r="588" spans="4:12" hidden="1" x14ac:dyDescent="0.25">
      <c r="D588" s="11"/>
      <c r="E588" s="11"/>
      <c r="F588" s="11"/>
      <c r="G588" s="11"/>
      <c r="H588" s="11"/>
      <c r="I588" s="11"/>
      <c r="J588" s="11"/>
      <c r="K588" s="11"/>
      <c r="L588" s="11"/>
    </row>
    <row r="589" spans="4:12" hidden="1" x14ac:dyDescent="0.25">
      <c r="D589" s="11"/>
      <c r="E589" s="11"/>
      <c r="F589" s="11"/>
      <c r="G589" s="11"/>
      <c r="H589" s="11"/>
      <c r="I589" s="11"/>
      <c r="J589" s="11"/>
      <c r="K589" s="11"/>
      <c r="L589" s="11"/>
    </row>
    <row r="590" spans="4:12" hidden="1" x14ac:dyDescent="0.25">
      <c r="D590" s="11"/>
      <c r="E590" s="11"/>
      <c r="F590" s="11"/>
      <c r="G590" s="11"/>
      <c r="H590" s="11"/>
      <c r="I590" s="11"/>
      <c r="J590" s="11"/>
      <c r="K590" s="11"/>
      <c r="L590" s="11"/>
    </row>
    <row r="591" spans="4:12" hidden="1" x14ac:dyDescent="0.25">
      <c r="D591" s="11"/>
      <c r="E591" s="11"/>
      <c r="F591" s="11"/>
      <c r="G591" s="11"/>
      <c r="H591" s="11"/>
      <c r="I591" s="11"/>
      <c r="J591" s="11"/>
      <c r="K591" s="11"/>
      <c r="L591" s="11"/>
    </row>
    <row r="592" spans="4:12" hidden="1" x14ac:dyDescent="0.25">
      <c r="D592" s="11"/>
      <c r="E592" s="11"/>
      <c r="F592" s="11"/>
      <c r="G592" s="11"/>
      <c r="H592" s="11"/>
      <c r="I592" s="11"/>
      <c r="J592" s="11"/>
      <c r="K592" s="11"/>
      <c r="L592" s="11"/>
    </row>
    <row r="593" spans="4:12" hidden="1" x14ac:dyDescent="0.25">
      <c r="D593" s="11"/>
      <c r="E593" s="11"/>
      <c r="F593" s="11"/>
      <c r="G593" s="11"/>
      <c r="H593" s="11"/>
      <c r="I593" s="11"/>
      <c r="J593" s="11"/>
      <c r="K593" s="11"/>
      <c r="L593" s="11"/>
    </row>
    <row r="594" spans="4:12" hidden="1" x14ac:dyDescent="0.25">
      <c r="D594" s="11"/>
      <c r="E594" s="11"/>
      <c r="F594" s="11"/>
      <c r="G594" s="11"/>
      <c r="H594" s="11"/>
      <c r="I594" s="11"/>
      <c r="J594" s="11"/>
      <c r="K594" s="11"/>
      <c r="L594" s="11"/>
    </row>
    <row r="595" spans="4:12" hidden="1" x14ac:dyDescent="0.25">
      <c r="D595" s="11"/>
      <c r="E595" s="11"/>
      <c r="F595" s="11"/>
      <c r="G595" s="11"/>
      <c r="H595" s="11"/>
      <c r="I595" s="11"/>
      <c r="J595" s="11"/>
      <c r="K595" s="11"/>
      <c r="L595" s="11"/>
    </row>
    <row r="596" spans="4:12" hidden="1" x14ac:dyDescent="0.25">
      <c r="D596" s="11"/>
      <c r="E596" s="11"/>
      <c r="F596" s="11"/>
      <c r="G596" s="11"/>
      <c r="H596" s="11"/>
      <c r="I596" s="11"/>
      <c r="J596" s="11"/>
      <c r="K596" s="11"/>
      <c r="L596" s="11"/>
    </row>
    <row r="597" spans="4:12" hidden="1" x14ac:dyDescent="0.25">
      <c r="D597" s="11"/>
      <c r="E597" s="11"/>
      <c r="F597" s="11"/>
      <c r="G597" s="11"/>
      <c r="H597" s="11"/>
      <c r="I597" s="11"/>
      <c r="J597" s="11"/>
      <c r="K597" s="11"/>
      <c r="L597" s="11"/>
    </row>
    <row r="598" spans="4:12" hidden="1" x14ac:dyDescent="0.25">
      <c r="D598" s="11"/>
      <c r="E598" s="11"/>
      <c r="F598" s="11"/>
      <c r="G598" s="11"/>
      <c r="H598" s="11"/>
      <c r="I598" s="11"/>
      <c r="J598" s="11"/>
      <c r="K598" s="11"/>
      <c r="L598" s="11"/>
    </row>
    <row r="599" spans="4:12" hidden="1" x14ac:dyDescent="0.25">
      <c r="D599" s="11"/>
      <c r="E599" s="11"/>
      <c r="F599" s="11"/>
      <c r="G599" s="11"/>
      <c r="H599" s="11"/>
      <c r="I599" s="11"/>
      <c r="J599" s="11"/>
      <c r="K599" s="11"/>
      <c r="L599" s="11"/>
    </row>
    <row r="600" spans="4:12" hidden="1" x14ac:dyDescent="0.25">
      <c r="D600" s="11"/>
      <c r="E600" s="11"/>
      <c r="F600" s="11"/>
      <c r="G600" s="11"/>
      <c r="H600" s="11"/>
      <c r="I600" s="11"/>
      <c r="J600" s="11"/>
      <c r="K600" s="11"/>
      <c r="L600" s="11"/>
    </row>
    <row r="601" spans="4:12" hidden="1" x14ac:dyDescent="0.25">
      <c r="D601" s="11"/>
      <c r="E601" s="11"/>
      <c r="F601" s="11"/>
      <c r="G601" s="11"/>
      <c r="H601" s="11"/>
      <c r="I601" s="11"/>
      <c r="J601" s="11"/>
      <c r="K601" s="11"/>
      <c r="L601" s="11"/>
    </row>
    <row r="602" spans="4:12" hidden="1" x14ac:dyDescent="0.25">
      <c r="D602" s="11"/>
      <c r="E602" s="11"/>
      <c r="F602" s="11"/>
      <c r="G602" s="11"/>
      <c r="H602" s="11"/>
      <c r="I602" s="11"/>
      <c r="J602" s="11"/>
      <c r="K602" s="11"/>
      <c r="L602" s="11"/>
    </row>
    <row r="603" spans="4:12" hidden="1" x14ac:dyDescent="0.25">
      <c r="D603" s="11"/>
      <c r="E603" s="11"/>
      <c r="F603" s="11"/>
      <c r="G603" s="11"/>
      <c r="H603" s="11"/>
      <c r="I603" s="11"/>
      <c r="J603" s="11"/>
      <c r="K603" s="11"/>
      <c r="L603" s="11"/>
    </row>
    <row r="604" spans="4:12" hidden="1" x14ac:dyDescent="0.25">
      <c r="D604" s="11"/>
      <c r="E604" s="11"/>
      <c r="F604" s="11"/>
      <c r="G604" s="11"/>
      <c r="H604" s="11"/>
      <c r="I604" s="11"/>
      <c r="J604" s="11"/>
      <c r="K604" s="11"/>
      <c r="L604" s="11"/>
    </row>
    <row r="605" spans="4:12" hidden="1" x14ac:dyDescent="0.25">
      <c r="D605" s="11"/>
      <c r="E605" s="11"/>
      <c r="F605" s="11"/>
      <c r="G605" s="11"/>
      <c r="H605" s="11"/>
      <c r="I605" s="11"/>
      <c r="J605" s="11"/>
      <c r="K605" s="11"/>
      <c r="L605" s="11"/>
    </row>
    <row r="606" spans="4:12" hidden="1" x14ac:dyDescent="0.25">
      <c r="D606" s="11"/>
      <c r="E606" s="11"/>
      <c r="F606" s="11"/>
      <c r="G606" s="11"/>
      <c r="H606" s="11"/>
      <c r="I606" s="11"/>
      <c r="J606" s="11"/>
      <c r="K606" s="11"/>
      <c r="L606" s="11"/>
    </row>
    <row r="607" spans="4:12" hidden="1" x14ac:dyDescent="0.25">
      <c r="D607" s="11"/>
      <c r="E607" s="11"/>
      <c r="F607" s="11"/>
      <c r="G607" s="11"/>
      <c r="H607" s="11"/>
      <c r="I607" s="11"/>
      <c r="J607" s="11"/>
      <c r="K607" s="11"/>
      <c r="L607" s="11"/>
    </row>
    <row r="608" spans="4:12" hidden="1" x14ac:dyDescent="0.25">
      <c r="D608" s="11"/>
      <c r="E608" s="11"/>
      <c r="F608" s="11"/>
      <c r="G608" s="11"/>
      <c r="H608" s="11"/>
      <c r="I608" s="11"/>
      <c r="J608" s="11"/>
      <c r="K608" s="11"/>
      <c r="L608" s="11"/>
    </row>
    <row r="609" spans="4:12" hidden="1" x14ac:dyDescent="0.25">
      <c r="D609" s="11"/>
      <c r="E609" s="11"/>
      <c r="F609" s="11"/>
      <c r="G609" s="11"/>
      <c r="H609" s="11"/>
      <c r="I609" s="11"/>
      <c r="J609" s="11"/>
      <c r="K609" s="11"/>
      <c r="L609" s="11"/>
    </row>
    <row r="610" spans="4:12" hidden="1" x14ac:dyDescent="0.25">
      <c r="D610" s="11"/>
      <c r="E610" s="11"/>
      <c r="F610" s="11"/>
      <c r="G610" s="11"/>
      <c r="H610" s="11"/>
      <c r="I610" s="11"/>
      <c r="J610" s="11"/>
      <c r="K610" s="11"/>
      <c r="L610" s="11"/>
    </row>
    <row r="611" spans="4:12" hidden="1" x14ac:dyDescent="0.25">
      <c r="D611" s="11"/>
      <c r="E611" s="11"/>
      <c r="F611" s="11"/>
      <c r="G611" s="11"/>
      <c r="H611" s="11"/>
      <c r="I611" s="11"/>
      <c r="J611" s="11"/>
      <c r="K611" s="11"/>
      <c r="L611" s="11"/>
    </row>
    <row r="612" spans="4:12" hidden="1" x14ac:dyDescent="0.25">
      <c r="D612" s="11"/>
      <c r="E612" s="11"/>
      <c r="F612" s="11"/>
      <c r="G612" s="11"/>
      <c r="H612" s="11"/>
      <c r="I612" s="11"/>
      <c r="J612" s="11"/>
      <c r="K612" s="11"/>
      <c r="L612" s="11"/>
    </row>
    <row r="613" spans="4:12" hidden="1" x14ac:dyDescent="0.25">
      <c r="D613" s="11"/>
      <c r="E613" s="11"/>
      <c r="F613" s="11"/>
      <c r="G613" s="11"/>
      <c r="H613" s="11"/>
      <c r="I613" s="11"/>
      <c r="J613" s="11"/>
      <c r="K613" s="11"/>
      <c r="L613" s="11"/>
    </row>
    <row r="614" spans="4:12" hidden="1" x14ac:dyDescent="0.25">
      <c r="D614" s="11"/>
      <c r="E614" s="11"/>
      <c r="F614" s="11"/>
      <c r="G614" s="11"/>
      <c r="H614" s="11"/>
      <c r="I614" s="11"/>
      <c r="J614" s="11"/>
      <c r="K614" s="11"/>
      <c r="L614" s="11"/>
    </row>
    <row r="615" spans="4:12" hidden="1" x14ac:dyDescent="0.25">
      <c r="D615" s="11"/>
      <c r="E615" s="11"/>
      <c r="F615" s="11"/>
      <c r="G615" s="11"/>
      <c r="H615" s="11"/>
      <c r="I615" s="11"/>
      <c r="J615" s="11"/>
      <c r="K615" s="11"/>
      <c r="L615" s="11"/>
    </row>
    <row r="616" spans="4:12" hidden="1" x14ac:dyDescent="0.25">
      <c r="D616" s="11"/>
      <c r="E616" s="11"/>
      <c r="F616" s="11"/>
      <c r="G616" s="11"/>
      <c r="H616" s="11"/>
      <c r="I616" s="11"/>
      <c r="J616" s="11"/>
      <c r="K616" s="11"/>
      <c r="L616" s="11"/>
    </row>
    <row r="617" spans="4:12" hidden="1" x14ac:dyDescent="0.25">
      <c r="D617" s="11"/>
      <c r="E617" s="11"/>
      <c r="F617" s="11"/>
      <c r="G617" s="11"/>
      <c r="H617" s="11"/>
      <c r="I617" s="11"/>
      <c r="J617" s="11"/>
      <c r="K617" s="11"/>
      <c r="L617" s="11"/>
    </row>
    <row r="618" spans="4:12" hidden="1" x14ac:dyDescent="0.25">
      <c r="D618" s="11"/>
      <c r="E618" s="11"/>
      <c r="F618" s="11"/>
      <c r="G618" s="11"/>
      <c r="H618" s="11"/>
      <c r="I618" s="11"/>
      <c r="J618" s="11"/>
      <c r="K618" s="11"/>
      <c r="L618" s="11"/>
    </row>
    <row r="619" spans="4:12" hidden="1" x14ac:dyDescent="0.25">
      <c r="D619" s="11"/>
      <c r="E619" s="11"/>
      <c r="F619" s="11"/>
      <c r="G619" s="11"/>
      <c r="H619" s="11"/>
      <c r="I619" s="11"/>
      <c r="J619" s="11"/>
      <c r="K619" s="11"/>
      <c r="L619" s="11"/>
    </row>
    <row r="620" spans="4:12" hidden="1" x14ac:dyDescent="0.25">
      <c r="D620" s="11"/>
      <c r="E620" s="11"/>
      <c r="F620" s="11"/>
      <c r="G620" s="11"/>
      <c r="H620" s="11"/>
      <c r="I620" s="11"/>
      <c r="J620" s="11"/>
      <c r="K620" s="11"/>
      <c r="L620" s="11"/>
    </row>
    <row r="621" spans="4:12" hidden="1" x14ac:dyDescent="0.25">
      <c r="D621" s="11"/>
      <c r="E621" s="11"/>
      <c r="F621" s="11"/>
      <c r="G621" s="11"/>
      <c r="H621" s="11"/>
      <c r="I621" s="11"/>
      <c r="J621" s="11"/>
      <c r="K621" s="11"/>
      <c r="L621" s="11"/>
    </row>
    <row r="622" spans="4:12" hidden="1" x14ac:dyDescent="0.25">
      <c r="D622" s="11"/>
      <c r="E622" s="11"/>
      <c r="F622" s="11"/>
      <c r="G622" s="11"/>
      <c r="H622" s="11"/>
      <c r="I622" s="11"/>
      <c r="J622" s="11"/>
      <c r="K622" s="11"/>
      <c r="L622" s="11"/>
    </row>
    <row r="623" spans="4:12" hidden="1" x14ac:dyDescent="0.25">
      <c r="D623" s="11"/>
      <c r="E623" s="11"/>
      <c r="F623" s="11"/>
      <c r="G623" s="11"/>
      <c r="H623" s="11"/>
      <c r="I623" s="11"/>
      <c r="J623" s="11"/>
      <c r="K623" s="11"/>
      <c r="L623" s="11"/>
    </row>
    <row r="624" spans="4:12" hidden="1" x14ac:dyDescent="0.25">
      <c r="D624" s="11"/>
      <c r="E624" s="11"/>
      <c r="F624" s="11"/>
      <c r="G624" s="11"/>
      <c r="H624" s="11"/>
      <c r="I624" s="11"/>
      <c r="J624" s="11"/>
      <c r="K624" s="11"/>
      <c r="L624" s="11"/>
    </row>
    <row r="625" spans="4:12" hidden="1" x14ac:dyDescent="0.25">
      <c r="D625" s="11"/>
      <c r="E625" s="11"/>
      <c r="F625" s="11"/>
      <c r="G625" s="11"/>
      <c r="H625" s="11"/>
      <c r="I625" s="11"/>
      <c r="J625" s="11"/>
      <c r="K625" s="11"/>
      <c r="L625" s="11"/>
    </row>
    <row r="626" spans="4:12" hidden="1" x14ac:dyDescent="0.25">
      <c r="D626" s="11"/>
      <c r="E626" s="11"/>
      <c r="F626" s="11"/>
      <c r="G626" s="11"/>
      <c r="H626" s="11"/>
      <c r="I626" s="11"/>
      <c r="J626" s="11"/>
      <c r="K626" s="11"/>
      <c r="L626" s="11"/>
    </row>
    <row r="627" spans="4:12" hidden="1" x14ac:dyDescent="0.25">
      <c r="D627" s="11"/>
      <c r="E627" s="11"/>
      <c r="F627" s="11"/>
      <c r="G627" s="11"/>
      <c r="H627" s="11"/>
      <c r="I627" s="11"/>
      <c r="J627" s="11"/>
      <c r="K627" s="11"/>
      <c r="L627" s="11"/>
    </row>
    <row r="628" spans="4:12" hidden="1" x14ac:dyDescent="0.25">
      <c r="D628" s="11"/>
      <c r="E628" s="11"/>
      <c r="F628" s="11"/>
      <c r="G628" s="11"/>
      <c r="H628" s="11"/>
      <c r="I628" s="11"/>
      <c r="J628" s="11"/>
      <c r="K628" s="11"/>
      <c r="L628" s="11"/>
    </row>
    <row r="629" spans="4:12" hidden="1" x14ac:dyDescent="0.25">
      <c r="D629" s="11"/>
      <c r="E629" s="11"/>
      <c r="F629" s="11"/>
      <c r="G629" s="11"/>
      <c r="H629" s="11"/>
      <c r="I629" s="11"/>
      <c r="J629" s="11"/>
      <c r="K629" s="11"/>
      <c r="L629" s="11"/>
    </row>
    <row r="630" spans="4:12" hidden="1" x14ac:dyDescent="0.25">
      <c r="D630" s="11"/>
      <c r="E630" s="11"/>
      <c r="F630" s="11"/>
      <c r="G630" s="11"/>
      <c r="H630" s="11"/>
      <c r="I630" s="11"/>
      <c r="J630" s="11"/>
      <c r="K630" s="11"/>
      <c r="L630" s="11"/>
    </row>
    <row r="631" spans="4:12" hidden="1" x14ac:dyDescent="0.25">
      <c r="D631" s="11"/>
      <c r="E631" s="11"/>
      <c r="F631" s="11"/>
      <c r="G631" s="11"/>
      <c r="H631" s="11"/>
      <c r="I631" s="11"/>
      <c r="J631" s="11"/>
      <c r="K631" s="11"/>
      <c r="L631" s="11"/>
    </row>
    <row r="632" spans="4:12" hidden="1" x14ac:dyDescent="0.25">
      <c r="D632" s="11"/>
      <c r="E632" s="11"/>
      <c r="F632" s="11"/>
      <c r="G632" s="11"/>
      <c r="H632" s="11"/>
      <c r="I632" s="11"/>
      <c r="J632" s="11"/>
      <c r="K632" s="11"/>
      <c r="L632" s="11"/>
    </row>
    <row r="633" spans="4:12" hidden="1" x14ac:dyDescent="0.25">
      <c r="D633" s="11"/>
      <c r="E633" s="11"/>
      <c r="F633" s="11"/>
      <c r="G633" s="11"/>
      <c r="H633" s="11"/>
      <c r="I633" s="11"/>
      <c r="J633" s="11"/>
      <c r="K633" s="11"/>
      <c r="L633" s="11"/>
    </row>
    <row r="634" spans="4:12" hidden="1" x14ac:dyDescent="0.25">
      <c r="D634" s="11"/>
      <c r="E634" s="11"/>
      <c r="F634" s="11"/>
      <c r="G634" s="11"/>
      <c r="H634" s="11"/>
      <c r="I634" s="11"/>
      <c r="J634" s="11"/>
      <c r="K634" s="11"/>
      <c r="L634" s="11"/>
    </row>
    <row r="635" spans="4:12" hidden="1" x14ac:dyDescent="0.25">
      <c r="D635" s="11"/>
      <c r="E635" s="11"/>
      <c r="F635" s="11"/>
      <c r="G635" s="11"/>
      <c r="H635" s="11"/>
      <c r="I635" s="11"/>
      <c r="J635" s="11"/>
      <c r="K635" s="11"/>
      <c r="L635" s="11"/>
    </row>
    <row r="636" spans="4:12" hidden="1" x14ac:dyDescent="0.25">
      <c r="D636" s="11"/>
      <c r="E636" s="11"/>
      <c r="F636" s="11"/>
      <c r="G636" s="11"/>
      <c r="H636" s="11"/>
      <c r="I636" s="11"/>
      <c r="J636" s="11"/>
      <c r="K636" s="11"/>
      <c r="L636" s="11"/>
    </row>
    <row r="637" spans="4:12" hidden="1" x14ac:dyDescent="0.25">
      <c r="D637" s="11"/>
      <c r="E637" s="11"/>
      <c r="F637" s="11"/>
      <c r="G637" s="11"/>
      <c r="H637" s="11"/>
      <c r="I637" s="11"/>
      <c r="J637" s="11"/>
      <c r="K637" s="11"/>
      <c r="L637" s="11"/>
    </row>
    <row r="638" spans="4:12" hidden="1" x14ac:dyDescent="0.25">
      <c r="D638" s="11"/>
      <c r="E638" s="11"/>
      <c r="F638" s="11"/>
      <c r="G638" s="11"/>
      <c r="H638" s="11"/>
      <c r="I638" s="11"/>
      <c r="J638" s="11"/>
      <c r="K638" s="11"/>
      <c r="L638" s="11"/>
    </row>
    <row r="639" spans="4:12" hidden="1" x14ac:dyDescent="0.25">
      <c r="D639" s="11"/>
      <c r="E639" s="11"/>
      <c r="F639" s="11"/>
      <c r="G639" s="11"/>
      <c r="H639" s="11"/>
      <c r="I639" s="11"/>
      <c r="J639" s="11"/>
      <c r="K639" s="11"/>
      <c r="L639" s="11"/>
    </row>
    <row r="640" spans="4:12" hidden="1" x14ac:dyDescent="0.25">
      <c r="D640" s="11"/>
      <c r="E640" s="11"/>
      <c r="F640" s="11"/>
      <c r="G640" s="11"/>
      <c r="H640" s="11"/>
      <c r="I640" s="11"/>
      <c r="J640" s="11"/>
      <c r="K640" s="11"/>
      <c r="L640" s="11"/>
    </row>
    <row r="641" spans="4:12" hidden="1" x14ac:dyDescent="0.25">
      <c r="D641" s="11"/>
      <c r="E641" s="11"/>
      <c r="F641" s="11"/>
      <c r="G641" s="11"/>
      <c r="H641" s="11"/>
      <c r="I641" s="11"/>
      <c r="J641" s="11"/>
      <c r="K641" s="11"/>
      <c r="L641" s="11"/>
    </row>
    <row r="642" spans="4:12" hidden="1" x14ac:dyDescent="0.25">
      <c r="D642" s="11"/>
      <c r="E642" s="11"/>
      <c r="F642" s="11"/>
      <c r="G642" s="11"/>
      <c r="H642" s="11"/>
      <c r="I642" s="11"/>
      <c r="J642" s="11"/>
      <c r="K642" s="11"/>
      <c r="L642" s="11"/>
    </row>
    <row r="643" spans="4:12" hidden="1" x14ac:dyDescent="0.25">
      <c r="D643" s="11"/>
      <c r="E643" s="11"/>
      <c r="F643" s="11"/>
      <c r="G643" s="11"/>
      <c r="H643" s="11"/>
      <c r="I643" s="11"/>
      <c r="J643" s="11"/>
      <c r="K643" s="11"/>
      <c r="L643" s="11"/>
    </row>
    <row r="644" spans="4:12" hidden="1" x14ac:dyDescent="0.25">
      <c r="D644" s="11"/>
      <c r="E644" s="11"/>
      <c r="F644" s="11"/>
      <c r="G644" s="11"/>
      <c r="H644" s="11"/>
      <c r="I644" s="11"/>
      <c r="J644" s="11"/>
      <c r="K644" s="11"/>
      <c r="L644" s="11"/>
    </row>
    <row r="645" spans="4:12" hidden="1" x14ac:dyDescent="0.25">
      <c r="D645" s="11"/>
      <c r="E645" s="11"/>
      <c r="F645" s="11"/>
      <c r="G645" s="11"/>
      <c r="H645" s="11"/>
      <c r="I645" s="11"/>
      <c r="J645" s="11"/>
      <c r="K645" s="11"/>
      <c r="L645" s="11"/>
    </row>
    <row r="646" spans="4:12" hidden="1" x14ac:dyDescent="0.25">
      <c r="D646" s="11"/>
      <c r="E646" s="11"/>
      <c r="F646" s="11"/>
      <c r="G646" s="11"/>
      <c r="H646" s="11"/>
      <c r="I646" s="11"/>
      <c r="J646" s="11"/>
      <c r="K646" s="11"/>
      <c r="L646" s="11"/>
    </row>
    <row r="647" spans="4:12" hidden="1" x14ac:dyDescent="0.25">
      <c r="D647" s="11"/>
      <c r="E647" s="11"/>
      <c r="F647" s="11"/>
      <c r="G647" s="11"/>
      <c r="H647" s="11"/>
      <c r="I647" s="11"/>
      <c r="J647" s="11"/>
      <c r="K647" s="11"/>
      <c r="L647" s="11"/>
    </row>
    <row r="648" spans="4:12" hidden="1" x14ac:dyDescent="0.25">
      <c r="D648" s="11"/>
      <c r="E648" s="11"/>
      <c r="F648" s="11"/>
      <c r="G648" s="11"/>
      <c r="H648" s="11"/>
      <c r="I648" s="11"/>
      <c r="J648" s="11"/>
      <c r="K648" s="11"/>
      <c r="L648" s="11"/>
    </row>
    <row r="649" spans="4:12" hidden="1" x14ac:dyDescent="0.25">
      <c r="D649" s="11"/>
      <c r="E649" s="11"/>
      <c r="F649" s="11"/>
      <c r="G649" s="11"/>
      <c r="H649" s="11"/>
      <c r="I649" s="11"/>
      <c r="J649" s="11"/>
      <c r="K649" s="11"/>
      <c r="L649" s="11"/>
    </row>
    <row r="650" spans="4:12" hidden="1" x14ac:dyDescent="0.25">
      <c r="D650" s="11"/>
      <c r="E650" s="11"/>
      <c r="F650" s="11"/>
      <c r="G650" s="11"/>
      <c r="H650" s="11"/>
      <c r="I650" s="11"/>
      <c r="J650" s="11"/>
      <c r="K650" s="11"/>
      <c r="L650" s="11"/>
    </row>
    <row r="651" spans="4:12" hidden="1" x14ac:dyDescent="0.25">
      <c r="D651" s="11"/>
      <c r="E651" s="11"/>
      <c r="F651" s="11"/>
      <c r="G651" s="11"/>
      <c r="H651" s="11"/>
      <c r="I651" s="11"/>
      <c r="J651" s="11"/>
      <c r="K651" s="11"/>
      <c r="L651" s="11"/>
    </row>
    <row r="652" spans="4:12" hidden="1" x14ac:dyDescent="0.25">
      <c r="D652" s="11"/>
      <c r="E652" s="11"/>
      <c r="F652" s="11"/>
      <c r="G652" s="11"/>
      <c r="H652" s="11"/>
      <c r="I652" s="11"/>
      <c r="J652" s="11"/>
      <c r="K652" s="11"/>
      <c r="L652" s="11"/>
    </row>
    <row r="653" spans="4:12" hidden="1" x14ac:dyDescent="0.25">
      <c r="D653" s="11"/>
      <c r="E653" s="11"/>
      <c r="F653" s="11"/>
      <c r="G653" s="11"/>
      <c r="H653" s="11"/>
      <c r="I653" s="11"/>
      <c r="J653" s="11"/>
      <c r="K653" s="11"/>
      <c r="L653" s="11"/>
    </row>
    <row r="654" spans="4:12" hidden="1" x14ac:dyDescent="0.25">
      <c r="D654" s="11"/>
      <c r="E654" s="11"/>
      <c r="F654" s="11"/>
      <c r="G654" s="11"/>
      <c r="H654" s="11"/>
      <c r="I654" s="11"/>
      <c r="J654" s="11"/>
      <c r="K654" s="11"/>
      <c r="L654" s="11"/>
    </row>
    <row r="655" spans="4:12" hidden="1" x14ac:dyDescent="0.25">
      <c r="D655" s="11"/>
      <c r="E655" s="11"/>
      <c r="F655" s="11"/>
      <c r="G655" s="11"/>
      <c r="H655" s="11"/>
      <c r="I655" s="11"/>
      <c r="J655" s="11"/>
      <c r="K655" s="11"/>
      <c r="L655" s="11"/>
    </row>
    <row r="656" spans="4:12" hidden="1" x14ac:dyDescent="0.25">
      <c r="D656" s="11"/>
      <c r="E656" s="11"/>
      <c r="F656" s="11"/>
      <c r="G656" s="11"/>
      <c r="H656" s="11"/>
      <c r="I656" s="11"/>
      <c r="J656" s="11"/>
      <c r="K656" s="11"/>
      <c r="L656" s="11"/>
    </row>
    <row r="657" spans="4:12" hidden="1" x14ac:dyDescent="0.25">
      <c r="D657" s="11"/>
      <c r="E657" s="11"/>
      <c r="F657" s="11"/>
      <c r="G657" s="11"/>
      <c r="H657" s="11"/>
      <c r="I657" s="11"/>
      <c r="J657" s="11"/>
      <c r="K657" s="11"/>
      <c r="L657" s="11"/>
    </row>
    <row r="658" spans="4:12" hidden="1" x14ac:dyDescent="0.25">
      <c r="D658" s="11"/>
      <c r="E658" s="11"/>
      <c r="F658" s="11"/>
      <c r="G658" s="11"/>
      <c r="H658" s="11"/>
      <c r="I658" s="11"/>
      <c r="J658" s="11"/>
      <c r="K658" s="11"/>
      <c r="L658" s="11"/>
    </row>
    <row r="659" spans="4:12" hidden="1" x14ac:dyDescent="0.25">
      <c r="D659" s="11"/>
      <c r="E659" s="11"/>
      <c r="F659" s="11"/>
      <c r="G659" s="11"/>
      <c r="H659" s="11"/>
      <c r="I659" s="11"/>
      <c r="J659" s="11"/>
      <c r="K659" s="11"/>
      <c r="L659" s="11"/>
    </row>
    <row r="660" spans="4:12" hidden="1" x14ac:dyDescent="0.25">
      <c r="D660" s="11"/>
      <c r="E660" s="11"/>
      <c r="F660" s="11"/>
      <c r="G660" s="11"/>
      <c r="H660" s="11"/>
      <c r="I660" s="11"/>
      <c r="J660" s="11"/>
      <c r="K660" s="11"/>
      <c r="L660" s="11"/>
    </row>
    <row r="661" spans="4:12" hidden="1" x14ac:dyDescent="0.25">
      <c r="D661" s="11"/>
      <c r="E661" s="11"/>
      <c r="F661" s="11"/>
      <c r="G661" s="11"/>
      <c r="H661" s="11"/>
      <c r="I661" s="11"/>
      <c r="J661" s="11"/>
      <c r="K661" s="11"/>
      <c r="L661" s="11"/>
    </row>
    <row r="662" spans="4:12" hidden="1" x14ac:dyDescent="0.25">
      <c r="D662" s="11"/>
      <c r="E662" s="11"/>
      <c r="F662" s="11"/>
      <c r="G662" s="11"/>
      <c r="H662" s="11"/>
      <c r="I662" s="11"/>
      <c r="J662" s="11"/>
      <c r="K662" s="11"/>
      <c r="L662" s="11"/>
    </row>
    <row r="663" spans="4:12" hidden="1" x14ac:dyDescent="0.25">
      <c r="D663" s="11"/>
      <c r="E663" s="11"/>
      <c r="F663" s="11"/>
      <c r="G663" s="11"/>
      <c r="H663" s="11"/>
      <c r="I663" s="11"/>
      <c r="J663" s="11"/>
      <c r="K663" s="11"/>
      <c r="L663" s="11"/>
    </row>
    <row r="664" spans="4:12" hidden="1" x14ac:dyDescent="0.25">
      <c r="D664" s="11"/>
      <c r="E664" s="11"/>
      <c r="F664" s="11"/>
      <c r="G664" s="11"/>
      <c r="H664" s="11"/>
      <c r="I664" s="11"/>
      <c r="J664" s="11"/>
      <c r="K664" s="11"/>
      <c r="L664" s="11"/>
    </row>
    <row r="665" spans="4:12" hidden="1" x14ac:dyDescent="0.25">
      <c r="D665" s="11"/>
      <c r="E665" s="11"/>
      <c r="F665" s="11"/>
      <c r="G665" s="11"/>
      <c r="H665" s="11"/>
      <c r="I665" s="11"/>
      <c r="J665" s="11"/>
      <c r="K665" s="11"/>
      <c r="L665" s="11"/>
    </row>
    <row r="666" spans="4:12" hidden="1" x14ac:dyDescent="0.25">
      <c r="D666" s="11"/>
      <c r="E666" s="11"/>
      <c r="F666" s="11"/>
      <c r="G666" s="11"/>
      <c r="H666" s="11"/>
      <c r="I666" s="11"/>
      <c r="J666" s="11"/>
      <c r="K666" s="11"/>
      <c r="L666" s="11"/>
    </row>
    <row r="667" spans="4:12" hidden="1" x14ac:dyDescent="0.25">
      <c r="D667" s="11"/>
      <c r="E667" s="11"/>
      <c r="F667" s="11"/>
      <c r="G667" s="11"/>
      <c r="H667" s="11"/>
      <c r="I667" s="11"/>
      <c r="J667" s="11"/>
      <c r="K667" s="11"/>
      <c r="L667" s="11"/>
    </row>
    <row r="668" spans="4:12" hidden="1" x14ac:dyDescent="0.25">
      <c r="D668" s="11"/>
      <c r="E668" s="11"/>
      <c r="F668" s="11"/>
      <c r="G668" s="11"/>
      <c r="H668" s="11"/>
      <c r="I668" s="11"/>
      <c r="J668" s="11"/>
      <c r="K668" s="11"/>
      <c r="L668" s="11"/>
    </row>
    <row r="669" spans="4:12" hidden="1" x14ac:dyDescent="0.25">
      <c r="D669" s="11"/>
      <c r="E669" s="11"/>
      <c r="F669" s="11"/>
      <c r="G669" s="11"/>
      <c r="H669" s="11"/>
      <c r="I669" s="11"/>
      <c r="J669" s="11"/>
      <c r="K669" s="11"/>
      <c r="L669" s="11"/>
    </row>
    <row r="670" spans="4:12" hidden="1" x14ac:dyDescent="0.25">
      <c r="D670" s="11"/>
      <c r="E670" s="11"/>
      <c r="F670" s="11"/>
      <c r="G670" s="11"/>
      <c r="H670" s="11"/>
      <c r="I670" s="11"/>
      <c r="J670" s="11"/>
      <c r="K670" s="11"/>
      <c r="L670" s="11"/>
    </row>
    <row r="671" spans="4:12" hidden="1" x14ac:dyDescent="0.25">
      <c r="D671" s="11"/>
      <c r="E671" s="11"/>
      <c r="F671" s="11"/>
      <c r="G671" s="11"/>
      <c r="H671" s="11"/>
      <c r="I671" s="11"/>
      <c r="J671" s="11"/>
      <c r="K671" s="11"/>
      <c r="L671" s="11"/>
    </row>
    <row r="672" spans="4:12" hidden="1" x14ac:dyDescent="0.25">
      <c r="D672" s="11"/>
      <c r="E672" s="11"/>
      <c r="F672" s="11"/>
      <c r="G672" s="11"/>
      <c r="H672" s="11"/>
      <c r="I672" s="11"/>
      <c r="J672" s="11"/>
      <c r="K672" s="11"/>
      <c r="L672" s="11"/>
    </row>
    <row r="673" spans="4:12" hidden="1" x14ac:dyDescent="0.25">
      <c r="D673" s="11"/>
      <c r="E673" s="11"/>
      <c r="F673" s="11"/>
      <c r="G673" s="11"/>
      <c r="H673" s="11"/>
      <c r="I673" s="11"/>
      <c r="J673" s="11"/>
      <c r="K673" s="11"/>
      <c r="L673" s="11"/>
    </row>
    <row r="674" spans="4:12" hidden="1" x14ac:dyDescent="0.25">
      <c r="D674" s="11"/>
      <c r="E674" s="11"/>
      <c r="F674" s="11"/>
      <c r="G674" s="11"/>
      <c r="H674" s="11"/>
      <c r="I674" s="11"/>
      <c r="J674" s="11"/>
      <c r="K674" s="11"/>
      <c r="L674" s="11"/>
    </row>
    <row r="675" spans="4:12" hidden="1" x14ac:dyDescent="0.25">
      <c r="D675" s="11"/>
      <c r="E675" s="11"/>
      <c r="F675" s="11"/>
      <c r="G675" s="11"/>
      <c r="H675" s="11"/>
      <c r="I675" s="11"/>
      <c r="J675" s="11"/>
      <c r="K675" s="11"/>
      <c r="L675" s="11"/>
    </row>
    <row r="676" spans="4:12" hidden="1" x14ac:dyDescent="0.25">
      <c r="D676" s="11"/>
      <c r="E676" s="11"/>
      <c r="F676" s="11"/>
      <c r="G676" s="11"/>
      <c r="H676" s="11"/>
      <c r="I676" s="11"/>
      <c r="J676" s="11"/>
      <c r="K676" s="11"/>
      <c r="L676" s="11"/>
    </row>
    <row r="677" spans="4:12" hidden="1" x14ac:dyDescent="0.25">
      <c r="D677" s="11"/>
      <c r="E677" s="11"/>
      <c r="F677" s="11"/>
      <c r="G677" s="11"/>
      <c r="H677" s="11"/>
      <c r="I677" s="11"/>
      <c r="J677" s="11"/>
      <c r="K677" s="11"/>
      <c r="L677" s="11"/>
    </row>
    <row r="678" spans="4:12" hidden="1" x14ac:dyDescent="0.25">
      <c r="D678" s="11"/>
      <c r="E678" s="11"/>
      <c r="F678" s="11"/>
      <c r="G678" s="11"/>
      <c r="H678" s="11"/>
      <c r="I678" s="11"/>
      <c r="J678" s="11"/>
      <c r="K678" s="11"/>
      <c r="L678" s="11"/>
    </row>
    <row r="679" spans="4:12" hidden="1" x14ac:dyDescent="0.25">
      <c r="D679" s="11"/>
      <c r="E679" s="11"/>
      <c r="F679" s="11"/>
      <c r="G679" s="11"/>
      <c r="H679" s="11"/>
      <c r="I679" s="11"/>
      <c r="J679" s="11"/>
      <c r="K679" s="11"/>
      <c r="L679" s="11"/>
    </row>
    <row r="680" spans="4:12" hidden="1" x14ac:dyDescent="0.25">
      <c r="D680" s="11"/>
      <c r="E680" s="11"/>
      <c r="F680" s="11"/>
      <c r="G680" s="11"/>
      <c r="H680" s="11"/>
      <c r="I680" s="11"/>
      <c r="J680" s="11"/>
      <c r="K680" s="11"/>
      <c r="L680" s="11"/>
    </row>
    <row r="681" spans="4:12" hidden="1" x14ac:dyDescent="0.25">
      <c r="D681" s="11"/>
      <c r="E681" s="11"/>
      <c r="F681" s="11"/>
      <c r="G681" s="11"/>
      <c r="H681" s="11"/>
      <c r="I681" s="11"/>
      <c r="J681" s="11"/>
      <c r="K681" s="11"/>
      <c r="L681" s="11"/>
    </row>
    <row r="682" spans="4:12" hidden="1" x14ac:dyDescent="0.25">
      <c r="D682" s="11"/>
      <c r="E682" s="11"/>
      <c r="F682" s="11"/>
      <c r="G682" s="11"/>
      <c r="H682" s="11"/>
      <c r="I682" s="11"/>
      <c r="J682" s="11"/>
      <c r="K682" s="11"/>
      <c r="L682" s="11"/>
    </row>
    <row r="683" spans="4:12" hidden="1" x14ac:dyDescent="0.25">
      <c r="D683" s="11"/>
      <c r="E683" s="11"/>
      <c r="F683" s="11"/>
      <c r="G683" s="11"/>
      <c r="H683" s="11"/>
      <c r="I683" s="11"/>
      <c r="J683" s="11"/>
      <c r="K683" s="11"/>
      <c r="L683" s="11"/>
    </row>
    <row r="684" spans="4:12" hidden="1" x14ac:dyDescent="0.25">
      <c r="D684" s="11"/>
      <c r="E684" s="11"/>
      <c r="F684" s="11"/>
      <c r="G684" s="11"/>
      <c r="H684" s="11"/>
      <c r="I684" s="11"/>
      <c r="J684" s="11"/>
      <c r="K684" s="11"/>
      <c r="L684" s="11"/>
    </row>
    <row r="685" spans="4:12" hidden="1" x14ac:dyDescent="0.25">
      <c r="D685" s="11"/>
      <c r="E685" s="11"/>
      <c r="F685" s="11"/>
      <c r="G685" s="11"/>
      <c r="H685" s="11"/>
      <c r="I685" s="11"/>
      <c r="J685" s="11"/>
      <c r="K685" s="11"/>
      <c r="L685" s="11"/>
    </row>
    <row r="686" spans="4:12" hidden="1" x14ac:dyDescent="0.25">
      <c r="D686" s="11"/>
      <c r="E686" s="11"/>
      <c r="F686" s="11"/>
      <c r="G686" s="11"/>
      <c r="H686" s="11"/>
      <c r="I686" s="11"/>
      <c r="J686" s="11"/>
      <c r="K686" s="11"/>
      <c r="L686" s="11"/>
    </row>
    <row r="687" spans="4:12" hidden="1" x14ac:dyDescent="0.25">
      <c r="D687" s="11"/>
      <c r="E687" s="11"/>
      <c r="F687" s="11"/>
      <c r="G687" s="11"/>
      <c r="H687" s="11"/>
      <c r="I687" s="11"/>
      <c r="J687" s="11"/>
      <c r="K687" s="11"/>
      <c r="L687" s="11"/>
    </row>
    <row r="688" spans="4:12" hidden="1" x14ac:dyDescent="0.25">
      <c r="D688" s="11"/>
      <c r="E688" s="11"/>
      <c r="F688" s="11"/>
      <c r="G688" s="11"/>
      <c r="H688" s="11"/>
      <c r="I688" s="11"/>
      <c r="J688" s="11"/>
      <c r="K688" s="11"/>
      <c r="L688" s="11"/>
    </row>
    <row r="689" spans="4:12" hidden="1" x14ac:dyDescent="0.25">
      <c r="D689" s="11"/>
      <c r="E689" s="11"/>
      <c r="F689" s="11"/>
      <c r="G689" s="11"/>
      <c r="H689" s="11"/>
      <c r="I689" s="11"/>
      <c r="J689" s="11"/>
      <c r="K689" s="11"/>
      <c r="L689" s="11"/>
    </row>
    <row r="690" spans="4:12" hidden="1" x14ac:dyDescent="0.25">
      <c r="D690" s="11"/>
      <c r="E690" s="11"/>
      <c r="F690" s="11"/>
      <c r="G690" s="11"/>
      <c r="H690" s="11"/>
      <c r="I690" s="11"/>
      <c r="J690" s="11"/>
      <c r="K690" s="11"/>
      <c r="L690" s="11"/>
    </row>
    <row r="691" spans="4:12" hidden="1" x14ac:dyDescent="0.25">
      <c r="D691" s="11"/>
      <c r="E691" s="11"/>
      <c r="F691" s="11"/>
      <c r="G691" s="11"/>
      <c r="H691" s="11"/>
      <c r="I691" s="11"/>
      <c r="J691" s="11"/>
      <c r="K691" s="11"/>
      <c r="L691" s="11"/>
    </row>
    <row r="692" spans="4:12" hidden="1" x14ac:dyDescent="0.25">
      <c r="D692" s="11"/>
      <c r="E692" s="11"/>
      <c r="F692" s="11"/>
      <c r="G692" s="11"/>
      <c r="H692" s="11"/>
      <c r="I692" s="11"/>
      <c r="J692" s="11"/>
      <c r="K692" s="11"/>
      <c r="L692" s="11"/>
    </row>
    <row r="693" spans="4:12" hidden="1" x14ac:dyDescent="0.25">
      <c r="D693" s="11"/>
      <c r="E693" s="11"/>
      <c r="F693" s="11"/>
      <c r="G693" s="11"/>
      <c r="H693" s="11"/>
      <c r="I693" s="11"/>
      <c r="J693" s="11"/>
      <c r="K693" s="11"/>
      <c r="L693" s="11"/>
    </row>
    <row r="694" spans="4:12" hidden="1" x14ac:dyDescent="0.25">
      <c r="D694" s="11"/>
      <c r="E694" s="11"/>
      <c r="F694" s="11"/>
      <c r="G694" s="11"/>
      <c r="H694" s="11"/>
      <c r="I694" s="11"/>
      <c r="J694" s="11"/>
      <c r="K694" s="11"/>
      <c r="L694" s="11"/>
    </row>
    <row r="695" spans="4:12" hidden="1" x14ac:dyDescent="0.25">
      <c r="D695" s="11"/>
      <c r="E695" s="11"/>
      <c r="F695" s="11"/>
      <c r="G695" s="11"/>
      <c r="H695" s="11"/>
      <c r="I695" s="11"/>
      <c r="J695" s="11"/>
      <c r="K695" s="11"/>
      <c r="L695" s="11"/>
    </row>
    <row r="696" spans="4:12" hidden="1" x14ac:dyDescent="0.25">
      <c r="D696" s="11"/>
      <c r="E696" s="11"/>
      <c r="F696" s="11"/>
      <c r="G696" s="11"/>
      <c r="H696" s="11"/>
      <c r="I696" s="11"/>
      <c r="J696" s="11"/>
      <c r="K696" s="11"/>
      <c r="L696" s="11"/>
    </row>
    <row r="697" spans="4:12" hidden="1" x14ac:dyDescent="0.25">
      <c r="D697" s="11"/>
      <c r="E697" s="11"/>
      <c r="F697" s="11"/>
      <c r="G697" s="11"/>
      <c r="H697" s="11"/>
      <c r="I697" s="11"/>
      <c r="J697" s="11"/>
      <c r="K697" s="11"/>
      <c r="L697" s="11"/>
    </row>
    <row r="698" spans="4:12" hidden="1" x14ac:dyDescent="0.25">
      <c r="D698" s="11"/>
      <c r="E698" s="11"/>
      <c r="F698" s="11"/>
      <c r="G698" s="11"/>
      <c r="H698" s="11"/>
      <c r="I698" s="11"/>
      <c r="J698" s="11"/>
      <c r="K698" s="11"/>
      <c r="L698" s="11"/>
    </row>
    <row r="699" spans="4:12" hidden="1" x14ac:dyDescent="0.25">
      <c r="D699" s="11"/>
      <c r="E699" s="11"/>
      <c r="F699" s="11"/>
      <c r="G699" s="11"/>
      <c r="H699" s="11"/>
      <c r="I699" s="11"/>
      <c r="J699" s="11"/>
      <c r="K699" s="11"/>
      <c r="L699" s="11"/>
    </row>
    <row r="700" spans="4:12" hidden="1" x14ac:dyDescent="0.25">
      <c r="D700" s="11"/>
      <c r="E700" s="11"/>
      <c r="F700" s="11"/>
      <c r="G700" s="11"/>
      <c r="H700" s="11"/>
      <c r="I700" s="11"/>
      <c r="J700" s="11"/>
      <c r="K700" s="11"/>
      <c r="L700" s="11"/>
    </row>
    <row r="701" spans="4:12" hidden="1" x14ac:dyDescent="0.25">
      <c r="D701" s="11"/>
      <c r="E701" s="11"/>
      <c r="F701" s="11"/>
      <c r="G701" s="11"/>
      <c r="H701" s="11"/>
      <c r="I701" s="11"/>
      <c r="J701" s="11"/>
      <c r="K701" s="11"/>
      <c r="L701" s="11"/>
    </row>
    <row r="702" spans="4:12" hidden="1" x14ac:dyDescent="0.25">
      <c r="D702" s="11"/>
      <c r="E702" s="11"/>
      <c r="F702" s="11"/>
      <c r="G702" s="11"/>
      <c r="H702" s="11"/>
      <c r="I702" s="11"/>
      <c r="J702" s="11"/>
      <c r="K702" s="11"/>
      <c r="L702" s="11"/>
    </row>
    <row r="703" spans="4:12" hidden="1" x14ac:dyDescent="0.25">
      <c r="D703" s="11"/>
      <c r="E703" s="11"/>
      <c r="F703" s="11"/>
      <c r="G703" s="11"/>
      <c r="H703" s="11"/>
      <c r="I703" s="11"/>
      <c r="J703" s="11"/>
      <c r="K703" s="11"/>
      <c r="L703" s="11"/>
    </row>
    <row r="704" spans="4:12" hidden="1" x14ac:dyDescent="0.25">
      <c r="D704" s="11"/>
      <c r="E704" s="11"/>
      <c r="F704" s="11"/>
      <c r="G704" s="11"/>
      <c r="H704" s="11"/>
      <c r="I704" s="11"/>
      <c r="J704" s="11"/>
      <c r="K704" s="11"/>
      <c r="L704" s="11"/>
    </row>
    <row r="705" spans="4:12" hidden="1" x14ac:dyDescent="0.25">
      <c r="D705" s="11"/>
      <c r="E705" s="11"/>
      <c r="F705" s="11"/>
      <c r="G705" s="11"/>
      <c r="H705" s="11"/>
      <c r="I705" s="11"/>
      <c r="J705" s="11"/>
      <c r="K705" s="11"/>
      <c r="L705" s="11"/>
    </row>
    <row r="706" spans="4:12" hidden="1" x14ac:dyDescent="0.25">
      <c r="D706" s="11"/>
      <c r="E706" s="11"/>
      <c r="F706" s="11"/>
      <c r="G706" s="11"/>
      <c r="H706" s="11"/>
      <c r="I706" s="11"/>
      <c r="J706" s="11"/>
      <c r="K706" s="11"/>
      <c r="L706" s="11"/>
    </row>
    <row r="707" spans="4:12" hidden="1" x14ac:dyDescent="0.25">
      <c r="D707" s="11"/>
      <c r="E707" s="11"/>
      <c r="F707" s="11"/>
      <c r="G707" s="11"/>
      <c r="H707" s="11"/>
      <c r="I707" s="11"/>
      <c r="J707" s="11"/>
      <c r="K707" s="11"/>
      <c r="L707" s="11"/>
    </row>
    <row r="708" spans="4:12" hidden="1" x14ac:dyDescent="0.25">
      <c r="D708" s="11"/>
      <c r="E708" s="11"/>
      <c r="F708" s="11"/>
      <c r="G708" s="11"/>
      <c r="H708" s="11"/>
      <c r="I708" s="11"/>
      <c r="J708" s="11"/>
      <c r="K708" s="11"/>
      <c r="L708" s="11"/>
    </row>
    <row r="709" spans="4:12" hidden="1" x14ac:dyDescent="0.25">
      <c r="D709" s="11"/>
      <c r="E709" s="11"/>
      <c r="F709" s="11"/>
      <c r="G709" s="11"/>
      <c r="H709" s="11"/>
      <c r="I709" s="11"/>
      <c r="J709" s="11"/>
      <c r="K709" s="11"/>
      <c r="L709" s="11"/>
    </row>
    <row r="710" spans="4:12" hidden="1" x14ac:dyDescent="0.25">
      <c r="D710" s="11"/>
      <c r="E710" s="11"/>
      <c r="F710" s="11"/>
      <c r="G710" s="11"/>
      <c r="H710" s="11"/>
      <c r="I710" s="11"/>
      <c r="J710" s="11"/>
      <c r="K710" s="11"/>
      <c r="L710" s="11"/>
    </row>
    <row r="711" spans="4:12" hidden="1" x14ac:dyDescent="0.25">
      <c r="D711" s="11"/>
      <c r="E711" s="11"/>
      <c r="F711" s="11"/>
      <c r="G711" s="11"/>
      <c r="H711" s="11"/>
      <c r="I711" s="11"/>
      <c r="J711" s="11"/>
      <c r="K711" s="11"/>
      <c r="L711" s="11"/>
    </row>
    <row r="712" spans="4:12" hidden="1" x14ac:dyDescent="0.25">
      <c r="D712" s="11"/>
      <c r="E712" s="11"/>
      <c r="F712" s="11"/>
      <c r="G712" s="11"/>
      <c r="H712" s="11"/>
      <c r="I712" s="11"/>
      <c r="J712" s="11"/>
      <c r="K712" s="11"/>
      <c r="L712" s="11"/>
    </row>
    <row r="713" spans="4:12" hidden="1" x14ac:dyDescent="0.25">
      <c r="D713" s="11"/>
      <c r="E713" s="11"/>
      <c r="F713" s="11"/>
      <c r="G713" s="11"/>
      <c r="H713" s="11"/>
      <c r="I713" s="11"/>
      <c r="J713" s="11"/>
      <c r="K713" s="11"/>
      <c r="L713" s="11"/>
    </row>
    <row r="714" spans="4:12" hidden="1" x14ac:dyDescent="0.25">
      <c r="D714" s="11"/>
      <c r="E714" s="11"/>
      <c r="F714" s="11"/>
      <c r="G714" s="11"/>
      <c r="H714" s="11"/>
      <c r="I714" s="11"/>
      <c r="J714" s="11"/>
      <c r="K714" s="11"/>
      <c r="L714" s="11"/>
    </row>
    <row r="715" spans="4:12" hidden="1" x14ac:dyDescent="0.25">
      <c r="D715" s="11"/>
      <c r="E715" s="11"/>
      <c r="F715" s="11"/>
      <c r="G715" s="11"/>
      <c r="H715" s="11"/>
      <c r="I715" s="11"/>
      <c r="J715" s="11"/>
      <c r="K715" s="11"/>
      <c r="L715" s="11"/>
    </row>
    <row r="716" spans="4:12" hidden="1" x14ac:dyDescent="0.25">
      <c r="D716" s="11"/>
      <c r="E716" s="11"/>
      <c r="F716" s="11"/>
      <c r="G716" s="11"/>
      <c r="H716" s="11"/>
      <c r="I716" s="11"/>
      <c r="J716" s="11"/>
      <c r="K716" s="11"/>
      <c r="L716" s="11"/>
    </row>
    <row r="717" spans="4:12" hidden="1" x14ac:dyDescent="0.25">
      <c r="D717" s="11"/>
      <c r="E717" s="11"/>
      <c r="F717" s="11"/>
      <c r="G717" s="11"/>
      <c r="H717" s="11"/>
      <c r="I717" s="11"/>
      <c r="J717" s="11"/>
      <c r="K717" s="11"/>
      <c r="L717" s="11"/>
    </row>
    <row r="718" spans="4:12" hidden="1" x14ac:dyDescent="0.25">
      <c r="D718" s="11"/>
      <c r="E718" s="11"/>
      <c r="F718" s="11"/>
      <c r="G718" s="11"/>
      <c r="H718" s="11"/>
      <c r="I718" s="11"/>
      <c r="J718" s="11"/>
      <c r="K718" s="11"/>
      <c r="L718" s="11"/>
    </row>
    <row r="719" spans="4:12" hidden="1" x14ac:dyDescent="0.25">
      <c r="D719" s="11"/>
      <c r="E719" s="11"/>
      <c r="F719" s="11"/>
      <c r="G719" s="11"/>
      <c r="H719" s="11"/>
      <c r="I719" s="11"/>
      <c r="J719" s="11"/>
      <c r="K719" s="11"/>
      <c r="L719" s="11"/>
    </row>
    <row r="720" spans="4:12" hidden="1" x14ac:dyDescent="0.25">
      <c r="D720" s="11"/>
      <c r="E720" s="11"/>
      <c r="F720" s="11"/>
      <c r="G720" s="11"/>
      <c r="H720" s="11"/>
      <c r="I720" s="11"/>
      <c r="J720" s="11"/>
      <c r="K720" s="11"/>
      <c r="L720" s="11"/>
    </row>
    <row r="721" spans="4:12" hidden="1" x14ac:dyDescent="0.25">
      <c r="D721" s="11"/>
      <c r="E721" s="11"/>
      <c r="F721" s="11"/>
      <c r="G721" s="11"/>
      <c r="H721" s="11"/>
      <c r="I721" s="11"/>
      <c r="J721" s="11"/>
      <c r="K721" s="11"/>
      <c r="L721" s="11"/>
    </row>
    <row r="722" spans="4:12" hidden="1" x14ac:dyDescent="0.25">
      <c r="D722" s="11"/>
      <c r="E722" s="11"/>
      <c r="F722" s="11"/>
      <c r="G722" s="11"/>
      <c r="H722" s="11"/>
      <c r="I722" s="11"/>
      <c r="J722" s="11"/>
      <c r="K722" s="11"/>
      <c r="L722" s="11"/>
    </row>
    <row r="723" spans="4:12" hidden="1" x14ac:dyDescent="0.25">
      <c r="D723" s="11"/>
      <c r="E723" s="11"/>
      <c r="F723" s="11"/>
      <c r="G723" s="11"/>
      <c r="H723" s="11"/>
      <c r="I723" s="11"/>
      <c r="J723" s="11"/>
      <c r="K723" s="11"/>
      <c r="L723" s="11"/>
    </row>
    <row r="724" spans="4:12" hidden="1" x14ac:dyDescent="0.25">
      <c r="D724" s="11"/>
      <c r="E724" s="11"/>
      <c r="F724" s="11"/>
      <c r="G724" s="11"/>
      <c r="H724" s="11"/>
      <c r="I724" s="11"/>
      <c r="J724" s="11"/>
      <c r="K724" s="11"/>
      <c r="L724" s="11"/>
    </row>
    <row r="725" spans="4:12" hidden="1" x14ac:dyDescent="0.25">
      <c r="D725" s="11"/>
      <c r="E725" s="11"/>
      <c r="F725" s="11"/>
      <c r="G725" s="11"/>
      <c r="H725" s="11"/>
      <c r="I725" s="11"/>
      <c r="J725" s="11"/>
      <c r="K725" s="11"/>
      <c r="L725" s="11"/>
    </row>
    <row r="726" spans="4:12" hidden="1" x14ac:dyDescent="0.25">
      <c r="D726" s="11"/>
      <c r="E726" s="11"/>
      <c r="F726" s="11"/>
      <c r="G726" s="11"/>
      <c r="H726" s="11"/>
      <c r="I726" s="11"/>
      <c r="J726" s="11"/>
      <c r="K726" s="11"/>
      <c r="L726" s="11"/>
    </row>
    <row r="727" spans="4:12" hidden="1" x14ac:dyDescent="0.25">
      <c r="D727" s="11"/>
      <c r="E727" s="11"/>
      <c r="F727" s="11"/>
      <c r="G727" s="11"/>
      <c r="H727" s="11"/>
      <c r="I727" s="11"/>
      <c r="J727" s="11"/>
      <c r="K727" s="11"/>
      <c r="L727" s="11"/>
    </row>
    <row r="728" spans="4:12" hidden="1" x14ac:dyDescent="0.25">
      <c r="D728" s="11"/>
      <c r="E728" s="11"/>
      <c r="F728" s="11"/>
      <c r="G728" s="11"/>
      <c r="H728" s="11"/>
      <c r="I728" s="11"/>
      <c r="J728" s="11"/>
      <c r="K728" s="11"/>
      <c r="L728" s="11"/>
    </row>
    <row r="729" spans="4:12" hidden="1" x14ac:dyDescent="0.25">
      <c r="D729" s="11"/>
      <c r="E729" s="11"/>
      <c r="F729" s="11"/>
      <c r="G729" s="11"/>
      <c r="H729" s="11"/>
      <c r="I729" s="11"/>
      <c r="J729" s="11"/>
      <c r="K729" s="11"/>
      <c r="L729" s="11"/>
    </row>
    <row r="730" spans="4:12" hidden="1" x14ac:dyDescent="0.25">
      <c r="D730" s="11"/>
      <c r="E730" s="11"/>
      <c r="F730" s="11"/>
      <c r="G730" s="11"/>
      <c r="H730" s="11"/>
      <c r="I730" s="11"/>
      <c r="J730" s="11"/>
      <c r="K730" s="11"/>
      <c r="L730" s="11"/>
    </row>
    <row r="731" spans="4:12" hidden="1" x14ac:dyDescent="0.25">
      <c r="D731" s="11"/>
      <c r="E731" s="11"/>
      <c r="F731" s="11"/>
      <c r="G731" s="11"/>
      <c r="H731" s="11"/>
      <c r="I731" s="11"/>
      <c r="J731" s="11"/>
      <c r="K731" s="11"/>
      <c r="L731" s="11"/>
    </row>
    <row r="732" spans="4:12" hidden="1" x14ac:dyDescent="0.25">
      <c r="D732" s="11"/>
      <c r="E732" s="11"/>
      <c r="F732" s="11"/>
      <c r="G732" s="11"/>
      <c r="H732" s="11"/>
      <c r="I732" s="11"/>
      <c r="J732" s="11"/>
      <c r="K732" s="11"/>
      <c r="L732" s="11"/>
    </row>
    <row r="733" spans="4:12" hidden="1" x14ac:dyDescent="0.25">
      <c r="D733" s="11"/>
      <c r="E733" s="11"/>
      <c r="F733" s="11"/>
      <c r="G733" s="11"/>
      <c r="H733" s="11"/>
      <c r="I733" s="11"/>
      <c r="J733" s="11"/>
      <c r="K733" s="11"/>
      <c r="L733" s="11"/>
    </row>
    <row r="734" spans="4:12" hidden="1" x14ac:dyDescent="0.25">
      <c r="D734" s="11"/>
      <c r="E734" s="11"/>
      <c r="F734" s="11"/>
      <c r="G734" s="11"/>
      <c r="H734" s="11"/>
      <c r="I734" s="11"/>
      <c r="J734" s="11"/>
      <c r="K734" s="11"/>
      <c r="L734" s="11"/>
    </row>
    <row r="735" spans="4:12" hidden="1" x14ac:dyDescent="0.25">
      <c r="D735" s="11"/>
      <c r="E735" s="11"/>
      <c r="F735" s="11"/>
      <c r="G735" s="11"/>
      <c r="H735" s="11"/>
      <c r="I735" s="11"/>
      <c r="J735" s="11"/>
      <c r="K735" s="11"/>
      <c r="L735" s="11"/>
    </row>
    <row r="736" spans="4:12" hidden="1" x14ac:dyDescent="0.25">
      <c r="D736" s="11"/>
      <c r="E736" s="11"/>
      <c r="F736" s="11"/>
      <c r="G736" s="11"/>
      <c r="H736" s="11"/>
      <c r="I736" s="11"/>
      <c r="J736" s="11"/>
      <c r="K736" s="11"/>
      <c r="L736" s="11"/>
    </row>
    <row r="737" spans="4:12" hidden="1" x14ac:dyDescent="0.25">
      <c r="D737" s="11"/>
      <c r="E737" s="11"/>
      <c r="F737" s="11"/>
      <c r="G737" s="11"/>
      <c r="H737" s="11"/>
      <c r="I737" s="11"/>
      <c r="J737" s="11"/>
      <c r="K737" s="11"/>
      <c r="L737" s="11"/>
    </row>
    <row r="738" spans="4:12" hidden="1" x14ac:dyDescent="0.25">
      <c r="D738" s="11"/>
      <c r="E738" s="11"/>
      <c r="F738" s="11"/>
      <c r="G738" s="11"/>
      <c r="H738" s="11"/>
      <c r="I738" s="11"/>
      <c r="J738" s="11"/>
      <c r="K738" s="11"/>
      <c r="L738" s="11"/>
    </row>
    <row r="739" spans="4:12" hidden="1" x14ac:dyDescent="0.25">
      <c r="D739" s="11"/>
      <c r="E739" s="11"/>
      <c r="F739" s="11"/>
      <c r="G739" s="11"/>
      <c r="H739" s="11"/>
      <c r="I739" s="11"/>
      <c r="J739" s="11"/>
      <c r="K739" s="11"/>
      <c r="L739" s="11"/>
    </row>
    <row r="740" spans="4:12" hidden="1" x14ac:dyDescent="0.25">
      <c r="D740" s="11"/>
      <c r="E740" s="11"/>
      <c r="F740" s="11"/>
      <c r="G740" s="11"/>
      <c r="H740" s="11"/>
      <c r="I740" s="11"/>
      <c r="J740" s="11"/>
      <c r="K740" s="11"/>
      <c r="L740" s="11"/>
    </row>
    <row r="741" spans="4:12" hidden="1" x14ac:dyDescent="0.25">
      <c r="D741" s="11"/>
      <c r="E741" s="11"/>
      <c r="F741" s="11"/>
      <c r="G741" s="11"/>
      <c r="H741" s="11"/>
      <c r="I741" s="11"/>
      <c r="J741" s="11"/>
      <c r="K741" s="11"/>
      <c r="L741" s="11"/>
    </row>
    <row r="742" spans="4:12" hidden="1" x14ac:dyDescent="0.25">
      <c r="D742" s="11"/>
      <c r="E742" s="11"/>
      <c r="F742" s="11"/>
      <c r="G742" s="11"/>
      <c r="H742" s="11"/>
      <c r="I742" s="11"/>
      <c r="J742" s="11"/>
      <c r="K742" s="11"/>
      <c r="L742" s="11"/>
    </row>
    <row r="743" spans="4:12" hidden="1" x14ac:dyDescent="0.25">
      <c r="D743" s="11"/>
      <c r="E743" s="11"/>
      <c r="F743" s="11"/>
      <c r="G743" s="11"/>
      <c r="H743" s="11"/>
      <c r="I743" s="11"/>
      <c r="J743" s="11"/>
      <c r="K743" s="11"/>
      <c r="L743" s="11"/>
    </row>
    <row r="744" spans="4:12" hidden="1" x14ac:dyDescent="0.25">
      <c r="D744" s="11"/>
      <c r="E744" s="11"/>
      <c r="F744" s="11"/>
      <c r="G744" s="11"/>
      <c r="H744" s="11"/>
      <c r="I744" s="11"/>
      <c r="J744" s="11"/>
      <c r="K744" s="11"/>
      <c r="L744" s="11"/>
    </row>
    <row r="745" spans="4:12" hidden="1" x14ac:dyDescent="0.25">
      <c r="D745" s="11"/>
      <c r="E745" s="11"/>
      <c r="F745" s="11"/>
      <c r="G745" s="11"/>
      <c r="H745" s="11"/>
      <c r="I745" s="11"/>
      <c r="J745" s="11"/>
      <c r="K745" s="11"/>
      <c r="L745" s="11"/>
    </row>
    <row r="746" spans="4:12" hidden="1" x14ac:dyDescent="0.25">
      <c r="D746" s="11"/>
      <c r="E746" s="11"/>
      <c r="F746" s="11"/>
      <c r="G746" s="11"/>
      <c r="H746" s="11"/>
      <c r="I746" s="11"/>
      <c r="J746" s="11"/>
      <c r="K746" s="11"/>
      <c r="L746" s="11"/>
    </row>
    <row r="747" spans="4:12" hidden="1" x14ac:dyDescent="0.25">
      <c r="D747" s="11"/>
      <c r="E747" s="11"/>
      <c r="F747" s="11"/>
      <c r="G747" s="11"/>
      <c r="H747" s="11"/>
      <c r="I747" s="11"/>
      <c r="J747" s="11"/>
      <c r="K747" s="11"/>
      <c r="L747" s="11"/>
    </row>
    <row r="748" spans="4:12" hidden="1" x14ac:dyDescent="0.25">
      <c r="D748" s="11"/>
      <c r="E748" s="11"/>
      <c r="F748" s="11"/>
      <c r="G748" s="11"/>
      <c r="H748" s="11"/>
      <c r="I748" s="11"/>
      <c r="J748" s="11"/>
      <c r="K748" s="11"/>
      <c r="L748" s="11"/>
    </row>
    <row r="749" spans="4:12" hidden="1" x14ac:dyDescent="0.25">
      <c r="D749" s="11"/>
      <c r="E749" s="11"/>
      <c r="F749" s="11"/>
      <c r="G749" s="11"/>
      <c r="H749" s="11"/>
      <c r="I749" s="11"/>
      <c r="J749" s="11"/>
      <c r="K749" s="11"/>
      <c r="L749" s="11"/>
    </row>
    <row r="750" spans="4:12" hidden="1" x14ac:dyDescent="0.25">
      <c r="D750" s="11"/>
      <c r="E750" s="11"/>
      <c r="F750" s="11"/>
      <c r="G750" s="11"/>
      <c r="H750" s="11"/>
      <c r="I750" s="11"/>
      <c r="J750" s="11"/>
      <c r="K750" s="11"/>
      <c r="L750" s="11"/>
    </row>
    <row r="751" spans="4:12" hidden="1" x14ac:dyDescent="0.25">
      <c r="D751" s="11"/>
      <c r="E751" s="11"/>
      <c r="F751" s="11"/>
      <c r="G751" s="11"/>
      <c r="H751" s="11"/>
      <c r="I751" s="11"/>
      <c r="J751" s="11"/>
      <c r="K751" s="11"/>
      <c r="L751" s="11"/>
    </row>
    <row r="752" spans="4:12" hidden="1" x14ac:dyDescent="0.25">
      <c r="D752" s="11"/>
      <c r="E752" s="11"/>
      <c r="F752" s="11"/>
      <c r="G752" s="11"/>
      <c r="H752" s="11"/>
      <c r="I752" s="11"/>
      <c r="J752" s="11"/>
      <c r="K752" s="11"/>
      <c r="L752" s="11"/>
    </row>
    <row r="753" spans="4:12" hidden="1" x14ac:dyDescent="0.25">
      <c r="D753" s="11"/>
      <c r="E753" s="11"/>
      <c r="F753" s="11"/>
      <c r="G753" s="11"/>
      <c r="H753" s="11"/>
      <c r="I753" s="11"/>
      <c r="J753" s="11"/>
      <c r="K753" s="11"/>
      <c r="L753" s="11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H277 H284:H1048576">
    <cfRule type="cellIs" dxfId="23" priority="1" operator="lessThan">
      <formula>-0.1</formula>
    </cfRule>
    <cfRule type="cellIs" dxfId="22" priority="2" operator="greaterThan">
      <formula>0.1</formula>
    </cfRule>
  </conditionalFormatting>
  <conditionalFormatting sqref="K277 K284:K1048576">
    <cfRule type="cellIs" dxfId="21" priority="3" operator="lessThan">
      <formula>-0.1</formula>
    </cfRule>
    <cfRule type="cellIs" dxfId="20" priority="4" operator="greaterThan">
      <formula>0.1</formula>
    </cfRule>
  </conditionalFormatting>
  <pageMargins left="0.2" right="0.2" top="0.75" bottom="0.5" header="0.3" footer="0.3"/>
  <pageSetup paperSize="3" scale="88" fitToHeight="0" orientation="landscape" r:id="rId1"/>
  <headerFooter>
    <oddHeader>&amp;C&amp;"-,Bold"&amp;14FY26 OPERATING BUDGET - STREETS / MAINTENANCE - FIRST DRAFT - 12.11.24</oddHeader>
    <oddFooter>&amp;R&amp;P of &amp;N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B19468-170A-467E-82F9-22F2A9188E5D}">
  <sheetPr>
    <pageSetUpPr fitToPage="1"/>
  </sheetPr>
  <dimension ref="A1:M753"/>
  <sheetViews>
    <sheetView workbookViewId="0"/>
  </sheetViews>
  <sheetFormatPr defaultRowHeight="15" x14ac:dyDescent="0.25"/>
  <cols>
    <col min="1" max="1" width="22" style="4" bestFit="1" customWidth="1"/>
    <col min="2" max="2" width="70.42578125" style="4" bestFit="1" customWidth="1"/>
    <col min="3" max="3" width="14.5703125" style="4" bestFit="1" customWidth="1"/>
    <col min="4" max="7" width="14.5703125" style="4" customWidth="1"/>
    <col min="8" max="8" width="2.7109375" style="4" customWidth="1"/>
    <col min="9" max="9" width="16.42578125" style="4" bestFit="1" customWidth="1"/>
    <col min="10" max="10" width="20" style="4" customWidth="1"/>
    <col min="11" max="11" width="2.7109375" style="4" customWidth="1"/>
    <col min="12" max="12" width="16.42578125" style="37" bestFit="1" customWidth="1"/>
    <col min="13" max="13" width="17.42578125" style="38" customWidth="1"/>
  </cols>
  <sheetData>
    <row r="1" spans="1:13" x14ac:dyDescent="0.25">
      <c r="A1" s="1" t="s">
        <v>0</v>
      </c>
      <c r="B1" s="2" t="s">
        <v>1</v>
      </c>
      <c r="C1" s="52" t="s">
        <v>327</v>
      </c>
      <c r="D1" s="52" t="s">
        <v>328</v>
      </c>
      <c r="E1" s="52" t="s">
        <v>329</v>
      </c>
      <c r="F1" s="52" t="s">
        <v>330</v>
      </c>
      <c r="G1" s="52" t="s">
        <v>331</v>
      </c>
      <c r="H1" s="3"/>
      <c r="I1" s="52" t="s">
        <v>2</v>
      </c>
      <c r="J1" s="52" t="s">
        <v>332</v>
      </c>
      <c r="K1" s="3"/>
      <c r="L1" s="55" t="s">
        <v>3</v>
      </c>
      <c r="M1" s="54" t="s">
        <v>333</v>
      </c>
    </row>
    <row r="2" spans="1:13" x14ac:dyDescent="0.25">
      <c r="A2" s="5"/>
      <c r="B2" s="6"/>
      <c r="C2" s="52"/>
      <c r="D2" s="52"/>
      <c r="E2" s="52"/>
      <c r="F2" s="52"/>
      <c r="G2" s="52"/>
      <c r="H2" s="3"/>
      <c r="I2" s="52"/>
      <c r="J2" s="52"/>
      <c r="K2" s="3"/>
      <c r="L2" s="55"/>
      <c r="M2" s="54"/>
    </row>
    <row r="3" spans="1:13" hidden="1" x14ac:dyDescent="0.25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3" hidden="1" x14ac:dyDescent="0.25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3" hidden="1" x14ac:dyDescent="0.25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3" hidden="1" x14ac:dyDescent="0.25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450000</v>
      </c>
      <c r="M6" s="38">
        <f>+L6/J6</f>
        <v>0.6428571428571429</v>
      </c>
    </row>
    <row r="7" spans="1:13" hidden="1" x14ac:dyDescent="0.25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800000</v>
      </c>
      <c r="M7" s="38">
        <f>+L7/J7</f>
        <v>0.96969696969696972</v>
      </c>
    </row>
    <row r="8" spans="1:13" hidden="1" x14ac:dyDescent="0.25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>+L8/J8</f>
        <v>1</v>
      </c>
    </row>
    <row r="9" spans="1:13" hidden="1" x14ac:dyDescent="0.25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>+L9/J9</f>
        <v>1</v>
      </c>
    </row>
    <row r="10" spans="1:13" hidden="1" x14ac:dyDescent="0.25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>+L10/J10</f>
        <v>1</v>
      </c>
    </row>
    <row r="11" spans="1:13" hidden="1" x14ac:dyDescent="0.25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3" hidden="1" x14ac:dyDescent="0.25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1860000</v>
      </c>
      <c r="M12" s="38">
        <f>+L12/J12</f>
        <v>0.87119437939110067</v>
      </c>
    </row>
    <row r="13" spans="1:13" hidden="1" x14ac:dyDescent="0.25">
      <c r="D13" s="11"/>
      <c r="E13" s="11"/>
      <c r="F13" s="11"/>
      <c r="G13" s="11"/>
      <c r="H13" s="3"/>
      <c r="I13" s="11"/>
      <c r="J13" s="11"/>
      <c r="K13" s="3"/>
      <c r="L13" s="11"/>
    </row>
    <row r="14" spans="1:13" hidden="1" x14ac:dyDescent="0.25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3" hidden="1" x14ac:dyDescent="0.25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3" hidden="1" x14ac:dyDescent="0.25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3" hidden="1" x14ac:dyDescent="0.25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>+L17/J17</f>
        <v>1</v>
      </c>
    </row>
    <row r="18" spans="1:13" hidden="1" x14ac:dyDescent="0.25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3" hidden="1" x14ac:dyDescent="0.25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ref="M19:M26" si="0">+L19/J19</f>
        <v>1.0317460317460319</v>
      </c>
    </row>
    <row r="20" spans="1:13" hidden="1" x14ac:dyDescent="0.25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0"/>
        <v>0.99580712788259962</v>
      </c>
    </row>
    <row r="21" spans="1:13" hidden="1" x14ac:dyDescent="0.25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361053.5</v>
      </c>
      <c r="H21" s="3"/>
      <c r="I21" s="11">
        <v>880085</v>
      </c>
      <c r="J21" s="11">
        <v>361000</v>
      </c>
      <c r="K21" s="3"/>
      <c r="L21" s="11">
        <v>350000</v>
      </c>
      <c r="M21" s="38">
        <f t="shared" si="0"/>
        <v>0.96952908587257614</v>
      </c>
    </row>
    <row r="22" spans="1:13" hidden="1" x14ac:dyDescent="0.25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1173685.8799999999</v>
      </c>
      <c r="H22" s="3"/>
      <c r="I22" s="11">
        <f>411257+128000</f>
        <v>539257</v>
      </c>
      <c r="J22" s="11">
        <v>1173000</v>
      </c>
      <c r="K22" s="3"/>
      <c r="L22" s="11">
        <v>1175000</v>
      </c>
      <c r="M22" s="38">
        <f t="shared" si="0"/>
        <v>1.0017050298380221</v>
      </c>
    </row>
    <row r="23" spans="1:13" hidden="1" x14ac:dyDescent="0.25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0"/>
        <v>1</v>
      </c>
    </row>
    <row r="24" spans="1:13" hidden="1" x14ac:dyDescent="0.25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0"/>
        <v>1</v>
      </c>
    </row>
    <row r="25" spans="1:13" hidden="1" x14ac:dyDescent="0.25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0"/>
        <v>0.7</v>
      </c>
    </row>
    <row r="26" spans="1:13" hidden="1" x14ac:dyDescent="0.25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0"/>
        <v>1</v>
      </c>
    </row>
    <row r="27" spans="1:13" hidden="1" x14ac:dyDescent="0.25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3" hidden="1" x14ac:dyDescent="0.25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3090060.2399999998</v>
      </c>
      <c r="H28" s="3"/>
      <c r="I28" s="11">
        <f>SUM(I16:I27)</f>
        <v>3144505</v>
      </c>
      <c r="J28" s="11">
        <f>SUM(J16:J27)</f>
        <v>3181000</v>
      </c>
      <c r="K28" s="3"/>
      <c r="L28" s="11">
        <f>SUM(L16:L27)</f>
        <v>3165000</v>
      </c>
      <c r="M28" s="38">
        <f>+L28/J28</f>
        <v>0.99497013517761712</v>
      </c>
    </row>
    <row r="29" spans="1:13" hidden="1" x14ac:dyDescent="0.25">
      <c r="D29" s="11"/>
      <c r="E29" s="11"/>
      <c r="F29" s="11"/>
      <c r="G29" s="11"/>
      <c r="H29" s="3"/>
      <c r="I29" s="11"/>
      <c r="J29" s="11"/>
      <c r="K29" s="3"/>
      <c r="L29" s="11"/>
    </row>
    <row r="30" spans="1:13" hidden="1" x14ac:dyDescent="0.25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3" hidden="1" x14ac:dyDescent="0.25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3" hidden="1" x14ac:dyDescent="0.25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>+L32/J32</f>
        <v>1</v>
      </c>
    </row>
    <row r="33" spans="1:13" hidden="1" x14ac:dyDescent="0.25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>+L33/J33</f>
        <v>1</v>
      </c>
    </row>
    <row r="34" spans="1:13" hidden="1" x14ac:dyDescent="0.25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>+L34/J34</f>
        <v>1</v>
      </c>
    </row>
    <row r="35" spans="1:13" hidden="1" x14ac:dyDescent="0.25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>+L35/J35</f>
        <v>1</v>
      </c>
    </row>
    <row r="36" spans="1:13" hidden="1" x14ac:dyDescent="0.25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hidden="1" x14ac:dyDescent="0.25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</f>
        <v>1</v>
      </c>
    </row>
    <row r="38" spans="1:13" hidden="1" x14ac:dyDescent="0.25">
      <c r="D38" s="11"/>
      <c r="E38" s="11"/>
      <c r="F38" s="11"/>
      <c r="G38" s="11"/>
      <c r="H38" s="3"/>
      <c r="I38" s="11"/>
      <c r="J38" s="11"/>
      <c r="K38" s="3"/>
      <c r="L38" s="11"/>
    </row>
    <row r="39" spans="1:13" hidden="1" x14ac:dyDescent="0.25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hidden="1" x14ac:dyDescent="0.25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hidden="1" x14ac:dyDescent="0.25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hidden="1" x14ac:dyDescent="0.25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>+L42/J42</f>
        <v>1</v>
      </c>
    </row>
    <row r="43" spans="1:13" hidden="1" x14ac:dyDescent="0.25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>+L43/J43</f>
        <v>0.23809523809523808</v>
      </c>
    </row>
    <row r="44" spans="1:13" hidden="1" x14ac:dyDescent="0.25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>+L44/J44</f>
        <v>1</v>
      </c>
    </row>
    <row r="45" spans="1:13" hidden="1" x14ac:dyDescent="0.25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hidden="1" x14ac:dyDescent="0.25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</f>
        <v>0.64179104477611937</v>
      </c>
    </row>
    <row r="47" spans="1:13" hidden="1" x14ac:dyDescent="0.25">
      <c r="D47" s="11"/>
      <c r="E47" s="11"/>
      <c r="F47" s="11"/>
      <c r="G47" s="11"/>
      <c r="H47" s="3"/>
      <c r="I47" s="11"/>
      <c r="J47" s="11"/>
      <c r="K47" s="3"/>
      <c r="L47" s="11"/>
    </row>
    <row r="48" spans="1:13" hidden="1" x14ac:dyDescent="0.25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3" hidden="1" x14ac:dyDescent="0.25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</f>
        <v>0.7142857142857143</v>
      </c>
    </row>
    <row r="50" spans="1:13" hidden="1" x14ac:dyDescent="0.25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3" hidden="1" x14ac:dyDescent="0.25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</f>
        <v>0.7142857142857143</v>
      </c>
    </row>
    <row r="52" spans="1:13" hidden="1" x14ac:dyDescent="0.25">
      <c r="D52" s="11"/>
      <c r="E52" s="11"/>
      <c r="F52" s="11"/>
      <c r="G52" s="11"/>
      <c r="H52" s="3"/>
      <c r="I52" s="11"/>
      <c r="J52" s="11"/>
      <c r="K52" s="3"/>
      <c r="L52" s="11"/>
    </row>
    <row r="53" spans="1:13" hidden="1" x14ac:dyDescent="0.25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3" hidden="1" x14ac:dyDescent="0.25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3" hidden="1" x14ac:dyDescent="0.25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</f>
        <v>0.42857142857142855</v>
      </c>
    </row>
    <row r="56" spans="1:13" hidden="1" x14ac:dyDescent="0.25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3" hidden="1" x14ac:dyDescent="0.25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</f>
        <v>0.1</v>
      </c>
    </row>
    <row r="58" spans="1:13" hidden="1" x14ac:dyDescent="0.25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>
        <v>1500</v>
      </c>
      <c r="J58" s="11">
        <v>1500</v>
      </c>
      <c r="K58" s="3"/>
      <c r="L58" s="11">
        <v>1500</v>
      </c>
      <c r="M58" s="38">
        <f>+L58/J58</f>
        <v>1</v>
      </c>
    </row>
    <row r="59" spans="1:13" hidden="1" x14ac:dyDescent="0.25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</f>
        <v>1</v>
      </c>
    </row>
    <row r="60" spans="1:13" hidden="1" x14ac:dyDescent="0.25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3" hidden="1" x14ac:dyDescent="0.25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55500</v>
      </c>
      <c r="J61" s="11">
        <f>SUM(J55:J60)</f>
        <v>80000</v>
      </c>
      <c r="K61" s="3"/>
      <c r="L61" s="11">
        <f>SUM(L55:L60)</f>
        <v>55500</v>
      </c>
      <c r="M61" s="38">
        <f>+L61/J61</f>
        <v>0.69374999999999998</v>
      </c>
    </row>
    <row r="62" spans="1:13" hidden="1" x14ac:dyDescent="0.25">
      <c r="D62" s="11"/>
      <c r="E62" s="11"/>
      <c r="F62" s="11"/>
      <c r="G62" s="11"/>
      <c r="H62" s="3"/>
      <c r="I62" s="11"/>
      <c r="J62" s="11"/>
      <c r="K62" s="3"/>
      <c r="L62" s="11"/>
    </row>
    <row r="63" spans="1:13" hidden="1" x14ac:dyDescent="0.25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5771463.9800000004</v>
      </c>
      <c r="H63" s="3"/>
      <c r="I63" s="11" cm="1">
        <f t="array" ref="I63:I64">+I60:I61+I51+I46+I37+I28+I12</f>
        <v>5760005</v>
      </c>
      <c r="J63" s="11" cm="1">
        <f t="array" ref="J63:J64">+J60:J61+J51+J46+J37+J28+J12</f>
        <v>6178500</v>
      </c>
      <c r="K63" s="3"/>
      <c r="L63" s="11" cm="1">
        <f t="array" ref="L63:L64">+L60:L61+L51+L46+L37+L28+L12</f>
        <v>5739500</v>
      </c>
      <c r="M63" s="38">
        <f>+L63/J63</f>
        <v>0.92894715545844464</v>
      </c>
    </row>
    <row r="64" spans="1:13" hidden="1" x14ac:dyDescent="0.25">
      <c r="A64" s="27"/>
      <c r="B64" s="27"/>
      <c r="C64" s="26">
        <v>4276151</v>
      </c>
      <c r="D64" s="4">
        <v>6019921.370000001</v>
      </c>
      <c r="E64" s="4">
        <v>4860796.18</v>
      </c>
      <c r="F64" s="4">
        <v>5851407.4800000004</v>
      </c>
      <c r="G64" s="4">
        <v>5811859.7700000005</v>
      </c>
      <c r="H64" s="3"/>
      <c r="I64" s="4">
        <v>5815505</v>
      </c>
      <c r="J64" s="4">
        <v>6258500</v>
      </c>
      <c r="K64" s="3"/>
      <c r="L64" s="37">
        <v>5795000</v>
      </c>
    </row>
    <row r="65" spans="1:13" hidden="1" x14ac:dyDescent="0.25">
      <c r="A65" s="27"/>
      <c r="B65" s="27"/>
      <c r="C65" s="26"/>
      <c r="D65" s="11"/>
      <c r="E65" s="11"/>
      <c r="F65" s="11"/>
      <c r="G65" s="11"/>
      <c r="H65" s="3"/>
      <c r="I65" s="11"/>
      <c r="J65" s="11"/>
      <c r="K65" s="3"/>
      <c r="L65" s="11"/>
    </row>
    <row r="66" spans="1:13" hidden="1" x14ac:dyDescent="0.25">
      <c r="A66" s="9" t="s">
        <v>88</v>
      </c>
      <c r="B66" s="10" t="s">
        <v>89</v>
      </c>
      <c r="D66" s="11"/>
      <c r="E66" s="11"/>
      <c r="F66" s="11"/>
      <c r="G66" s="11"/>
      <c r="H66" s="3"/>
      <c r="I66" s="11"/>
      <c r="J66" s="11"/>
      <c r="K66" s="3"/>
      <c r="L66" s="11"/>
    </row>
    <row r="67" spans="1:13" hidden="1" x14ac:dyDescent="0.25">
      <c r="A67" s="12" t="s">
        <v>9</v>
      </c>
      <c r="B67" s="13" t="s">
        <v>10</v>
      </c>
      <c r="D67" s="11"/>
      <c r="E67" s="11"/>
      <c r="F67" s="11"/>
      <c r="G67" s="11"/>
      <c r="H67" s="3"/>
      <c r="I67" s="11"/>
      <c r="J67" s="11"/>
      <c r="K67" s="3"/>
      <c r="L67" s="11"/>
    </row>
    <row r="68" spans="1:13" hidden="1" x14ac:dyDescent="0.25">
      <c r="A68" s="14" t="s">
        <v>90</v>
      </c>
      <c r="B68" s="15" t="s">
        <v>91</v>
      </c>
      <c r="C68" s="16">
        <v>26237</v>
      </c>
      <c r="D68" s="11">
        <v>34249.040000000001</v>
      </c>
      <c r="E68" s="11">
        <v>36787.03</v>
      </c>
      <c r="F68" s="11">
        <v>65317.5</v>
      </c>
      <c r="G68" s="11">
        <v>180826.08</v>
      </c>
      <c r="H68" s="3"/>
      <c r="I68" s="11">
        <v>60000</v>
      </c>
      <c r="J68" s="11">
        <v>200000</v>
      </c>
      <c r="K68" s="3"/>
      <c r="L68" s="11">
        <v>200000</v>
      </c>
      <c r="M68" s="38">
        <f t="shared" ref="M68:M84" si="1">+L68/J68</f>
        <v>1</v>
      </c>
    </row>
    <row r="69" spans="1:13" hidden="1" x14ac:dyDescent="0.25">
      <c r="A69" s="14" t="s">
        <v>92</v>
      </c>
      <c r="B69" s="15" t="s">
        <v>93</v>
      </c>
      <c r="C69" s="16">
        <v>15987</v>
      </c>
      <c r="D69" s="11">
        <v>20126.57</v>
      </c>
      <c r="E69" s="11">
        <v>7018.92</v>
      </c>
      <c r="F69" s="11">
        <v>6942.57</v>
      </c>
      <c r="G69" s="11">
        <v>6245.62</v>
      </c>
      <c r="H69" s="3"/>
      <c r="I69" s="11">
        <f>+I6*0.01</f>
        <v>5000</v>
      </c>
      <c r="J69" s="11">
        <v>7000</v>
      </c>
      <c r="K69" s="3"/>
      <c r="L69" s="11">
        <f>0.01*L6</f>
        <v>4500</v>
      </c>
      <c r="M69" s="38">
        <f t="shared" si="1"/>
        <v>0.6428571428571429</v>
      </c>
    </row>
    <row r="70" spans="1:13" hidden="1" x14ac:dyDescent="0.25">
      <c r="A70" s="14" t="s">
        <v>94</v>
      </c>
      <c r="B70" s="15" t="s">
        <v>95</v>
      </c>
      <c r="C70" s="16">
        <v>373</v>
      </c>
      <c r="D70" s="11">
        <v>4546.7</v>
      </c>
      <c r="E70" s="11">
        <v>1736.1</v>
      </c>
      <c r="F70" s="11">
        <v>3225.47</v>
      </c>
      <c r="G70" s="11">
        <v>2965.18</v>
      </c>
      <c r="H70" s="3"/>
      <c r="I70" s="11">
        <v>3000</v>
      </c>
      <c r="J70" s="11">
        <v>3000</v>
      </c>
      <c r="K70" s="3"/>
      <c r="L70" s="11">
        <v>3000</v>
      </c>
      <c r="M70" s="38">
        <f t="shared" si="1"/>
        <v>1</v>
      </c>
    </row>
    <row r="71" spans="1:13" hidden="1" x14ac:dyDescent="0.25">
      <c r="A71" s="14" t="s">
        <v>96</v>
      </c>
      <c r="B71" s="15" t="s">
        <v>97</v>
      </c>
      <c r="C71" s="16">
        <v>6202</v>
      </c>
      <c r="D71" s="11">
        <v>2604.8200000000002</v>
      </c>
      <c r="E71" s="11">
        <v>3101.25</v>
      </c>
      <c r="F71" s="11">
        <v>232</v>
      </c>
      <c r="G71" s="11">
        <v>239</v>
      </c>
      <c r="H71" s="3"/>
      <c r="I71" s="11">
        <v>5000</v>
      </c>
      <c r="J71" s="11">
        <v>500</v>
      </c>
      <c r="K71" s="3"/>
      <c r="L71" s="11">
        <v>5000</v>
      </c>
      <c r="M71" s="38">
        <f t="shared" si="1"/>
        <v>10</v>
      </c>
    </row>
    <row r="72" spans="1:13" hidden="1" x14ac:dyDescent="0.25">
      <c r="A72" s="14" t="s">
        <v>98</v>
      </c>
      <c r="B72" s="15" t="s">
        <v>62</v>
      </c>
      <c r="C72" s="16">
        <v>0</v>
      </c>
      <c r="D72" s="11">
        <v>5600</v>
      </c>
      <c r="E72" s="11">
        <v>5474.97</v>
      </c>
      <c r="F72" s="11">
        <v>11265</v>
      </c>
      <c r="G72" s="11">
        <v>11700</v>
      </c>
      <c r="H72" s="3"/>
      <c r="I72" s="11">
        <v>5000</v>
      </c>
      <c r="J72" s="11">
        <v>12000</v>
      </c>
      <c r="K72" s="3"/>
      <c r="L72" s="11">
        <v>5000</v>
      </c>
      <c r="M72" s="38">
        <f t="shared" si="1"/>
        <v>0.41666666666666669</v>
      </c>
    </row>
    <row r="73" spans="1:13" hidden="1" x14ac:dyDescent="0.25">
      <c r="A73" s="14" t="s">
        <v>99</v>
      </c>
      <c r="B73" s="15" t="s">
        <v>100</v>
      </c>
      <c r="C73" s="16">
        <v>3410</v>
      </c>
      <c r="D73" s="11">
        <v>1195</v>
      </c>
      <c r="E73" s="11">
        <v>8127.02</v>
      </c>
      <c r="F73" s="11">
        <v>6156</v>
      </c>
      <c r="G73" s="11">
        <v>8940</v>
      </c>
      <c r="H73" s="3"/>
      <c r="I73" s="11">
        <v>5000</v>
      </c>
      <c r="J73" s="11">
        <v>10000</v>
      </c>
      <c r="K73" s="3"/>
      <c r="L73" s="11">
        <v>5000</v>
      </c>
      <c r="M73" s="38">
        <f t="shared" si="1"/>
        <v>0.5</v>
      </c>
    </row>
    <row r="74" spans="1:13" hidden="1" x14ac:dyDescent="0.25">
      <c r="A74" s="14" t="s">
        <v>101</v>
      </c>
      <c r="B74" s="15" t="s">
        <v>102</v>
      </c>
      <c r="C74" s="16">
        <f>57845+2373</f>
        <v>60218</v>
      </c>
      <c r="D74" s="11">
        <v>56921.25</v>
      </c>
      <c r="E74" s="11">
        <v>37022.5</v>
      </c>
      <c r="F74" s="11">
        <v>81058.55</v>
      </c>
      <c r="G74" s="11">
        <v>70914.41</v>
      </c>
      <c r="H74" s="3"/>
      <c r="I74" s="11">
        <v>100000</v>
      </c>
      <c r="J74" s="11">
        <v>100000</v>
      </c>
      <c r="K74" s="3"/>
      <c r="L74" s="11">
        <v>100000</v>
      </c>
      <c r="M74" s="38">
        <f t="shared" si="1"/>
        <v>1</v>
      </c>
    </row>
    <row r="75" spans="1:13" hidden="1" x14ac:dyDescent="0.25">
      <c r="A75" s="14" t="s">
        <v>103</v>
      </c>
      <c r="B75" s="15" t="s">
        <v>104</v>
      </c>
      <c r="C75" s="16">
        <v>21000</v>
      </c>
      <c r="D75" s="11">
        <v>24500</v>
      </c>
      <c r="E75" s="11">
        <v>31990</v>
      </c>
      <c r="F75" s="11">
        <v>55595</v>
      </c>
      <c r="G75" s="11">
        <v>67393</v>
      </c>
      <c r="H75" s="3"/>
      <c r="I75" s="11">
        <v>60000</v>
      </c>
      <c r="J75" s="11">
        <v>68000</v>
      </c>
      <c r="K75" s="3"/>
      <c r="L75" s="11">
        <v>65000</v>
      </c>
      <c r="M75" s="38">
        <f t="shared" si="1"/>
        <v>0.95588235294117652</v>
      </c>
    </row>
    <row r="76" spans="1:13" hidden="1" x14ac:dyDescent="0.25">
      <c r="A76" s="14" t="s">
        <v>105</v>
      </c>
      <c r="B76" s="15" t="s">
        <v>106</v>
      </c>
      <c r="C76" s="16">
        <v>0</v>
      </c>
      <c r="D76" s="11">
        <v>0</v>
      </c>
      <c r="E76" s="11">
        <v>0</v>
      </c>
      <c r="F76" s="11">
        <v>0</v>
      </c>
      <c r="G76" s="11">
        <v>0</v>
      </c>
      <c r="H76" s="3"/>
      <c r="I76" s="11">
        <v>2000</v>
      </c>
      <c r="J76" s="11">
        <v>2000</v>
      </c>
      <c r="K76" s="3"/>
      <c r="L76" s="11">
        <v>0</v>
      </c>
      <c r="M76" s="38">
        <f t="shared" si="1"/>
        <v>0</v>
      </c>
    </row>
    <row r="77" spans="1:13" hidden="1" x14ac:dyDescent="0.25">
      <c r="A77" s="14" t="s">
        <v>107</v>
      </c>
      <c r="B77" s="15" t="s">
        <v>108</v>
      </c>
      <c r="C77" s="16">
        <v>970</v>
      </c>
      <c r="D77" s="11">
        <v>280</v>
      </c>
      <c r="E77" s="11">
        <v>14559.11</v>
      </c>
      <c r="F77" s="11">
        <v>8440.1</v>
      </c>
      <c r="G77" s="11">
        <v>3170</v>
      </c>
      <c r="H77" s="3"/>
      <c r="I77" s="11">
        <v>3000</v>
      </c>
      <c r="J77" s="11">
        <v>3000</v>
      </c>
      <c r="K77" s="3"/>
      <c r="L77" s="11">
        <v>3000</v>
      </c>
      <c r="M77" s="38">
        <f t="shared" si="1"/>
        <v>1</v>
      </c>
    </row>
    <row r="78" spans="1:13" hidden="1" x14ac:dyDescent="0.25">
      <c r="A78" s="14" t="s">
        <v>109</v>
      </c>
      <c r="B78" s="15" t="s">
        <v>110</v>
      </c>
      <c r="C78" s="16">
        <v>79966</v>
      </c>
      <c r="D78" s="11">
        <v>105164.45</v>
      </c>
      <c r="E78" s="11">
        <v>88000.18</v>
      </c>
      <c r="F78" s="11">
        <v>134525.44</v>
      </c>
      <c r="G78" s="11">
        <v>60944.78</v>
      </c>
      <c r="H78" s="3"/>
      <c r="I78" s="11">
        <v>85000</v>
      </c>
      <c r="J78" s="11">
        <v>85000</v>
      </c>
      <c r="K78" s="3"/>
      <c r="L78" s="11">
        <v>85000</v>
      </c>
      <c r="M78" s="38">
        <f t="shared" si="1"/>
        <v>1</v>
      </c>
    </row>
    <row r="79" spans="1:13" hidden="1" x14ac:dyDescent="0.25">
      <c r="A79" s="14">
        <v>6010950</v>
      </c>
      <c r="B79" s="15" t="s">
        <v>111</v>
      </c>
      <c r="C79" s="16">
        <v>0</v>
      </c>
      <c r="D79" s="11"/>
      <c r="E79" s="11"/>
      <c r="F79" s="11">
        <v>12656.25</v>
      </c>
      <c r="G79" s="11">
        <v>18002.84</v>
      </c>
      <c r="H79" s="3"/>
      <c r="I79" s="11">
        <v>50000</v>
      </c>
      <c r="J79" s="11">
        <v>25000</v>
      </c>
      <c r="K79" s="3"/>
      <c r="L79" s="11">
        <v>50000</v>
      </c>
      <c r="M79" s="38">
        <f t="shared" si="1"/>
        <v>2</v>
      </c>
    </row>
    <row r="80" spans="1:13" hidden="1" x14ac:dyDescent="0.25">
      <c r="A80" s="14" t="s">
        <v>112</v>
      </c>
      <c r="B80" s="15" t="s">
        <v>113</v>
      </c>
      <c r="C80" s="16">
        <v>8750</v>
      </c>
      <c r="D80" s="11">
        <v>10250</v>
      </c>
      <c r="E80" s="11">
        <v>10200</v>
      </c>
      <c r="F80" s="11">
        <v>10650</v>
      </c>
      <c r="G80" s="11">
        <v>6400</v>
      </c>
      <c r="H80" s="3"/>
      <c r="I80" s="11">
        <v>15000</v>
      </c>
      <c r="J80" s="11">
        <v>15000</v>
      </c>
      <c r="K80" s="3"/>
      <c r="L80" s="11">
        <v>20000</v>
      </c>
      <c r="M80" s="38">
        <f t="shared" si="1"/>
        <v>1.3333333333333333</v>
      </c>
    </row>
    <row r="81" spans="1:13" hidden="1" x14ac:dyDescent="0.25">
      <c r="A81" s="14" t="s">
        <v>114</v>
      </c>
      <c r="B81" s="15" t="s">
        <v>115</v>
      </c>
      <c r="C81" s="16">
        <v>0</v>
      </c>
      <c r="D81" s="11">
        <v>27958.95</v>
      </c>
      <c r="E81" s="11">
        <v>6961.88</v>
      </c>
      <c r="F81" s="11">
        <v>26351.88</v>
      </c>
      <c r="G81" s="11">
        <v>10292.4</v>
      </c>
      <c r="H81" s="3"/>
      <c r="I81" s="11">
        <v>9000</v>
      </c>
      <c r="J81" s="11">
        <v>13000</v>
      </c>
      <c r="K81" s="3"/>
      <c r="L81" s="11">
        <v>15000</v>
      </c>
      <c r="M81" s="38">
        <f t="shared" si="1"/>
        <v>1.1538461538461537</v>
      </c>
    </row>
    <row r="82" spans="1:13" hidden="1" x14ac:dyDescent="0.25">
      <c r="A82" s="14" t="s">
        <v>116</v>
      </c>
      <c r="B82" s="15" t="s">
        <v>117</v>
      </c>
      <c r="C82" s="16">
        <v>5788</v>
      </c>
      <c r="D82" s="11">
        <v>4300</v>
      </c>
      <c r="E82" s="11">
        <v>4869</v>
      </c>
      <c r="F82" s="11">
        <v>4340</v>
      </c>
      <c r="G82" s="11">
        <v>2125</v>
      </c>
      <c r="H82" s="3"/>
      <c r="I82" s="11">
        <v>6500</v>
      </c>
      <c r="J82" s="11">
        <v>6500</v>
      </c>
      <c r="K82" s="3"/>
      <c r="L82" s="11">
        <v>5000</v>
      </c>
      <c r="M82" s="38">
        <f t="shared" si="1"/>
        <v>0.76923076923076927</v>
      </c>
    </row>
    <row r="83" spans="1:13" hidden="1" x14ac:dyDescent="0.25">
      <c r="A83" s="14" t="s">
        <v>118</v>
      </c>
      <c r="B83" s="15" t="s">
        <v>119</v>
      </c>
      <c r="C83" s="16">
        <v>18709</v>
      </c>
      <c r="D83" s="11">
        <v>13876.48</v>
      </c>
      <c r="E83" s="11">
        <v>18187.78</v>
      </c>
      <c r="F83" s="11">
        <v>15407.18</v>
      </c>
      <c r="G83" s="11">
        <v>110.43</v>
      </c>
      <c r="H83" s="3"/>
      <c r="I83" s="11">
        <v>7500</v>
      </c>
      <c r="J83" s="11">
        <v>7500</v>
      </c>
      <c r="K83" s="3"/>
      <c r="L83" s="11">
        <v>7500</v>
      </c>
      <c r="M83" s="38">
        <f t="shared" si="1"/>
        <v>1</v>
      </c>
    </row>
    <row r="84" spans="1:13" hidden="1" x14ac:dyDescent="0.25">
      <c r="A84" s="14" t="s">
        <v>120</v>
      </c>
      <c r="B84" s="15" t="s">
        <v>121</v>
      </c>
      <c r="C84" s="16">
        <v>61378</v>
      </c>
      <c r="D84" s="11">
        <v>40060.879999999997</v>
      </c>
      <c r="E84" s="11">
        <v>1266.28</v>
      </c>
      <c r="F84" s="11">
        <v>36224.44</v>
      </c>
      <c r="G84" s="11">
        <v>14761.21</v>
      </c>
      <c r="H84" s="3"/>
      <c r="I84" s="11">
        <v>35000</v>
      </c>
      <c r="J84" s="11">
        <v>35000</v>
      </c>
      <c r="K84" s="3"/>
      <c r="L84" s="11">
        <v>20000</v>
      </c>
      <c r="M84" s="38">
        <f t="shared" si="1"/>
        <v>0.5714285714285714</v>
      </c>
    </row>
    <row r="85" spans="1:13" hidden="1" x14ac:dyDescent="0.25">
      <c r="A85" s="14"/>
      <c r="B85" s="15"/>
      <c r="C85" s="16"/>
      <c r="D85" s="11"/>
      <c r="E85" s="11"/>
      <c r="F85" s="11"/>
      <c r="G85" s="11"/>
      <c r="H85" s="3"/>
      <c r="I85" s="11"/>
      <c r="J85" s="11"/>
      <c r="K85" s="3"/>
      <c r="L85" s="11"/>
    </row>
    <row r="86" spans="1:13" hidden="1" x14ac:dyDescent="0.25">
      <c r="A86" s="29"/>
      <c r="B86" s="30" t="s">
        <v>122</v>
      </c>
      <c r="C86" s="16">
        <f>SUM(C68:C84)</f>
        <v>308988</v>
      </c>
      <c r="D86" s="11">
        <f>SUM(D68:D84)</f>
        <v>351634.14</v>
      </c>
      <c r="E86" s="11">
        <f>SUM(E68:E84)</f>
        <v>275302.02</v>
      </c>
      <c r="F86" s="11">
        <f>SUM(F68:F84)</f>
        <v>478387.38</v>
      </c>
      <c r="G86" s="11">
        <f>SUM(G68:G84)</f>
        <v>465029.95</v>
      </c>
      <c r="H86" s="3"/>
      <c r="I86" s="11">
        <f>SUM(I68:I84)</f>
        <v>456000</v>
      </c>
      <c r="J86" s="11">
        <f>SUM(J68:J84)</f>
        <v>592500</v>
      </c>
      <c r="K86" s="3"/>
      <c r="L86" s="11">
        <f>SUM(L68:L84)</f>
        <v>593000</v>
      </c>
      <c r="M86" s="38">
        <f>+L86/J86</f>
        <v>1.0008438818565402</v>
      </c>
    </row>
    <row r="87" spans="1:13" hidden="1" x14ac:dyDescent="0.25">
      <c r="A87" s="29"/>
      <c r="B87" s="30"/>
      <c r="C87" s="16"/>
      <c r="D87" s="11"/>
      <c r="E87" s="11"/>
      <c r="F87" s="11"/>
      <c r="G87" s="11"/>
      <c r="H87" s="3"/>
      <c r="I87" s="11"/>
      <c r="J87" s="11"/>
      <c r="K87" s="3"/>
      <c r="L87" s="11"/>
    </row>
    <row r="88" spans="1:13" hidden="1" x14ac:dyDescent="0.25">
      <c r="A88" s="14" t="s">
        <v>123</v>
      </c>
      <c r="B88" s="15" t="s">
        <v>124</v>
      </c>
      <c r="C88" s="16">
        <v>238952</v>
      </c>
      <c r="D88" s="11">
        <v>299344.71999999997</v>
      </c>
      <c r="E88" s="11">
        <v>296161.17</v>
      </c>
      <c r="F88" s="11">
        <v>348848.89</v>
      </c>
      <c r="G88" s="11">
        <v>211577.23</v>
      </c>
      <c r="H88" s="3"/>
      <c r="I88" s="11">
        <v>381989</v>
      </c>
      <c r="J88" s="11">
        <v>381989</v>
      </c>
      <c r="K88" s="3"/>
      <c r="L88" s="11">
        <f>+'[1]Non-Union - 3.5%'!$I$13+'[1]Non-Union - 3.5%'!$V$13</f>
        <v>400796.10425099998</v>
      </c>
      <c r="M88" s="38">
        <f t="shared" ref="M88:M108" si="2">+L88/J88</f>
        <v>1.0492346749539907</v>
      </c>
    </row>
    <row r="89" spans="1:13" hidden="1" x14ac:dyDescent="0.25">
      <c r="A89" s="14" t="s">
        <v>125</v>
      </c>
      <c r="B89" s="15" t="s">
        <v>126</v>
      </c>
      <c r="C89" s="16">
        <v>19656</v>
      </c>
      <c r="D89" s="11">
        <v>24665.38</v>
      </c>
      <c r="E89" s="11">
        <v>23771.06</v>
      </c>
      <c r="F89" s="11">
        <v>25648.01</v>
      </c>
      <c r="G89" s="11">
        <v>18946.3</v>
      </c>
      <c r="H89" s="3"/>
      <c r="I89" s="11">
        <v>30559</v>
      </c>
      <c r="J89" s="11">
        <v>30559</v>
      </c>
      <c r="K89" s="3"/>
      <c r="L89" s="11">
        <f>+'[1]Non-Union - 3.5%'!$P$13+'[1]Non-Union - 3.5%'!$Z$13</f>
        <v>32063.68834008</v>
      </c>
      <c r="M89" s="38">
        <f t="shared" si="2"/>
        <v>1.0492387951202591</v>
      </c>
    </row>
    <row r="90" spans="1:13" hidden="1" x14ac:dyDescent="0.25">
      <c r="A90" s="14" t="s">
        <v>127</v>
      </c>
      <c r="B90" s="15" t="s">
        <v>128</v>
      </c>
      <c r="C90" s="16">
        <v>45927</v>
      </c>
      <c r="D90" s="11">
        <v>58698.76</v>
      </c>
      <c r="E90" s="11">
        <v>67570.789999999994</v>
      </c>
      <c r="F90" s="11">
        <v>64434.796000000002</v>
      </c>
      <c r="G90" s="11">
        <v>51089.38</v>
      </c>
      <c r="H90" s="3"/>
      <c r="I90" s="11">
        <f>67402+3616+1226+136</f>
        <v>72380</v>
      </c>
      <c r="J90" s="11">
        <v>72380</v>
      </c>
      <c r="K90" s="3"/>
      <c r="L90" s="11">
        <f>+SUM('[1]Non-Union - 3.5%'!$K$13:$M$13)</f>
        <v>85547.279999999984</v>
      </c>
      <c r="M90" s="38">
        <f t="shared" si="2"/>
        <v>1.1819187620889746</v>
      </c>
    </row>
    <row r="91" spans="1:13" hidden="1" x14ac:dyDescent="0.25">
      <c r="A91" s="14" t="s">
        <v>129</v>
      </c>
      <c r="B91" s="15" t="s">
        <v>130</v>
      </c>
      <c r="C91" s="16">
        <v>4516</v>
      </c>
      <c r="D91" s="11">
        <v>3310.13</v>
      </c>
      <c r="E91" s="11">
        <v>783.71</v>
      </c>
      <c r="F91" s="11">
        <v>3864.75</v>
      </c>
      <c r="G91" s="11">
        <v>2659.38</v>
      </c>
      <c r="H91" s="3"/>
      <c r="I91" s="11">
        <v>4112</v>
      </c>
      <c r="J91" s="11">
        <v>4112</v>
      </c>
      <c r="K91" s="3"/>
      <c r="L91" s="11">
        <f>+'[1]Non-Union - 3.5%'!$O$13+'[1]Non-Union - 3.5%'!$X$13</f>
        <v>4321.0660252799998</v>
      </c>
      <c r="M91" s="38">
        <f t="shared" si="2"/>
        <v>1.0508429049805448</v>
      </c>
    </row>
    <row r="92" spans="1:13" hidden="1" x14ac:dyDescent="0.25">
      <c r="A92" s="14" t="s">
        <v>131</v>
      </c>
      <c r="B92" s="15" t="s">
        <v>132</v>
      </c>
      <c r="C92" s="16">
        <v>2521</v>
      </c>
      <c r="D92" s="11">
        <v>2307.63</v>
      </c>
      <c r="E92" s="11">
        <v>3053.15</v>
      </c>
      <c r="F92" s="11">
        <v>3349.54</v>
      </c>
      <c r="G92" s="11">
        <v>6215.25</v>
      </c>
      <c r="H92" s="3"/>
      <c r="I92" s="11">
        <v>496</v>
      </c>
      <c r="J92" s="11">
        <v>496</v>
      </c>
      <c r="K92" s="3"/>
      <c r="L92" s="11">
        <f>+'[1]Non-Union - 3.5%'!$Y$13+'[1]Non-Union - 3.5%'!$R$13</f>
        <v>522.03493552630005</v>
      </c>
      <c r="M92" s="38">
        <f t="shared" si="2"/>
        <v>1.0524897893675405</v>
      </c>
    </row>
    <row r="93" spans="1:13" hidden="1" x14ac:dyDescent="0.25">
      <c r="A93" s="14" t="s">
        <v>133</v>
      </c>
      <c r="B93" s="15" t="s">
        <v>134</v>
      </c>
      <c r="C93" s="16">
        <v>0</v>
      </c>
      <c r="D93" s="11">
        <v>11442.46</v>
      </c>
      <c r="E93" s="11">
        <v>4424.22</v>
      </c>
      <c r="F93" s="11">
        <v>3650.56</v>
      </c>
      <c r="G93" s="11">
        <v>3376.96</v>
      </c>
      <c r="H93" s="3"/>
      <c r="I93" s="11">
        <v>5000</v>
      </c>
      <c r="J93" s="11">
        <v>5000</v>
      </c>
      <c r="K93" s="3"/>
      <c r="L93" s="11">
        <v>5000</v>
      </c>
      <c r="M93" s="38">
        <f t="shared" si="2"/>
        <v>1</v>
      </c>
    </row>
    <row r="94" spans="1:13" hidden="1" x14ac:dyDescent="0.25">
      <c r="A94" s="14" t="s">
        <v>135</v>
      </c>
      <c r="B94" s="15" t="s">
        <v>136</v>
      </c>
      <c r="C94" s="16">
        <v>0</v>
      </c>
      <c r="D94" s="11">
        <v>1059.43</v>
      </c>
      <c r="E94" s="11">
        <v>550.42999999999995</v>
      </c>
      <c r="F94" s="11">
        <v>323.07</v>
      </c>
      <c r="G94" s="11">
        <v>293.18</v>
      </c>
      <c r="H94" s="3"/>
      <c r="I94" s="11">
        <v>450</v>
      </c>
      <c r="J94" s="11">
        <v>450</v>
      </c>
      <c r="K94" s="3"/>
      <c r="L94" s="11">
        <v>450</v>
      </c>
      <c r="M94" s="38">
        <f t="shared" si="2"/>
        <v>1</v>
      </c>
    </row>
    <row r="95" spans="1:13" hidden="1" x14ac:dyDescent="0.25">
      <c r="A95" s="14" t="s">
        <v>137</v>
      </c>
      <c r="B95" s="15" t="s">
        <v>138</v>
      </c>
      <c r="C95" s="16">
        <v>12</v>
      </c>
      <c r="D95" s="11">
        <v>19.940000000000001</v>
      </c>
      <c r="E95" s="11">
        <v>117.15</v>
      </c>
      <c r="F95" s="11">
        <v>650.58000000000004</v>
      </c>
      <c r="G95" s="11">
        <v>-239.21</v>
      </c>
      <c r="H95" s="3"/>
      <c r="I95" s="11">
        <v>15</v>
      </c>
      <c r="J95" s="11">
        <v>15</v>
      </c>
      <c r="K95" s="3"/>
      <c r="L95" s="11">
        <v>15</v>
      </c>
      <c r="M95" s="38">
        <f t="shared" si="2"/>
        <v>1</v>
      </c>
    </row>
    <row r="96" spans="1:13" hidden="1" x14ac:dyDescent="0.25">
      <c r="A96" s="14" t="s">
        <v>139</v>
      </c>
      <c r="B96" s="15" t="s">
        <v>140</v>
      </c>
      <c r="C96" s="16">
        <v>15361</v>
      </c>
      <c r="D96" s="11">
        <v>19630.669999999998</v>
      </c>
      <c r="E96" s="11">
        <v>17868.97</v>
      </c>
      <c r="F96" s="11">
        <v>22859.69</v>
      </c>
      <c r="G96" s="11">
        <v>21956.58</v>
      </c>
      <c r="H96" s="3"/>
      <c r="I96" s="11">
        <v>30000</v>
      </c>
      <c r="J96" s="11">
        <v>30000</v>
      </c>
      <c r="K96" s="3"/>
      <c r="L96" s="11">
        <v>30000</v>
      </c>
      <c r="M96" s="38">
        <f t="shared" si="2"/>
        <v>1</v>
      </c>
    </row>
    <row r="97" spans="1:13" hidden="1" x14ac:dyDescent="0.25">
      <c r="A97" s="14" t="s">
        <v>141</v>
      </c>
      <c r="B97" s="15" t="s">
        <v>142</v>
      </c>
      <c r="C97" s="16">
        <v>2450</v>
      </c>
      <c r="D97" s="11">
        <v>2907.5</v>
      </c>
      <c r="E97" s="11">
        <v>2185</v>
      </c>
      <c r="F97" s="11">
        <v>3020</v>
      </c>
      <c r="G97" s="11">
        <v>3274</v>
      </c>
      <c r="H97" s="3"/>
      <c r="I97" s="11">
        <v>2900</v>
      </c>
      <c r="J97" s="11">
        <v>6000</v>
      </c>
      <c r="K97" s="3"/>
      <c r="L97" s="11">
        <v>9500</v>
      </c>
      <c r="M97" s="38">
        <f t="shared" si="2"/>
        <v>1.5833333333333333</v>
      </c>
    </row>
    <row r="98" spans="1:13" hidden="1" x14ac:dyDescent="0.25">
      <c r="A98" s="14" t="s">
        <v>143</v>
      </c>
      <c r="B98" s="15" t="s">
        <v>144</v>
      </c>
      <c r="C98" s="16">
        <v>212</v>
      </c>
      <c r="D98" s="11">
        <v>427.5</v>
      </c>
      <c r="E98" s="11">
        <v>432</v>
      </c>
      <c r="F98" s="11">
        <v>438</v>
      </c>
      <c r="G98" s="11">
        <v>441</v>
      </c>
      <c r="H98" s="3"/>
      <c r="I98" s="11">
        <v>500</v>
      </c>
      <c r="J98" s="11">
        <v>500</v>
      </c>
      <c r="K98" s="3"/>
      <c r="L98" s="11">
        <v>500</v>
      </c>
      <c r="M98" s="38">
        <f t="shared" si="2"/>
        <v>1</v>
      </c>
    </row>
    <row r="99" spans="1:13" hidden="1" x14ac:dyDescent="0.25">
      <c r="A99" s="14" t="s">
        <v>145</v>
      </c>
      <c r="B99" s="15" t="s">
        <v>146</v>
      </c>
      <c r="C99" s="16">
        <v>4463</v>
      </c>
      <c r="D99" s="11">
        <v>1800.73</v>
      </c>
      <c r="E99" s="11">
        <v>547.07000000000005</v>
      </c>
      <c r="F99" s="11">
        <v>8821.2900000000009</v>
      </c>
      <c r="G99" s="11">
        <v>3991.24</v>
      </c>
      <c r="H99" s="3"/>
      <c r="I99" s="11">
        <v>2500</v>
      </c>
      <c r="J99" s="11">
        <v>2500</v>
      </c>
      <c r="K99" s="3"/>
      <c r="L99" s="11">
        <v>4000</v>
      </c>
      <c r="M99" s="38">
        <f t="shared" si="2"/>
        <v>1.6</v>
      </c>
    </row>
    <row r="100" spans="1:13" hidden="1" x14ac:dyDescent="0.25">
      <c r="A100" s="14" t="s">
        <v>147</v>
      </c>
      <c r="B100" s="15" t="s">
        <v>148</v>
      </c>
      <c r="C100" s="16">
        <v>800</v>
      </c>
      <c r="D100" s="11">
        <v>5400</v>
      </c>
      <c r="E100" s="11">
        <v>4649.26</v>
      </c>
      <c r="F100" s="11">
        <f>27.75+5712.29</f>
        <v>5740.04</v>
      </c>
      <c r="G100" s="11">
        <v>3693.08</v>
      </c>
      <c r="H100" s="3"/>
      <c r="I100" s="11">
        <v>7000</v>
      </c>
      <c r="J100" s="11">
        <v>7000</v>
      </c>
      <c r="K100" s="3"/>
      <c r="L100" s="11">
        <v>7000</v>
      </c>
      <c r="M100" s="38">
        <f t="shared" si="2"/>
        <v>1</v>
      </c>
    </row>
    <row r="101" spans="1:13" hidden="1" x14ac:dyDescent="0.25">
      <c r="A101" s="14" t="s">
        <v>149</v>
      </c>
      <c r="B101" s="15" t="s">
        <v>150</v>
      </c>
      <c r="C101" s="16">
        <v>6393</v>
      </c>
      <c r="D101" s="11">
        <v>13331.78</v>
      </c>
      <c r="E101" s="11">
        <v>6194.78</v>
      </c>
      <c r="F101" s="11">
        <v>10546.53</v>
      </c>
      <c r="G101" s="11">
        <v>8908.3700000000008</v>
      </c>
      <c r="H101" s="3"/>
      <c r="I101" s="11">
        <v>12000</v>
      </c>
      <c r="J101" s="11">
        <v>12000</v>
      </c>
      <c r="K101" s="3"/>
      <c r="L101" s="11">
        <v>10000</v>
      </c>
      <c r="M101" s="38">
        <f t="shared" si="2"/>
        <v>0.83333333333333337</v>
      </c>
    </row>
    <row r="102" spans="1:13" hidden="1" x14ac:dyDescent="0.25">
      <c r="A102" s="14" t="s">
        <v>151</v>
      </c>
      <c r="B102" s="15" t="s">
        <v>152</v>
      </c>
      <c r="C102" s="16">
        <v>123595</v>
      </c>
      <c r="D102" s="11">
        <v>77893.25</v>
      </c>
      <c r="E102" s="11">
        <v>111072.12</v>
      </c>
      <c r="F102" s="11">
        <v>67595.73</v>
      </c>
      <c r="G102" s="11">
        <v>35353.14</v>
      </c>
      <c r="H102" s="3"/>
      <c r="I102" s="11">
        <v>150000</v>
      </c>
      <c r="J102" s="11">
        <v>150000</v>
      </c>
      <c r="K102" s="3"/>
      <c r="L102" s="11">
        <v>55000</v>
      </c>
      <c r="M102" s="38">
        <f t="shared" si="2"/>
        <v>0.36666666666666664</v>
      </c>
    </row>
    <row r="103" spans="1:13" hidden="1" x14ac:dyDescent="0.25">
      <c r="A103" s="14" t="s">
        <v>153</v>
      </c>
      <c r="B103" s="15" t="s">
        <v>154</v>
      </c>
      <c r="C103" s="16">
        <v>69989</v>
      </c>
      <c r="D103" s="11">
        <v>67934.31</v>
      </c>
      <c r="E103" s="11">
        <v>54600.33</v>
      </c>
      <c r="F103" s="11">
        <v>64303.13</v>
      </c>
      <c r="G103" s="11">
        <v>45856.43</v>
      </c>
      <c r="H103" s="3"/>
      <c r="I103" s="11">
        <v>70000</v>
      </c>
      <c r="J103" s="11">
        <v>70000</v>
      </c>
      <c r="K103" s="3"/>
      <c r="L103" s="11">
        <v>70000</v>
      </c>
      <c r="M103" s="38">
        <f t="shared" si="2"/>
        <v>1</v>
      </c>
    </row>
    <row r="104" spans="1:13" hidden="1" x14ac:dyDescent="0.25">
      <c r="A104" s="14" t="s">
        <v>155</v>
      </c>
      <c r="B104" s="15" t="s">
        <v>156</v>
      </c>
      <c r="C104" s="16">
        <v>273</v>
      </c>
      <c r="D104" s="11">
        <v>1021.46</v>
      </c>
      <c r="E104" s="11">
        <v>1050</v>
      </c>
      <c r="F104" s="11">
        <v>847.7</v>
      </c>
      <c r="G104" s="11">
        <v>2742</v>
      </c>
      <c r="H104" s="3"/>
      <c r="I104" s="11">
        <v>2500</v>
      </c>
      <c r="J104" s="11">
        <v>2500</v>
      </c>
      <c r="K104" s="3"/>
      <c r="L104" s="11">
        <v>1500</v>
      </c>
      <c r="M104" s="38">
        <f t="shared" si="2"/>
        <v>0.6</v>
      </c>
    </row>
    <row r="105" spans="1:13" hidden="1" x14ac:dyDescent="0.25">
      <c r="A105" s="14" t="s">
        <v>157</v>
      </c>
      <c r="B105" s="15" t="s">
        <v>158</v>
      </c>
      <c r="C105" s="16">
        <v>1090</v>
      </c>
      <c r="D105" s="11">
        <v>4187.83</v>
      </c>
      <c r="E105" s="11">
        <v>10491.92</v>
      </c>
      <c r="F105" s="11">
        <v>6520.29</v>
      </c>
      <c r="G105" s="11">
        <v>3149.6</v>
      </c>
      <c r="H105" s="3"/>
      <c r="I105" s="11">
        <v>7500</v>
      </c>
      <c r="J105" s="11">
        <v>7500</v>
      </c>
      <c r="K105" s="3"/>
      <c r="L105" s="11">
        <v>7500</v>
      </c>
      <c r="M105" s="38">
        <f t="shared" si="2"/>
        <v>1</v>
      </c>
    </row>
    <row r="106" spans="1:13" hidden="1" x14ac:dyDescent="0.25">
      <c r="A106" s="14" t="s">
        <v>159</v>
      </c>
      <c r="B106" s="15" t="s">
        <v>160</v>
      </c>
      <c r="C106" s="16">
        <v>13862</v>
      </c>
      <c r="D106" s="11">
        <v>15086.37</v>
      </c>
      <c r="E106" s="11">
        <v>14827.27</v>
      </c>
      <c r="F106" s="11">
        <v>14232.8</v>
      </c>
      <c r="G106" s="11">
        <v>9257</v>
      </c>
      <c r="H106" s="3"/>
      <c r="I106" s="11">
        <v>10000</v>
      </c>
      <c r="J106" s="11">
        <v>10000</v>
      </c>
      <c r="K106" s="3"/>
      <c r="L106" s="11">
        <v>10000</v>
      </c>
      <c r="M106" s="38">
        <f t="shared" si="2"/>
        <v>1</v>
      </c>
    </row>
    <row r="107" spans="1:13" hidden="1" x14ac:dyDescent="0.25">
      <c r="A107" s="14" t="s">
        <v>161</v>
      </c>
      <c r="B107" s="15" t="s">
        <v>162</v>
      </c>
      <c r="C107" s="16">
        <v>6413</v>
      </c>
      <c r="D107" s="11">
        <v>4831.68</v>
      </c>
      <c r="E107" s="11">
        <v>987.24</v>
      </c>
      <c r="F107" s="11">
        <v>1546</v>
      </c>
      <c r="G107" s="11">
        <v>0</v>
      </c>
      <c r="H107" s="3"/>
      <c r="I107" s="11">
        <v>2000</v>
      </c>
      <c r="J107" s="11">
        <v>2000</v>
      </c>
      <c r="K107" s="3"/>
      <c r="L107" s="11">
        <v>0</v>
      </c>
      <c r="M107" s="38">
        <f t="shared" si="2"/>
        <v>0</v>
      </c>
    </row>
    <row r="108" spans="1:13" hidden="1" x14ac:dyDescent="0.25">
      <c r="A108" s="14" t="s">
        <v>163</v>
      </c>
      <c r="B108" s="15" t="s">
        <v>80</v>
      </c>
      <c r="C108" s="16">
        <v>2119</v>
      </c>
      <c r="D108" s="11">
        <v>5919.82</v>
      </c>
      <c r="E108" s="11">
        <v>4906.71</v>
      </c>
      <c r="F108" s="11">
        <v>3419.16</v>
      </c>
      <c r="G108" s="11">
        <v>1490.69</v>
      </c>
      <c r="H108" s="3"/>
      <c r="I108" s="11">
        <v>5000</v>
      </c>
      <c r="J108" s="11">
        <v>5000</v>
      </c>
      <c r="K108" s="3"/>
      <c r="L108" s="11">
        <v>5000</v>
      </c>
      <c r="M108" s="38">
        <f t="shared" si="2"/>
        <v>1</v>
      </c>
    </row>
    <row r="109" spans="1:13" hidden="1" x14ac:dyDescent="0.25">
      <c r="A109" s="14">
        <v>6021800</v>
      </c>
      <c r="B109" s="15" t="s">
        <v>164</v>
      </c>
      <c r="C109" s="16"/>
      <c r="D109" s="11"/>
      <c r="E109" s="11"/>
      <c r="F109" s="11">
        <v>187.03</v>
      </c>
      <c r="G109" s="11"/>
      <c r="H109" s="3"/>
      <c r="I109" s="11"/>
      <c r="J109" s="11"/>
      <c r="K109" s="3"/>
      <c r="L109" s="11"/>
    </row>
    <row r="110" spans="1:13" hidden="1" x14ac:dyDescent="0.25">
      <c r="A110" s="14"/>
      <c r="B110" s="15"/>
      <c r="C110" s="16"/>
      <c r="D110" s="11"/>
      <c r="E110" s="11"/>
      <c r="F110" s="11"/>
      <c r="G110" s="11"/>
      <c r="H110" s="3"/>
      <c r="I110" s="11"/>
      <c r="J110" s="11"/>
      <c r="K110" s="3"/>
      <c r="L110" s="11"/>
    </row>
    <row r="111" spans="1:13" hidden="1" x14ac:dyDescent="0.25">
      <c r="A111" s="29"/>
      <c r="B111" s="30" t="s">
        <v>165</v>
      </c>
      <c r="C111" s="16">
        <f>SUM(C88:C109)</f>
        <v>558604</v>
      </c>
      <c r="D111" s="11">
        <f>SUM(D88:D109)</f>
        <v>621221.34999999986</v>
      </c>
      <c r="E111" s="11">
        <f>SUM(E88:E109)</f>
        <v>626244.35000000009</v>
      </c>
      <c r="F111" s="11">
        <f>SUM(F88:F109)</f>
        <v>660847.58600000013</v>
      </c>
      <c r="G111" s="11">
        <f>SUM(G88:G109)</f>
        <v>434031.6</v>
      </c>
      <c r="H111" s="3"/>
      <c r="I111" s="11">
        <f>SUM(I88:I109)</f>
        <v>796901</v>
      </c>
      <c r="J111" s="11">
        <f>SUM(J88:J109)</f>
        <v>800001</v>
      </c>
      <c r="K111" s="3"/>
      <c r="L111" s="11">
        <f>SUM(L88:L109)</f>
        <v>738715.17355188623</v>
      </c>
      <c r="M111" s="38">
        <f>+L111/J111</f>
        <v>0.92339281269884188</v>
      </c>
    </row>
    <row r="112" spans="1:13" x14ac:dyDescent="0.25">
      <c r="A112" s="29"/>
      <c r="B112" s="30"/>
      <c r="C112" s="16"/>
      <c r="D112" s="11"/>
      <c r="E112" s="11"/>
      <c r="F112" s="11"/>
      <c r="G112" s="11"/>
      <c r="H112" s="3"/>
      <c r="I112" s="11"/>
      <c r="J112" s="11"/>
      <c r="K112" s="3"/>
      <c r="L112" s="11"/>
    </row>
    <row r="113" spans="1:13" x14ac:dyDescent="0.25">
      <c r="A113" s="14" t="s">
        <v>166</v>
      </c>
      <c r="B113" s="15" t="s">
        <v>124</v>
      </c>
      <c r="C113" s="16">
        <v>76083</v>
      </c>
      <c r="D113" s="11">
        <v>79040.23</v>
      </c>
      <c r="E113" s="11">
        <v>43912.42</v>
      </c>
      <c r="F113" s="11">
        <v>78104.09</v>
      </c>
      <c r="G113" s="11">
        <v>52944.25</v>
      </c>
      <c r="H113" s="3"/>
      <c r="I113" s="11">
        <v>73917</v>
      </c>
      <c r="J113" s="11">
        <v>73917</v>
      </c>
      <c r="K113" s="3"/>
      <c r="L113" s="11">
        <f>+'[1]Non-Union - 3.5%'!$I$37+'[1]Non-Union - 3.5%'!$V$37</f>
        <v>76501.61099999999</v>
      </c>
      <c r="M113" s="38">
        <f>+L113/J113</f>
        <v>1.034966394740046</v>
      </c>
    </row>
    <row r="114" spans="1:13" x14ac:dyDescent="0.25">
      <c r="A114" s="14" t="s">
        <v>167</v>
      </c>
      <c r="B114" s="15" t="s">
        <v>126</v>
      </c>
      <c r="C114" s="16">
        <v>6414</v>
      </c>
      <c r="D114" s="11">
        <v>6815.97</v>
      </c>
      <c r="E114" s="11">
        <v>3560.42</v>
      </c>
      <c r="F114" s="11">
        <v>6311.4</v>
      </c>
      <c r="G114" s="11">
        <v>4111.22</v>
      </c>
      <c r="H114" s="3"/>
      <c r="I114" s="11">
        <f>539+5374</f>
        <v>5913</v>
      </c>
      <c r="J114" s="11">
        <v>5913</v>
      </c>
      <c r="K114" s="3"/>
      <c r="L114" s="11">
        <f>+'[1]Non-Union - 3.5%'!$P$37+'[1]Non-Union - 3.5%'!$Z$37</f>
        <v>6120.1288800000002</v>
      </c>
      <c r="M114" s="38">
        <f>+L114/J114</f>
        <v>1.0350294063926941</v>
      </c>
    </row>
    <row r="115" spans="1:13" x14ac:dyDescent="0.25">
      <c r="A115" s="14" t="s">
        <v>168</v>
      </c>
      <c r="B115" s="15" t="s">
        <v>128</v>
      </c>
      <c r="C115" s="16">
        <v>33023</v>
      </c>
      <c r="D115" s="11">
        <v>43423.3</v>
      </c>
      <c r="E115" s="11">
        <v>24854.54</v>
      </c>
      <c r="F115" s="11">
        <v>32649.040000000001</v>
      </c>
      <c r="G115" s="11">
        <v>25625</v>
      </c>
      <c r="H115" s="3"/>
      <c r="I115" s="11">
        <v>36757</v>
      </c>
      <c r="J115" s="11">
        <v>36756</v>
      </c>
      <c r="K115" s="3"/>
      <c r="L115" s="11">
        <f>+SUM('[1]Non-Union - 3.5%'!$K$37:$N$37)</f>
        <v>43510.62</v>
      </c>
      <c r="M115" s="38">
        <f>+L115/J115</f>
        <v>1.1837691805419523</v>
      </c>
    </row>
    <row r="116" spans="1:13" x14ac:dyDescent="0.25">
      <c r="A116" s="14" t="s">
        <v>169</v>
      </c>
      <c r="B116" s="15" t="s">
        <v>130</v>
      </c>
      <c r="C116" s="16">
        <v>1206</v>
      </c>
      <c r="D116" s="11">
        <v>1242.4000000000001</v>
      </c>
      <c r="E116" s="11">
        <v>0</v>
      </c>
      <c r="F116" s="11">
        <v>0</v>
      </c>
      <c r="G116" s="11">
        <v>0</v>
      </c>
      <c r="H116" s="3"/>
      <c r="I116" s="11"/>
      <c r="J116" s="11"/>
      <c r="K116" s="3"/>
      <c r="L116" s="11"/>
    </row>
    <row r="117" spans="1:13" x14ac:dyDescent="0.25">
      <c r="A117" s="14" t="s">
        <v>170</v>
      </c>
      <c r="B117" s="15" t="s">
        <v>171</v>
      </c>
      <c r="C117" s="16">
        <v>1435</v>
      </c>
      <c r="D117" s="11">
        <v>-158.06</v>
      </c>
      <c r="E117" s="11">
        <v>0</v>
      </c>
      <c r="F117" s="11">
        <v>0</v>
      </c>
      <c r="G117" s="11">
        <v>284.5</v>
      </c>
      <c r="H117" s="3"/>
      <c r="I117" s="11">
        <v>500</v>
      </c>
      <c r="J117" s="11">
        <v>500</v>
      </c>
      <c r="K117" s="3"/>
      <c r="L117" s="11">
        <v>500</v>
      </c>
      <c r="M117" s="38">
        <f t="shared" ref="M117:M124" si="3">+L117/J117</f>
        <v>1</v>
      </c>
    </row>
    <row r="118" spans="1:13" x14ac:dyDescent="0.25">
      <c r="A118" s="14" t="s">
        <v>172</v>
      </c>
      <c r="B118" s="15" t="s">
        <v>132</v>
      </c>
      <c r="C118" s="16">
        <v>391</v>
      </c>
      <c r="D118" s="11">
        <v>321.33999999999997</v>
      </c>
      <c r="E118" s="11">
        <v>1026.3</v>
      </c>
      <c r="F118" s="11">
        <v>1301.3599999999999</v>
      </c>
      <c r="G118" s="11">
        <v>929.28</v>
      </c>
      <c r="H118" s="3"/>
      <c r="I118" s="11">
        <v>325</v>
      </c>
      <c r="J118" s="11">
        <v>326</v>
      </c>
      <c r="K118" s="3"/>
      <c r="L118" s="11">
        <f>+'[1]Non-Union - 3.5%'!$R$37+'[1]Non-Union - 3.5%'!$Y$37</f>
        <v>337.60708839999995</v>
      </c>
      <c r="M118" s="38">
        <f t="shared" si="3"/>
        <v>1.0356045656441717</v>
      </c>
    </row>
    <row r="119" spans="1:13" x14ac:dyDescent="0.25">
      <c r="A119" s="14" t="s">
        <v>173</v>
      </c>
      <c r="B119" s="15" t="s">
        <v>134</v>
      </c>
      <c r="C119" s="16">
        <v>16553</v>
      </c>
      <c r="D119" s="11">
        <v>57169.25</v>
      </c>
      <c r="E119" s="11">
        <v>81223.45</v>
      </c>
      <c r="F119" s="11">
        <v>80574.27</v>
      </c>
      <c r="G119" s="11">
        <v>91053.41</v>
      </c>
      <c r="H119" s="3"/>
      <c r="I119" s="11">
        <v>83250</v>
      </c>
      <c r="J119" s="11">
        <v>83250</v>
      </c>
      <c r="K119" s="3"/>
      <c r="L119" s="11">
        <v>94825</v>
      </c>
      <c r="M119" s="38">
        <f t="shared" si="3"/>
        <v>1.139039039039039</v>
      </c>
    </row>
    <row r="120" spans="1:13" x14ac:dyDescent="0.25">
      <c r="A120" s="14" t="s">
        <v>174</v>
      </c>
      <c r="B120" s="15" t="s">
        <v>136</v>
      </c>
      <c r="C120" s="16">
        <v>2648</v>
      </c>
      <c r="D120" s="11">
        <v>4799.67</v>
      </c>
      <c r="E120" s="11">
        <f>4917.14+80.26</f>
        <v>4997.4000000000005</v>
      </c>
      <c r="F120" s="11">
        <v>5512.81</v>
      </c>
      <c r="G120" s="11">
        <v>6809.54</v>
      </c>
      <c r="H120" s="3"/>
      <c r="I120" s="11">
        <v>8325</v>
      </c>
      <c r="J120" s="11">
        <v>8325</v>
      </c>
      <c r="K120" s="3"/>
      <c r="L120" s="11">
        <v>9427.25</v>
      </c>
      <c r="M120" s="38">
        <f t="shared" si="3"/>
        <v>1.1324024024024024</v>
      </c>
    </row>
    <row r="121" spans="1:13" x14ac:dyDescent="0.25">
      <c r="A121" s="14" t="s">
        <v>175</v>
      </c>
      <c r="B121" s="15" t="s">
        <v>176</v>
      </c>
      <c r="C121" s="16">
        <v>0</v>
      </c>
      <c r="D121" s="11">
        <v>1173.17</v>
      </c>
      <c r="E121" s="11">
        <v>1248.1099999999999</v>
      </c>
      <c r="F121" s="11">
        <v>2017.2</v>
      </c>
      <c r="G121" s="11">
        <v>2958.49</v>
      </c>
      <c r="H121" s="3"/>
      <c r="I121" s="11">
        <v>3000</v>
      </c>
      <c r="J121" s="11">
        <v>3000</v>
      </c>
      <c r="K121" s="3"/>
      <c r="L121" s="11">
        <v>3000</v>
      </c>
      <c r="M121" s="38">
        <f t="shared" si="3"/>
        <v>1</v>
      </c>
    </row>
    <row r="122" spans="1:13" x14ac:dyDescent="0.25">
      <c r="A122" s="14" t="s">
        <v>177</v>
      </c>
      <c r="B122" s="15" t="s">
        <v>138</v>
      </c>
      <c r="C122" s="16">
        <v>401</v>
      </c>
      <c r="D122" s="11">
        <v>362.49</v>
      </c>
      <c r="E122" s="11">
        <v>717.5</v>
      </c>
      <c r="F122" s="11">
        <v>8095.98</v>
      </c>
      <c r="G122" s="11">
        <v>-2329.25</v>
      </c>
      <c r="H122" s="3"/>
      <c r="I122" s="11">
        <v>366.3</v>
      </c>
      <c r="J122" s="11">
        <v>366.3</v>
      </c>
      <c r="K122" s="3"/>
      <c r="L122" s="11">
        <f>392.92+24.31</f>
        <v>417.23</v>
      </c>
      <c r="M122" s="38">
        <f t="shared" si="3"/>
        <v>1.139039039039039</v>
      </c>
    </row>
    <row r="123" spans="1:13" x14ac:dyDescent="0.25">
      <c r="A123" s="14" t="s">
        <v>178</v>
      </c>
      <c r="B123" s="15" t="s">
        <v>140</v>
      </c>
      <c r="C123" s="16">
        <v>10858</v>
      </c>
      <c r="D123" s="11">
        <v>10186.4</v>
      </c>
      <c r="E123" s="11">
        <v>7670.93</v>
      </c>
      <c r="F123" s="11">
        <v>10989.56</v>
      </c>
      <c r="G123" s="11">
        <v>6400.26</v>
      </c>
      <c r="H123" s="3"/>
      <c r="I123" s="11">
        <v>11130</v>
      </c>
      <c r="J123" s="11">
        <v>11130</v>
      </c>
      <c r="K123" s="3"/>
      <c r="L123" s="11">
        <v>10000</v>
      </c>
      <c r="M123" s="38">
        <f t="shared" si="3"/>
        <v>0.89847259658580414</v>
      </c>
    </row>
    <row r="124" spans="1:13" x14ac:dyDescent="0.25">
      <c r="A124" s="14" t="s">
        <v>179</v>
      </c>
      <c r="B124" s="15" t="s">
        <v>142</v>
      </c>
      <c r="C124" s="16">
        <v>0</v>
      </c>
      <c r="D124" s="11">
        <v>780</v>
      </c>
      <c r="E124" s="11">
        <v>2040</v>
      </c>
      <c r="F124" s="11">
        <v>2880</v>
      </c>
      <c r="G124" s="11">
        <v>1808</v>
      </c>
      <c r="H124" s="3"/>
      <c r="I124" s="11">
        <v>2880</v>
      </c>
      <c r="J124" s="11">
        <v>2880</v>
      </c>
      <c r="K124" s="3"/>
      <c r="L124" s="11">
        <v>3400</v>
      </c>
      <c r="M124" s="38">
        <f t="shared" si="3"/>
        <v>1.1805555555555556</v>
      </c>
    </row>
    <row r="125" spans="1:13" x14ac:dyDescent="0.25">
      <c r="A125" s="14" t="s">
        <v>180</v>
      </c>
      <c r="B125" s="15" t="s">
        <v>146</v>
      </c>
      <c r="C125" s="16">
        <v>9812</v>
      </c>
      <c r="D125" s="11">
        <v>7179.74</v>
      </c>
      <c r="E125" s="11">
        <v>2565.46</v>
      </c>
      <c r="F125" s="11">
        <v>471.52</v>
      </c>
      <c r="G125" s="11">
        <v>2092.15</v>
      </c>
      <c r="H125" s="3"/>
      <c r="I125" s="11"/>
      <c r="J125" s="11">
        <v>0</v>
      </c>
      <c r="K125" s="3"/>
      <c r="L125" s="11"/>
    </row>
    <row r="126" spans="1:13" x14ac:dyDescent="0.25">
      <c r="A126" s="14" t="s">
        <v>181</v>
      </c>
      <c r="B126" s="15" t="s">
        <v>182</v>
      </c>
      <c r="C126" s="16">
        <v>0</v>
      </c>
      <c r="D126" s="11">
        <v>678.62</v>
      </c>
      <c r="E126" s="11">
        <v>13.48</v>
      </c>
      <c r="F126" s="11">
        <v>151.41</v>
      </c>
      <c r="G126" s="11">
        <v>46.12</v>
      </c>
      <c r="H126" s="3"/>
      <c r="I126" s="11">
        <v>200</v>
      </c>
      <c r="J126" s="11">
        <v>200</v>
      </c>
      <c r="K126" s="3"/>
      <c r="L126" s="11">
        <v>100</v>
      </c>
      <c r="M126" s="38">
        <f>+L126/J126</f>
        <v>0.5</v>
      </c>
    </row>
    <row r="127" spans="1:13" x14ac:dyDescent="0.25">
      <c r="A127" s="14" t="s">
        <v>183</v>
      </c>
      <c r="B127" s="15" t="s">
        <v>184</v>
      </c>
      <c r="C127" s="16">
        <v>170</v>
      </c>
      <c r="D127" s="11">
        <v>248.95</v>
      </c>
      <c r="E127" s="11">
        <v>1737.2</v>
      </c>
      <c r="F127" s="11">
        <v>0</v>
      </c>
      <c r="G127" s="11">
        <v>384.3</v>
      </c>
      <c r="H127" s="3"/>
      <c r="I127" s="11">
        <v>2500</v>
      </c>
      <c r="J127" s="11">
        <v>2500</v>
      </c>
      <c r="K127" s="3"/>
      <c r="L127" s="11">
        <v>1000</v>
      </c>
      <c r="M127" s="38">
        <f>+L127/J127</f>
        <v>0.4</v>
      </c>
    </row>
    <row r="128" spans="1:13" x14ac:dyDescent="0.25">
      <c r="A128" s="14" t="s">
        <v>185</v>
      </c>
      <c r="B128" s="15" t="s">
        <v>152</v>
      </c>
      <c r="C128" s="16">
        <v>274</v>
      </c>
      <c r="D128" s="11">
        <v>278.35000000000002</v>
      </c>
      <c r="E128" s="11">
        <v>188.23</v>
      </c>
      <c r="F128" s="11">
        <v>295.79000000000002</v>
      </c>
      <c r="G128" s="11">
        <v>365.12</v>
      </c>
      <c r="H128" s="3"/>
      <c r="I128" s="11">
        <v>500</v>
      </c>
      <c r="J128" s="11">
        <v>500</v>
      </c>
      <c r="K128" s="3"/>
      <c r="L128" s="11">
        <v>500</v>
      </c>
      <c r="M128" s="38">
        <f>+L128/J128</f>
        <v>1</v>
      </c>
    </row>
    <row r="129" spans="1:13" x14ac:dyDescent="0.25">
      <c r="A129" s="14" t="s">
        <v>186</v>
      </c>
      <c r="B129" s="15" t="s">
        <v>156</v>
      </c>
      <c r="C129" s="16">
        <v>0</v>
      </c>
      <c r="D129" s="11">
        <v>849.2</v>
      </c>
      <c r="E129" s="11"/>
      <c r="F129" s="11">
        <v>0</v>
      </c>
      <c r="G129" s="11">
        <v>0</v>
      </c>
      <c r="H129" s="3"/>
      <c r="I129" s="11"/>
      <c r="J129" s="11"/>
      <c r="K129" s="3"/>
      <c r="L129" s="11"/>
    </row>
    <row r="130" spans="1:13" x14ac:dyDescent="0.25">
      <c r="A130" s="14" t="s">
        <v>187</v>
      </c>
      <c r="B130" s="15" t="s">
        <v>158</v>
      </c>
      <c r="C130" s="16">
        <v>156</v>
      </c>
      <c r="D130" s="11">
        <v>0</v>
      </c>
      <c r="E130" s="11">
        <v>0</v>
      </c>
      <c r="F130" s="11">
        <v>0</v>
      </c>
      <c r="G130" s="11">
        <v>0</v>
      </c>
      <c r="H130" s="3"/>
      <c r="I130" s="11">
        <v>1000</v>
      </c>
      <c r="J130" s="11">
        <v>1000</v>
      </c>
      <c r="K130" s="3"/>
      <c r="L130" s="11">
        <v>1000</v>
      </c>
      <c r="M130" s="38">
        <f>+L130/J130</f>
        <v>1</v>
      </c>
    </row>
    <row r="131" spans="1:13" x14ac:dyDescent="0.25">
      <c r="A131" s="14" t="s">
        <v>188</v>
      </c>
      <c r="B131" s="15" t="s">
        <v>160</v>
      </c>
      <c r="C131" s="16">
        <v>3361</v>
      </c>
      <c r="D131" s="11">
        <v>5796.52</v>
      </c>
      <c r="E131" s="11">
        <v>2531.19</v>
      </c>
      <c r="F131" s="11">
        <v>4850.5600000000004</v>
      </c>
      <c r="G131" s="11">
        <v>1651.74</v>
      </c>
      <c r="H131" s="3"/>
      <c r="I131" s="11">
        <v>7000</v>
      </c>
      <c r="J131" s="11">
        <v>7000</v>
      </c>
      <c r="K131" s="3"/>
      <c r="L131" s="11">
        <v>2500</v>
      </c>
      <c r="M131" s="38">
        <f>+L131/J131</f>
        <v>0.35714285714285715</v>
      </c>
    </row>
    <row r="132" spans="1:13" x14ac:dyDescent="0.25">
      <c r="A132" s="14" t="s">
        <v>189</v>
      </c>
      <c r="B132" s="15" t="s">
        <v>80</v>
      </c>
      <c r="C132" s="16">
        <v>2862</v>
      </c>
      <c r="D132" s="11">
        <v>2240.1999999999998</v>
      </c>
      <c r="E132" s="11">
        <v>331.83</v>
      </c>
      <c r="F132" s="11">
        <v>65.14</v>
      </c>
      <c r="G132" s="11">
        <v>447.89</v>
      </c>
      <c r="H132" s="3"/>
      <c r="I132" s="11">
        <v>1500</v>
      </c>
      <c r="J132" s="11">
        <v>1500</v>
      </c>
      <c r="K132" s="3"/>
      <c r="L132" s="11">
        <v>1000</v>
      </c>
      <c r="M132" s="38">
        <f>+L132/J132</f>
        <v>0.66666666666666663</v>
      </c>
    </row>
    <row r="133" spans="1:13" x14ac:dyDescent="0.25">
      <c r="A133" s="14" t="s">
        <v>190</v>
      </c>
      <c r="B133" s="15" t="s">
        <v>164</v>
      </c>
      <c r="C133" s="16">
        <v>1185</v>
      </c>
      <c r="D133" s="11">
        <v>1175.76</v>
      </c>
      <c r="E133" s="11">
        <v>220</v>
      </c>
      <c r="F133" s="11">
        <v>883.97</v>
      </c>
      <c r="G133" s="11">
        <v>703</v>
      </c>
      <c r="H133" s="3"/>
      <c r="I133" s="11">
        <v>1500</v>
      </c>
      <c r="J133" s="11">
        <v>1500</v>
      </c>
      <c r="K133" s="3"/>
      <c r="L133" s="11">
        <v>1500</v>
      </c>
      <c r="M133" s="38">
        <f>+L133/J133</f>
        <v>1</v>
      </c>
    </row>
    <row r="134" spans="1:13" x14ac:dyDescent="0.25">
      <c r="A134" s="14">
        <v>6052000</v>
      </c>
      <c r="B134" s="15" t="s">
        <v>191</v>
      </c>
      <c r="C134" s="16"/>
      <c r="D134" s="11"/>
      <c r="E134" s="11"/>
      <c r="F134" s="11">
        <v>0</v>
      </c>
      <c r="G134" s="11">
        <v>0</v>
      </c>
      <c r="H134" s="3"/>
      <c r="I134" s="11"/>
      <c r="J134" s="11"/>
      <c r="K134" s="3"/>
      <c r="L134" s="11"/>
    </row>
    <row r="135" spans="1:13" x14ac:dyDescent="0.25">
      <c r="A135" s="14"/>
      <c r="B135" s="15"/>
      <c r="C135" s="16"/>
      <c r="D135" s="11"/>
      <c r="E135" s="11"/>
      <c r="F135" s="11"/>
      <c r="G135" s="11"/>
      <c r="H135" s="3"/>
      <c r="I135" s="11"/>
      <c r="J135" s="11"/>
      <c r="K135" s="3"/>
      <c r="L135" s="11"/>
    </row>
    <row r="136" spans="1:13" x14ac:dyDescent="0.25">
      <c r="A136" s="29"/>
      <c r="B136" s="30" t="s">
        <v>192</v>
      </c>
      <c r="C136" s="16">
        <f>SUM(C113:C134)</f>
        <v>166832</v>
      </c>
      <c r="D136" s="11">
        <f>SUM(D113:D134)</f>
        <v>223603.50000000003</v>
      </c>
      <c r="E136" s="11">
        <f>SUM(E113:E134)</f>
        <v>178838.46</v>
      </c>
      <c r="F136" s="11">
        <f>SUM(F113:F134)</f>
        <v>235154.10000000003</v>
      </c>
      <c r="G136" s="11">
        <f>SUM(G113:G134)</f>
        <v>196285.02</v>
      </c>
      <c r="H136" s="3"/>
      <c r="I136" s="11">
        <f>SUM(I113:I134)</f>
        <v>240563.3</v>
      </c>
      <c r="J136" s="11">
        <f>SUM(J113:J134)</f>
        <v>240563.3</v>
      </c>
      <c r="K136" s="3"/>
      <c r="L136" s="11">
        <f>SUM(L113:L134)</f>
        <v>255639.44696840001</v>
      </c>
      <c r="M136" s="38">
        <f>+L136/J136</f>
        <v>1.0626701868838682</v>
      </c>
    </row>
    <row r="137" spans="1:13" hidden="1" x14ac:dyDescent="0.25">
      <c r="A137" s="29"/>
      <c r="B137" s="30"/>
      <c r="C137" s="16"/>
      <c r="D137" s="11"/>
      <c r="E137" s="11"/>
      <c r="F137" s="11"/>
      <c r="G137" s="11"/>
      <c r="H137" s="3"/>
      <c r="I137" s="11"/>
      <c r="J137" s="11"/>
      <c r="K137" s="3"/>
      <c r="L137" s="11"/>
    </row>
    <row r="138" spans="1:13" hidden="1" x14ac:dyDescent="0.25">
      <c r="A138" s="14" t="s">
        <v>193</v>
      </c>
      <c r="B138" s="15" t="s">
        <v>124</v>
      </c>
      <c r="C138" s="16">
        <v>51980</v>
      </c>
      <c r="D138" s="11">
        <v>54667.360000000001</v>
      </c>
      <c r="E138" s="11">
        <v>55705.91</v>
      </c>
      <c r="F138" s="11">
        <v>77351.539999999994</v>
      </c>
      <c r="G138" s="11">
        <v>67077.399999999994</v>
      </c>
      <c r="H138" s="3"/>
      <c r="I138" s="11">
        <v>110589</v>
      </c>
      <c r="J138" s="11">
        <v>110589</v>
      </c>
      <c r="K138" s="3"/>
      <c r="L138" s="11">
        <f>+'[1]Non-Union - 3.5%'!$I$43</f>
        <v>113560.2</v>
      </c>
      <c r="M138" s="38">
        <f t="shared" ref="M138:M145" si="4">+L138/J138</f>
        <v>1.0268670482597726</v>
      </c>
    </row>
    <row r="139" spans="1:13" hidden="1" x14ac:dyDescent="0.25">
      <c r="A139" s="14" t="s">
        <v>194</v>
      </c>
      <c r="B139" s="15" t="s">
        <v>126</v>
      </c>
      <c r="C139" s="16">
        <v>4106</v>
      </c>
      <c r="D139" s="11">
        <v>4775.8500000000004</v>
      </c>
      <c r="E139" s="11">
        <v>4564.83</v>
      </c>
      <c r="F139" s="11">
        <v>6504.31</v>
      </c>
      <c r="G139" s="11">
        <v>4632.8100000000004</v>
      </c>
      <c r="H139" s="3"/>
      <c r="I139" s="11">
        <v>8847</v>
      </c>
      <c r="J139" s="11">
        <v>8847</v>
      </c>
      <c r="K139" s="3"/>
      <c r="L139" s="11">
        <f>+'[1]Non-Union - 3.5%'!$P$43</f>
        <v>9084.8159999999989</v>
      </c>
      <c r="M139" s="38">
        <f t="shared" si="4"/>
        <v>1.026880976602238</v>
      </c>
    </row>
    <row r="140" spans="1:13" hidden="1" x14ac:dyDescent="0.25">
      <c r="A140" s="14" t="s">
        <v>195</v>
      </c>
      <c r="B140" s="15" t="s">
        <v>128</v>
      </c>
      <c r="C140" s="16">
        <v>10250</v>
      </c>
      <c r="D140" s="11">
        <v>10725.34</v>
      </c>
      <c r="E140" s="11">
        <v>11006.55</v>
      </c>
      <c r="F140" s="11">
        <v>14335.23</v>
      </c>
      <c r="G140" s="11">
        <v>11031.78</v>
      </c>
      <c r="H140" s="3"/>
      <c r="I140" s="11">
        <v>15891</v>
      </c>
      <c r="J140" s="11">
        <v>15891</v>
      </c>
      <c r="K140" s="3"/>
      <c r="L140" s="11">
        <f>+SUM('[1]Non-Union - 3.5%'!$K$43:$N$43)</f>
        <v>18515.920000000002</v>
      </c>
      <c r="M140" s="38">
        <f t="shared" si="4"/>
        <v>1.1651828078786737</v>
      </c>
    </row>
    <row r="141" spans="1:13" hidden="1" x14ac:dyDescent="0.25">
      <c r="A141" s="14" t="s">
        <v>196</v>
      </c>
      <c r="B141" s="15" t="s">
        <v>130</v>
      </c>
      <c r="C141" s="16">
        <v>1422</v>
      </c>
      <c r="D141" s="11">
        <v>1599.68</v>
      </c>
      <c r="E141" s="11">
        <v>2038.87</v>
      </c>
      <c r="F141" s="11">
        <v>1812.72</v>
      </c>
      <c r="G141" s="11">
        <v>1272.3599999999999</v>
      </c>
      <c r="H141" s="3"/>
      <c r="I141" s="11">
        <v>1950</v>
      </c>
      <c r="J141" s="11">
        <v>1950</v>
      </c>
      <c r="K141" s="3"/>
      <c r="L141" s="11">
        <f>+'[1]Non-Union - 3.5%'!$O$43</f>
        <v>2018.25</v>
      </c>
      <c r="M141" s="38">
        <f t="shared" si="4"/>
        <v>1.0349999999999999</v>
      </c>
    </row>
    <row r="142" spans="1:13" hidden="1" x14ac:dyDescent="0.25">
      <c r="A142" s="14" t="s">
        <v>197</v>
      </c>
      <c r="B142" s="15" t="s">
        <v>171</v>
      </c>
      <c r="C142" s="16">
        <v>0</v>
      </c>
      <c r="D142" s="11">
        <v>42</v>
      </c>
      <c r="E142" s="11">
        <v>20</v>
      </c>
      <c r="F142" s="11">
        <v>0</v>
      </c>
      <c r="G142" s="11">
        <v>134.38999999999999</v>
      </c>
      <c r="H142" s="3"/>
      <c r="I142" s="11">
        <v>200</v>
      </c>
      <c r="J142" s="11">
        <v>200</v>
      </c>
      <c r="K142" s="3"/>
      <c r="L142" s="11">
        <v>200</v>
      </c>
      <c r="M142" s="38">
        <f t="shared" si="4"/>
        <v>1</v>
      </c>
    </row>
    <row r="143" spans="1:13" hidden="1" x14ac:dyDescent="0.25">
      <c r="A143" s="14" t="s">
        <v>198</v>
      </c>
      <c r="B143" s="15" t="s">
        <v>132</v>
      </c>
      <c r="C143" s="16">
        <v>270</v>
      </c>
      <c r="D143" s="11"/>
      <c r="E143" s="11">
        <v>661.55</v>
      </c>
      <c r="F143" s="11">
        <v>1301.17</v>
      </c>
      <c r="G143" s="11">
        <v>1747.34</v>
      </c>
      <c r="H143" s="3"/>
      <c r="I143" s="11">
        <v>487</v>
      </c>
      <c r="J143" s="11">
        <v>487</v>
      </c>
      <c r="K143" s="3"/>
      <c r="L143" s="11">
        <f>+'[1]Non-Union - 3.5%'!$R$43</f>
        <v>499.66487999999998</v>
      </c>
      <c r="M143" s="38">
        <f t="shared" si="4"/>
        <v>1.0260059137577002</v>
      </c>
    </row>
    <row r="144" spans="1:13" hidden="1" x14ac:dyDescent="0.25">
      <c r="A144" s="14" t="s">
        <v>199</v>
      </c>
      <c r="B144" s="15" t="s">
        <v>200</v>
      </c>
      <c r="C144" s="16">
        <v>502</v>
      </c>
      <c r="D144" s="11">
        <v>545.34</v>
      </c>
      <c r="E144" s="11">
        <v>738.29</v>
      </c>
      <c r="F144" s="11">
        <v>1088.67</v>
      </c>
      <c r="G144" s="11">
        <v>1300.55</v>
      </c>
      <c r="H144" s="3"/>
      <c r="I144" s="11">
        <v>1000</v>
      </c>
      <c r="J144" s="11">
        <v>1000</v>
      </c>
      <c r="K144" s="3"/>
      <c r="L144" s="11">
        <v>1500</v>
      </c>
      <c r="M144" s="38">
        <f t="shared" si="4"/>
        <v>1.5</v>
      </c>
    </row>
    <row r="145" spans="1:13" hidden="1" x14ac:dyDescent="0.25">
      <c r="A145" s="14" t="s">
        <v>201</v>
      </c>
      <c r="B145" s="15" t="s">
        <v>182</v>
      </c>
      <c r="C145" s="16">
        <v>960</v>
      </c>
      <c r="D145" s="11">
        <v>1524.36</v>
      </c>
      <c r="E145" s="11">
        <v>1848.74</v>
      </c>
      <c r="F145" s="11">
        <v>1790.09</v>
      </c>
      <c r="G145" s="11">
        <v>1692.08</v>
      </c>
      <c r="H145" s="3"/>
      <c r="I145" s="11">
        <v>2500</v>
      </c>
      <c r="J145" s="11">
        <v>2500</v>
      </c>
      <c r="K145" s="3"/>
      <c r="L145" s="11">
        <v>2500</v>
      </c>
      <c r="M145" s="38">
        <f t="shared" si="4"/>
        <v>1</v>
      </c>
    </row>
    <row r="146" spans="1:13" hidden="1" x14ac:dyDescent="0.25">
      <c r="A146" s="14">
        <v>6060610</v>
      </c>
      <c r="B146" s="15" t="s">
        <v>184</v>
      </c>
      <c r="C146" s="16"/>
      <c r="D146" s="11"/>
      <c r="E146" s="11"/>
      <c r="F146" s="11">
        <v>453.95</v>
      </c>
      <c r="G146" s="11">
        <v>0</v>
      </c>
      <c r="H146" s="3"/>
      <c r="I146" s="11"/>
      <c r="J146" s="11"/>
      <c r="K146" s="3"/>
      <c r="L146" s="11"/>
    </row>
    <row r="147" spans="1:13" hidden="1" x14ac:dyDescent="0.25">
      <c r="A147" s="14" t="s">
        <v>202</v>
      </c>
      <c r="B147" s="15" t="s">
        <v>156</v>
      </c>
      <c r="C147" s="16">
        <v>145</v>
      </c>
      <c r="D147" s="11">
        <v>200.74</v>
      </c>
      <c r="E147" s="11">
        <v>0</v>
      </c>
      <c r="F147" s="11"/>
      <c r="G147" s="11">
        <v>205</v>
      </c>
      <c r="H147" s="3"/>
      <c r="I147" s="11">
        <v>500</v>
      </c>
      <c r="J147" s="11">
        <v>500</v>
      </c>
      <c r="K147" s="3"/>
      <c r="L147" s="11">
        <v>500</v>
      </c>
      <c r="M147" s="38">
        <f>+L147/J147</f>
        <v>1</v>
      </c>
    </row>
    <row r="148" spans="1:13" hidden="1" x14ac:dyDescent="0.25">
      <c r="A148" s="14" t="s">
        <v>203</v>
      </c>
      <c r="B148" s="15" t="s">
        <v>158</v>
      </c>
      <c r="C148" s="16">
        <v>155</v>
      </c>
      <c r="D148" s="11">
        <v>165</v>
      </c>
      <c r="E148" s="11">
        <v>165</v>
      </c>
      <c r="F148" s="11">
        <v>903.91</v>
      </c>
      <c r="G148" s="11">
        <v>70</v>
      </c>
      <c r="H148" s="3"/>
      <c r="I148" s="11">
        <v>1000</v>
      </c>
      <c r="J148" s="11">
        <v>1000</v>
      </c>
      <c r="K148" s="3"/>
      <c r="L148" s="11">
        <v>500</v>
      </c>
      <c r="M148" s="38">
        <f>+L148/J148</f>
        <v>0.5</v>
      </c>
    </row>
    <row r="149" spans="1:13" hidden="1" x14ac:dyDescent="0.25">
      <c r="A149" s="14" t="s">
        <v>204</v>
      </c>
      <c r="B149" s="15" t="s">
        <v>160</v>
      </c>
      <c r="C149" s="16">
        <v>864</v>
      </c>
      <c r="D149" s="11">
        <v>1547.8</v>
      </c>
      <c r="E149" s="11">
        <v>913.43</v>
      </c>
      <c r="F149" s="11">
        <v>1486.03</v>
      </c>
      <c r="G149" s="11">
        <v>1402.02</v>
      </c>
      <c r="H149" s="3"/>
      <c r="I149" s="11">
        <v>2500</v>
      </c>
      <c r="J149" s="11">
        <v>2500</v>
      </c>
      <c r="K149" s="3"/>
      <c r="L149" s="11">
        <v>2000</v>
      </c>
      <c r="M149" s="38">
        <f>+L149/J149</f>
        <v>0.8</v>
      </c>
    </row>
    <row r="150" spans="1:13" hidden="1" x14ac:dyDescent="0.25">
      <c r="A150" s="14" t="s">
        <v>205</v>
      </c>
      <c r="B150" s="15" t="s">
        <v>80</v>
      </c>
      <c r="C150" s="16">
        <v>99</v>
      </c>
      <c r="D150" s="11">
        <v>53.38</v>
      </c>
      <c r="E150" s="11">
        <v>52</v>
      </c>
      <c r="F150" s="11">
        <v>75.03</v>
      </c>
      <c r="G150" s="11">
        <v>0</v>
      </c>
      <c r="H150" s="3"/>
      <c r="I150" s="11">
        <v>250</v>
      </c>
      <c r="J150" s="11">
        <v>250</v>
      </c>
      <c r="K150" s="3"/>
      <c r="L150" s="11">
        <v>250</v>
      </c>
      <c r="M150" s="38">
        <f>+L150/J150</f>
        <v>1</v>
      </c>
    </row>
    <row r="151" spans="1:13" hidden="1" x14ac:dyDescent="0.25">
      <c r="A151" s="14"/>
      <c r="B151" s="15"/>
      <c r="C151" s="16"/>
      <c r="D151" s="11"/>
      <c r="E151" s="11"/>
      <c r="F151" s="11"/>
      <c r="G151" s="11"/>
      <c r="H151" s="3"/>
      <c r="I151" s="11"/>
      <c r="J151" s="11"/>
      <c r="K151" s="3"/>
      <c r="L151" s="11"/>
    </row>
    <row r="152" spans="1:13" hidden="1" x14ac:dyDescent="0.25">
      <c r="A152" s="29"/>
      <c r="B152" s="30" t="s">
        <v>206</v>
      </c>
      <c r="C152" s="16">
        <f>SUM(C138:C150)</f>
        <v>70753</v>
      </c>
      <c r="D152" s="11">
        <f>SUM(D138:D150)</f>
        <v>75846.850000000006</v>
      </c>
      <c r="E152" s="11">
        <f>SUM(E138:E150)</f>
        <v>77715.17</v>
      </c>
      <c r="F152" s="11">
        <f>SUM(F138:F150)</f>
        <v>107102.64999999998</v>
      </c>
      <c r="G152" s="11">
        <f>SUM(G138:G150)</f>
        <v>90565.73</v>
      </c>
      <c r="H152" s="3"/>
      <c r="I152" s="11">
        <f>SUM(I138:I150)</f>
        <v>145714</v>
      </c>
      <c r="J152" s="11">
        <f>SUM(J138:J150)</f>
        <v>145714</v>
      </c>
      <c r="K152" s="3"/>
      <c r="L152" s="11">
        <f>SUM(L138:L150)</f>
        <v>151128.85088000001</v>
      </c>
      <c r="M152" s="38">
        <f>+L152/J152</f>
        <v>1.0371608141976749</v>
      </c>
    </row>
    <row r="153" spans="1:13" hidden="1" x14ac:dyDescent="0.25">
      <c r="A153" s="29"/>
      <c r="B153" s="30"/>
      <c r="C153" s="16"/>
      <c r="D153" s="11"/>
      <c r="E153" s="11"/>
      <c r="F153" s="11"/>
      <c r="G153" s="11"/>
      <c r="H153" s="3"/>
      <c r="I153" s="11"/>
      <c r="J153" s="11"/>
      <c r="K153" s="3"/>
      <c r="L153" s="11"/>
    </row>
    <row r="154" spans="1:13" hidden="1" x14ac:dyDescent="0.25">
      <c r="A154" s="14" t="s">
        <v>207</v>
      </c>
      <c r="B154" s="15" t="s">
        <v>124</v>
      </c>
      <c r="C154" s="16">
        <v>41240</v>
      </c>
      <c r="D154" s="11">
        <v>60236.07</v>
      </c>
      <c r="E154" s="11">
        <v>33683.4</v>
      </c>
      <c r="F154" s="11">
        <v>39820.85</v>
      </c>
      <c r="G154" s="11">
        <v>25463.07</v>
      </c>
      <c r="H154" s="3"/>
      <c r="I154" s="11">
        <v>62859</v>
      </c>
      <c r="J154" s="11">
        <v>40000</v>
      </c>
      <c r="K154" s="3"/>
      <c r="L154" s="11">
        <f>+'[1]Non-Union - 3.5%'!$I$47</f>
        <v>29062.799999999996</v>
      </c>
      <c r="M154" s="38">
        <f t="shared" ref="M154:M160" si="5">+L154/J154</f>
        <v>0.72656999999999994</v>
      </c>
    </row>
    <row r="155" spans="1:13" hidden="1" x14ac:dyDescent="0.25">
      <c r="A155" s="14" t="s">
        <v>208</v>
      </c>
      <c r="B155" s="15" t="s">
        <v>126</v>
      </c>
      <c r="C155" s="16">
        <v>3874</v>
      </c>
      <c r="D155" s="11">
        <v>5318.45</v>
      </c>
      <c r="E155" s="11">
        <v>2923.34</v>
      </c>
      <c r="F155" s="11">
        <v>3373.75</v>
      </c>
      <c r="G155" s="11">
        <v>1995.67</v>
      </c>
      <c r="H155" s="3"/>
      <c r="I155" s="11">
        <v>5029</v>
      </c>
      <c r="J155" s="11">
        <v>3200</v>
      </c>
      <c r="K155" s="3"/>
      <c r="L155" s="11">
        <f>+'[1]Non-Union - 3.5%'!$P$47</f>
        <v>2325.0239999999999</v>
      </c>
      <c r="M155" s="38">
        <f t="shared" si="5"/>
        <v>0.72656999999999994</v>
      </c>
    </row>
    <row r="156" spans="1:13" hidden="1" x14ac:dyDescent="0.25">
      <c r="A156" s="14" t="s">
        <v>209</v>
      </c>
      <c r="B156" s="15" t="s">
        <v>171</v>
      </c>
      <c r="C156" s="16">
        <v>18</v>
      </c>
      <c r="D156" s="11">
        <v>11.7</v>
      </c>
      <c r="E156" s="11">
        <v>0</v>
      </c>
      <c r="F156" s="11"/>
      <c r="G156" s="11">
        <v>324.13</v>
      </c>
      <c r="H156" s="3"/>
      <c r="I156" s="11"/>
      <c r="J156" s="11"/>
      <c r="K156" s="3"/>
      <c r="L156" s="11">
        <v>250</v>
      </c>
    </row>
    <row r="157" spans="1:13" hidden="1" x14ac:dyDescent="0.25">
      <c r="A157" s="14" t="s">
        <v>210</v>
      </c>
      <c r="B157" s="15" t="s">
        <v>132</v>
      </c>
      <c r="C157" s="16">
        <v>111</v>
      </c>
      <c r="D157" s="11">
        <v>87.01</v>
      </c>
      <c r="E157" s="11">
        <v>647.65</v>
      </c>
      <c r="F157" s="11">
        <v>1301.17</v>
      </c>
      <c r="G157" s="11">
        <v>610.53</v>
      </c>
      <c r="H157" s="3"/>
      <c r="I157" s="11">
        <v>82</v>
      </c>
      <c r="J157" s="11">
        <v>82</v>
      </c>
      <c r="K157" s="3"/>
      <c r="L157" s="11">
        <f>+'[1]Non-Union - 3.5%'!$R$47</f>
        <v>37.781639999999996</v>
      </c>
      <c r="M157" s="38">
        <f t="shared" si="5"/>
        <v>0.4607517073170731</v>
      </c>
    </row>
    <row r="158" spans="1:13" hidden="1" x14ac:dyDescent="0.25">
      <c r="A158" s="14">
        <v>6071300</v>
      </c>
      <c r="B158" s="15" t="s">
        <v>211</v>
      </c>
      <c r="C158" s="16">
        <v>0</v>
      </c>
      <c r="D158" s="11">
        <v>421.17</v>
      </c>
      <c r="E158" s="11">
        <v>188.65</v>
      </c>
      <c r="F158" s="11"/>
      <c r="G158" s="11">
        <v>0</v>
      </c>
      <c r="H158" s="3"/>
      <c r="I158" s="11">
        <v>250</v>
      </c>
      <c r="J158" s="11">
        <v>250</v>
      </c>
      <c r="K158" s="3"/>
      <c r="L158" s="11">
        <v>250</v>
      </c>
      <c r="M158" s="38">
        <f t="shared" si="5"/>
        <v>1</v>
      </c>
    </row>
    <row r="159" spans="1:13" hidden="1" x14ac:dyDescent="0.25">
      <c r="A159" s="14" t="s">
        <v>212</v>
      </c>
      <c r="B159" s="15" t="s">
        <v>160</v>
      </c>
      <c r="C159" s="16">
        <v>749</v>
      </c>
      <c r="D159" s="11">
        <v>1967.46</v>
      </c>
      <c r="E159" s="11">
        <v>1154.2</v>
      </c>
      <c r="F159" s="11">
        <v>629.27</v>
      </c>
      <c r="G159" s="11">
        <v>907.21</v>
      </c>
      <c r="H159" s="3"/>
      <c r="I159" s="11">
        <v>1200</v>
      </c>
      <c r="J159" s="11">
        <v>1200</v>
      </c>
      <c r="K159" s="3"/>
      <c r="L159" s="11">
        <v>1200</v>
      </c>
      <c r="M159" s="38">
        <f t="shared" si="5"/>
        <v>1</v>
      </c>
    </row>
    <row r="160" spans="1:13" hidden="1" x14ac:dyDescent="0.25">
      <c r="A160" s="14" t="s">
        <v>213</v>
      </c>
      <c r="B160" s="15" t="s">
        <v>80</v>
      </c>
      <c r="C160" s="16">
        <v>444</v>
      </c>
      <c r="D160" s="11">
        <v>1106.8800000000001</v>
      </c>
      <c r="E160" s="11">
        <v>0</v>
      </c>
      <c r="F160" s="11"/>
      <c r="G160" s="11">
        <v>0</v>
      </c>
      <c r="H160" s="3"/>
      <c r="I160" s="11">
        <v>500</v>
      </c>
      <c r="J160" s="11">
        <v>500</v>
      </c>
      <c r="K160" s="3"/>
      <c r="L160" s="11">
        <v>250</v>
      </c>
      <c r="M160" s="38">
        <f t="shared" si="5"/>
        <v>0.5</v>
      </c>
    </row>
    <row r="161" spans="1:13" hidden="1" x14ac:dyDescent="0.25">
      <c r="A161" s="14"/>
      <c r="B161" s="15"/>
      <c r="C161" s="16"/>
      <c r="D161" s="11"/>
      <c r="E161" s="11"/>
      <c r="F161" s="11"/>
      <c r="G161" s="11"/>
      <c r="H161" s="3"/>
      <c r="I161" s="11"/>
      <c r="J161" s="11"/>
      <c r="K161" s="3"/>
      <c r="L161" s="11"/>
    </row>
    <row r="162" spans="1:13" hidden="1" x14ac:dyDescent="0.25">
      <c r="A162" s="29"/>
      <c r="B162" s="30" t="s">
        <v>214</v>
      </c>
      <c r="C162" s="16">
        <f>SUM(C154:C160)</f>
        <v>46436</v>
      </c>
      <c r="D162" s="11">
        <f>SUM(D154:D160)</f>
        <v>69148.740000000005</v>
      </c>
      <c r="E162" s="11">
        <f>SUM(E154:E160)</f>
        <v>38597.240000000005</v>
      </c>
      <c r="F162" s="11">
        <f>SUM(F154:F160)</f>
        <v>45125.039999999994</v>
      </c>
      <c r="G162" s="11">
        <f>SUM(G154:G160)</f>
        <v>29300.609999999997</v>
      </c>
      <c r="H162" s="3"/>
      <c r="I162" s="11">
        <f>SUM(I154:I160)</f>
        <v>69920</v>
      </c>
      <c r="J162" s="11">
        <f>SUM(J154:J160)</f>
        <v>45232</v>
      </c>
      <c r="K162" s="3"/>
      <c r="L162" s="11">
        <f>SUM(L154:L160)</f>
        <v>33375.605639999994</v>
      </c>
      <c r="M162" s="38">
        <f>+L162/J162</f>
        <v>0.73787596480367867</v>
      </c>
    </row>
    <row r="163" spans="1:13" hidden="1" x14ac:dyDescent="0.25">
      <c r="A163" s="29"/>
      <c r="B163" s="30"/>
      <c r="C163" s="16"/>
      <c r="D163" s="11"/>
      <c r="E163" s="11"/>
      <c r="F163" s="11"/>
      <c r="G163" s="11"/>
      <c r="H163" s="3"/>
      <c r="I163" s="11"/>
      <c r="J163" s="11"/>
      <c r="K163" s="3"/>
      <c r="L163" s="11"/>
    </row>
    <row r="164" spans="1:13" hidden="1" x14ac:dyDescent="0.25">
      <c r="A164" s="17" t="s">
        <v>21</v>
      </c>
      <c r="B164" s="18" t="s">
        <v>215</v>
      </c>
      <c r="C164" s="11">
        <f>+C162+C152+C136+C111+C86</f>
        <v>1151613</v>
      </c>
      <c r="D164" s="11">
        <f>+D162+D152+D136+D111+D86</f>
        <v>1341454.58</v>
      </c>
      <c r="E164" s="11">
        <f>+E162+E152+E136+E111+E86</f>
        <v>1196697.2400000002</v>
      </c>
      <c r="F164" s="11">
        <f>+F162+F152+F136+F111+F86</f>
        <v>1526616.7560000001</v>
      </c>
      <c r="G164" s="11">
        <f>+G162+G152+G136+G111+G86</f>
        <v>1215212.9099999999</v>
      </c>
      <c r="H164" s="3"/>
      <c r="I164" s="11">
        <f>+I162+I152+I136+I111+I86</f>
        <v>1709098.3</v>
      </c>
      <c r="J164" s="11">
        <f>+J162+J152+J136+J111+J86</f>
        <v>1824010.3</v>
      </c>
      <c r="K164" s="3"/>
      <c r="L164" s="11">
        <f>+L162+L152+L136+L111+L86</f>
        <v>1771859.0770402863</v>
      </c>
      <c r="M164" s="38">
        <f>+L164/J164</f>
        <v>0.97140848220006559</v>
      </c>
    </row>
    <row r="165" spans="1:13" hidden="1" x14ac:dyDescent="0.25">
      <c r="D165" s="11"/>
      <c r="E165" s="11"/>
      <c r="F165" s="11"/>
      <c r="G165" s="11"/>
      <c r="H165" s="3"/>
      <c r="I165" s="11"/>
      <c r="J165" s="11"/>
      <c r="K165" s="3"/>
      <c r="L165" s="11"/>
    </row>
    <row r="166" spans="1:13" hidden="1" x14ac:dyDescent="0.25">
      <c r="A166" s="9" t="s">
        <v>216</v>
      </c>
      <c r="B166" s="10" t="s">
        <v>217</v>
      </c>
      <c r="D166" s="11"/>
      <c r="E166" s="11"/>
      <c r="F166" s="11"/>
      <c r="G166" s="11"/>
      <c r="H166" s="3"/>
      <c r="I166" s="11"/>
      <c r="J166" s="11"/>
      <c r="K166" s="3"/>
      <c r="L166" s="11"/>
    </row>
    <row r="167" spans="1:13" hidden="1" x14ac:dyDescent="0.25">
      <c r="A167" s="12" t="s">
        <v>9</v>
      </c>
      <c r="B167" s="13" t="s">
        <v>10</v>
      </c>
      <c r="D167" s="11"/>
      <c r="E167" s="11"/>
      <c r="F167" s="11"/>
      <c r="G167" s="11"/>
      <c r="H167" s="3"/>
      <c r="I167" s="11"/>
      <c r="J167" s="11"/>
      <c r="K167" s="3"/>
      <c r="L167" s="11"/>
    </row>
    <row r="168" spans="1:13" hidden="1" x14ac:dyDescent="0.25">
      <c r="A168" s="14" t="s">
        <v>218</v>
      </c>
      <c r="B168" s="15" t="s">
        <v>219</v>
      </c>
      <c r="C168" s="16">
        <v>676230</v>
      </c>
      <c r="D168" s="11">
        <v>793144.54</v>
      </c>
      <c r="E168" s="11">
        <v>725138.85</v>
      </c>
      <c r="F168" s="11">
        <v>1037671.5</v>
      </c>
      <c r="G168" s="11">
        <v>861248.2</v>
      </c>
      <c r="H168" s="3"/>
      <c r="I168" s="11">
        <v>1150000</v>
      </c>
      <c r="J168" s="11">
        <v>1320000</v>
      </c>
      <c r="K168" s="3"/>
      <c r="L168" s="11">
        <f>+'[1]Non-Union - 3.5%'!$I$17+[1]Union!$H$22+[1]Union!$U$22+[1]Union!$V$22+[1]Union!$W$22</f>
        <v>1347217.3961057691</v>
      </c>
      <c r="M168" s="38">
        <f t="shared" ref="M168:M185" si="6">+L168/J168</f>
        <v>1.0206192394740674</v>
      </c>
    </row>
    <row r="169" spans="1:13" hidden="1" x14ac:dyDescent="0.25">
      <c r="A169" s="14" t="s">
        <v>220</v>
      </c>
      <c r="B169" s="15" t="s">
        <v>221</v>
      </c>
      <c r="C169" s="16">
        <v>0</v>
      </c>
      <c r="D169" s="11">
        <v>2250</v>
      </c>
      <c r="E169" s="11">
        <v>9570</v>
      </c>
      <c r="F169" s="11">
        <v>50469.64</v>
      </c>
      <c r="G169" s="11">
        <v>31345</v>
      </c>
      <c r="H169" s="3"/>
      <c r="I169" s="11">
        <v>55120</v>
      </c>
      <c r="J169" s="11">
        <v>55120</v>
      </c>
      <c r="K169" s="3"/>
      <c r="L169" s="11">
        <v>50000</v>
      </c>
      <c r="M169" s="38">
        <f t="shared" si="6"/>
        <v>0.90711175616835993</v>
      </c>
    </row>
    <row r="170" spans="1:13" hidden="1" x14ac:dyDescent="0.25">
      <c r="A170" s="14" t="s">
        <v>222</v>
      </c>
      <c r="B170" s="15" t="s">
        <v>223</v>
      </c>
      <c r="C170" s="16">
        <v>55881</v>
      </c>
      <c r="D170" s="11">
        <v>57543.17</v>
      </c>
      <c r="E170" s="11">
        <v>55670.48</v>
      </c>
      <c r="F170" s="11">
        <v>82622.080000000002</v>
      </c>
      <c r="G170" s="11">
        <v>62208.480000000003</v>
      </c>
      <c r="H170" s="3"/>
      <c r="I170" s="11">
        <f>8650+12100+68163</f>
        <v>88913</v>
      </c>
      <c r="J170" s="11">
        <v>110009.60000000001</v>
      </c>
      <c r="K170" s="3"/>
      <c r="L170" s="11">
        <f>9253+[1]Union!$O$22+[1]Union!$Z$22</f>
        <v>107777.22048846152</v>
      </c>
      <c r="M170" s="38">
        <f t="shared" si="6"/>
        <v>0.97970741179371179</v>
      </c>
    </row>
    <row r="171" spans="1:13" hidden="1" x14ac:dyDescent="0.25">
      <c r="A171" s="14" t="s">
        <v>224</v>
      </c>
      <c r="B171" s="15" t="s">
        <v>225</v>
      </c>
      <c r="C171" s="16">
        <v>152064</v>
      </c>
      <c r="D171" s="11">
        <v>142017.5</v>
      </c>
      <c r="E171" s="11">
        <v>140830.78</v>
      </c>
      <c r="F171" s="11">
        <v>192240.68</v>
      </c>
      <c r="G171" s="11">
        <v>181109.85</v>
      </c>
      <c r="H171" s="3"/>
      <c r="I171" s="11">
        <f>6469+266647+10641+2672+1879</f>
        <v>288308</v>
      </c>
      <c r="J171" s="11">
        <v>288308</v>
      </c>
      <c r="K171" s="3"/>
      <c r="L171" s="11">
        <f>7200+[1]Union!$J$22+[1]Union!$K$22+[1]Union!$L$22+[1]Union!$M$22</f>
        <v>352847.2680000001</v>
      </c>
      <c r="M171" s="38">
        <f t="shared" si="6"/>
        <v>1.223855279770246</v>
      </c>
    </row>
    <row r="172" spans="1:13" hidden="1" x14ac:dyDescent="0.25">
      <c r="A172" s="14" t="s">
        <v>226</v>
      </c>
      <c r="B172" s="15" t="s">
        <v>227</v>
      </c>
      <c r="C172" s="16">
        <v>80802</v>
      </c>
      <c r="D172" s="11">
        <v>98566.28</v>
      </c>
      <c r="E172" s="11">
        <v>68124.479999999996</v>
      </c>
      <c r="F172" s="11">
        <v>90168.43</v>
      </c>
      <c r="G172" s="11">
        <v>85964.77</v>
      </c>
      <c r="H172" s="3"/>
      <c r="I172" s="11">
        <f>144847+18380</f>
        <v>163227</v>
      </c>
      <c r="J172" s="11">
        <v>163227</v>
      </c>
      <c r="K172" s="3"/>
      <c r="L172" s="11">
        <f>464+[1]Union!$N$22</f>
        <v>157782.92819999999</v>
      </c>
      <c r="M172" s="38">
        <f t="shared" si="6"/>
        <v>0.9666472348324725</v>
      </c>
    </row>
    <row r="173" spans="1:13" hidden="1" x14ac:dyDescent="0.25">
      <c r="A173" s="14" t="s">
        <v>228</v>
      </c>
      <c r="B173" s="15" t="s">
        <v>229</v>
      </c>
      <c r="C173" s="16">
        <v>10188</v>
      </c>
      <c r="D173" s="11">
        <v>16231.68</v>
      </c>
      <c r="E173" s="11">
        <v>5561.98</v>
      </c>
      <c r="F173" s="11">
        <v>77009.759999999995</v>
      </c>
      <c r="G173" s="11">
        <v>24155.46</v>
      </c>
      <c r="H173" s="3"/>
      <c r="I173" s="11">
        <v>20000</v>
      </c>
      <c r="J173" s="11">
        <v>20000</v>
      </c>
      <c r="K173" s="3"/>
      <c r="L173" s="11">
        <v>20000</v>
      </c>
      <c r="M173" s="38">
        <f t="shared" si="6"/>
        <v>1</v>
      </c>
    </row>
    <row r="174" spans="1:13" hidden="1" x14ac:dyDescent="0.25">
      <c r="A174" s="14" t="s">
        <v>230</v>
      </c>
      <c r="B174" s="15" t="s">
        <v>231</v>
      </c>
      <c r="C174" s="16">
        <v>25001</v>
      </c>
      <c r="D174" s="11">
        <v>31230.12</v>
      </c>
      <c r="E174" s="11">
        <v>19763.8</v>
      </c>
      <c r="F174" s="11">
        <v>8095.98</v>
      </c>
      <c r="G174" s="11">
        <v>33114.26</v>
      </c>
      <c r="H174" s="3"/>
      <c r="I174" s="11">
        <f>29055+5158+3687</f>
        <v>37900</v>
      </c>
      <c r="J174" s="11">
        <v>37900</v>
      </c>
      <c r="K174" s="3"/>
      <c r="L174" s="11">
        <f>3944+[1]Union!$Q$22+[1]Union!$Y$22</f>
        <v>45939.948983206727</v>
      </c>
      <c r="M174" s="38">
        <f t="shared" si="6"/>
        <v>1.2121358570766947</v>
      </c>
    </row>
    <row r="175" spans="1:13" hidden="1" x14ac:dyDescent="0.25">
      <c r="A175" s="14" t="s">
        <v>232</v>
      </c>
      <c r="B175" s="15" t="s">
        <v>233</v>
      </c>
      <c r="C175" s="16">
        <v>120533</v>
      </c>
      <c r="D175" s="11">
        <v>128146.94</v>
      </c>
      <c r="E175" s="11">
        <v>101451.3</v>
      </c>
      <c r="F175" s="11">
        <v>223940.33</v>
      </c>
      <c r="G175" s="11">
        <v>221517.37</v>
      </c>
      <c r="H175" s="3"/>
      <c r="I175" s="11">
        <f>270263+51628</f>
        <v>321891</v>
      </c>
      <c r="J175" s="11">
        <v>321891</v>
      </c>
      <c r="K175" s="3"/>
      <c r="L175" s="11">
        <f>+'[1]Non-Union - 3.5%'!$I$27+'[1]Non-Union - 3.5%'!$V$27</f>
        <v>353446.86481349997</v>
      </c>
      <c r="M175" s="38">
        <f t="shared" si="6"/>
        <v>1.098032765170508</v>
      </c>
    </row>
    <row r="176" spans="1:13" hidden="1" x14ac:dyDescent="0.25">
      <c r="A176" s="14" t="s">
        <v>234</v>
      </c>
      <c r="B176" s="15" t="s">
        <v>235</v>
      </c>
      <c r="C176" s="16">
        <v>10228</v>
      </c>
      <c r="D176" s="11">
        <v>11300.56</v>
      </c>
      <c r="E176" s="11">
        <v>8147.5</v>
      </c>
      <c r="F176" s="11">
        <v>17331.79</v>
      </c>
      <c r="G176" s="11">
        <v>15040.61</v>
      </c>
      <c r="H176" s="3"/>
      <c r="I176" s="11">
        <f>21621+4130</f>
        <v>25751</v>
      </c>
      <c r="J176" s="11">
        <v>25751</v>
      </c>
      <c r="K176" s="3"/>
      <c r="L176" s="11">
        <f>+'[1]Non-Union - 3.5%'!$P$27+'[1]Non-Union - 3.5%'!$Z$27</f>
        <v>28275.74918508</v>
      </c>
      <c r="M176" s="38">
        <f t="shared" si="6"/>
        <v>1.0980447044806028</v>
      </c>
    </row>
    <row r="177" spans="1:13" hidden="1" x14ac:dyDescent="0.25">
      <c r="A177" s="14" t="s">
        <v>236</v>
      </c>
      <c r="B177" s="15" t="s">
        <v>237</v>
      </c>
      <c r="C177" s="16">
        <v>41198</v>
      </c>
      <c r="D177" s="11">
        <v>39635.67</v>
      </c>
      <c r="E177" s="11">
        <v>23581.19</v>
      </c>
      <c r="F177" s="11">
        <v>78593.440000000002</v>
      </c>
      <c r="G177" s="11">
        <v>70617.97</v>
      </c>
      <c r="H177" s="3"/>
      <c r="I177" s="11">
        <f>122947+5856+1474</f>
        <v>130277</v>
      </c>
      <c r="J177" s="11">
        <v>130277</v>
      </c>
      <c r="K177" s="3"/>
      <c r="L177" s="11">
        <f>+SUM('[1]Non-Union - 3.5%'!$K$27:$N$27)</f>
        <v>129595.01999999999</v>
      </c>
      <c r="M177" s="38">
        <f t="shared" si="6"/>
        <v>0.99476515424825551</v>
      </c>
    </row>
    <row r="178" spans="1:13" hidden="1" x14ac:dyDescent="0.25">
      <c r="A178" s="14" t="s">
        <v>238</v>
      </c>
      <c r="B178" s="15" t="s">
        <v>239</v>
      </c>
      <c r="C178" s="16">
        <v>1799</v>
      </c>
      <c r="D178" s="11">
        <v>2200.7800000000002</v>
      </c>
      <c r="E178" s="11">
        <v>3043.2</v>
      </c>
      <c r="F178" s="11">
        <v>1929.9</v>
      </c>
      <c r="G178" s="11">
        <v>1994.23</v>
      </c>
      <c r="H178" s="3"/>
      <c r="I178" s="11">
        <f>4974+986</f>
        <v>5960</v>
      </c>
      <c r="J178" s="11">
        <v>5960</v>
      </c>
      <c r="K178" s="3"/>
      <c r="L178" s="11">
        <f>+'[1]Non-Union - 3.5%'!$O$27+'[1]Non-Union - 3.5%'!$X$27</f>
        <v>3215.8542699999998</v>
      </c>
      <c r="M178" s="38">
        <f t="shared" si="6"/>
        <v>0.53957286409395966</v>
      </c>
    </row>
    <row r="179" spans="1:13" hidden="1" x14ac:dyDescent="0.25">
      <c r="A179" s="14">
        <v>6030250</v>
      </c>
      <c r="B179" s="15" t="s">
        <v>240</v>
      </c>
      <c r="C179" s="16"/>
      <c r="D179" s="11"/>
      <c r="E179" s="11"/>
      <c r="F179" s="11">
        <v>218.25</v>
      </c>
      <c r="G179" s="11">
        <v>2698.36</v>
      </c>
      <c r="H179" s="3"/>
      <c r="I179" s="11"/>
      <c r="J179" s="11">
        <v>2700</v>
      </c>
      <c r="K179" s="3"/>
      <c r="L179" s="11">
        <v>1500</v>
      </c>
      <c r="M179" s="38">
        <f t="shared" si="6"/>
        <v>0.55555555555555558</v>
      </c>
    </row>
    <row r="180" spans="1:13" hidden="1" x14ac:dyDescent="0.25">
      <c r="A180" s="14" t="s">
        <v>241</v>
      </c>
      <c r="B180" s="15" t="s">
        <v>242</v>
      </c>
      <c r="C180" s="16">
        <v>226</v>
      </c>
      <c r="D180" s="11">
        <v>161.86000000000001</v>
      </c>
      <c r="E180" s="11">
        <v>1384.45</v>
      </c>
      <c r="F180" s="11">
        <v>2698.66</v>
      </c>
      <c r="G180" s="11">
        <v>5311.77</v>
      </c>
      <c r="H180" s="3"/>
      <c r="I180" s="11">
        <f>351+67</f>
        <v>418</v>
      </c>
      <c r="J180" s="11">
        <v>7500</v>
      </c>
      <c r="K180" s="3"/>
      <c r="L180" s="11">
        <f>+'[1]Non-Union - 3.5%'!$R$27+'[1]Non-Union - 3.5%'!$Y$27</f>
        <v>459.48092425754999</v>
      </c>
      <c r="M180" s="38">
        <f t="shared" si="6"/>
        <v>6.1264123234339996E-2</v>
      </c>
    </row>
    <row r="181" spans="1:13" hidden="1" x14ac:dyDescent="0.25">
      <c r="A181" s="14" t="s">
        <v>243</v>
      </c>
      <c r="B181" s="15" t="s">
        <v>134</v>
      </c>
      <c r="C181" s="16">
        <v>157168</v>
      </c>
      <c r="D181" s="11">
        <v>166288.71</v>
      </c>
      <c r="E181" s="11">
        <v>205211.96</v>
      </c>
      <c r="F181" s="11">
        <v>202842.41</v>
      </c>
      <c r="G181" s="11">
        <v>177363.55</v>
      </c>
      <c r="H181" s="3"/>
      <c r="I181" s="11">
        <v>190320</v>
      </c>
      <c r="J181" s="11">
        <v>190320</v>
      </c>
      <c r="K181" s="3"/>
      <c r="L181" s="11">
        <v>196737</v>
      </c>
      <c r="M181" s="38">
        <f t="shared" si="6"/>
        <v>1.0337168978562421</v>
      </c>
    </row>
    <row r="182" spans="1:13" hidden="1" x14ac:dyDescent="0.25">
      <c r="A182" s="14" t="s">
        <v>244</v>
      </c>
      <c r="B182" s="15" t="s">
        <v>136</v>
      </c>
      <c r="C182" s="16">
        <v>13223</v>
      </c>
      <c r="D182" s="11">
        <v>20974.02</v>
      </c>
      <c r="E182" s="11">
        <v>19302.919999999998</v>
      </c>
      <c r="F182" s="11">
        <v>17279.099999999999</v>
      </c>
      <c r="G182" s="11">
        <v>14898.52</v>
      </c>
      <c r="H182" s="3"/>
      <c r="I182" s="11">
        <v>16250</v>
      </c>
      <c r="J182" s="11">
        <v>16250</v>
      </c>
      <c r="K182" s="3"/>
      <c r="L182" s="11">
        <v>19673.7</v>
      </c>
      <c r="M182" s="38">
        <f t="shared" si="6"/>
        <v>1.2106892307692307</v>
      </c>
    </row>
    <row r="183" spans="1:13" hidden="1" x14ac:dyDescent="0.25">
      <c r="A183" s="14" t="s">
        <v>245</v>
      </c>
      <c r="B183" s="15" t="s">
        <v>176</v>
      </c>
      <c r="C183" s="16">
        <v>3513</v>
      </c>
      <c r="D183" s="11">
        <v>3147.89</v>
      </c>
      <c r="E183" s="11">
        <v>2830.45</v>
      </c>
      <c r="F183" s="11">
        <v>11016.29</v>
      </c>
      <c r="G183" s="11">
        <v>17254.490000000002</v>
      </c>
      <c r="H183" s="3"/>
      <c r="I183" s="11">
        <v>8000</v>
      </c>
      <c r="J183" s="11">
        <v>18000</v>
      </c>
      <c r="K183" s="3"/>
      <c r="L183" s="11">
        <v>12000</v>
      </c>
      <c r="M183" s="38">
        <f t="shared" si="6"/>
        <v>0.66666666666666663</v>
      </c>
    </row>
    <row r="184" spans="1:13" hidden="1" x14ac:dyDescent="0.25">
      <c r="A184" s="14" t="s">
        <v>246</v>
      </c>
      <c r="B184" s="15" t="s">
        <v>138</v>
      </c>
      <c r="C184" s="16">
        <v>7876</v>
      </c>
      <c r="D184" s="11">
        <v>8659.57</v>
      </c>
      <c r="E184" s="11">
        <v>4580.3500000000004</v>
      </c>
      <c r="F184" s="11">
        <v>5397.32</v>
      </c>
      <c r="G184" s="11">
        <v>3477.22</v>
      </c>
      <c r="H184" s="3"/>
      <c r="I184" s="11">
        <v>6489.91</v>
      </c>
      <c r="J184" s="11">
        <v>6489.91</v>
      </c>
      <c r="K184" s="3"/>
      <c r="L184" s="11">
        <v>6708.73</v>
      </c>
      <c r="M184" s="38">
        <f t="shared" si="6"/>
        <v>1.0337169544724041</v>
      </c>
    </row>
    <row r="185" spans="1:13" hidden="1" x14ac:dyDescent="0.25">
      <c r="A185" s="14" t="s">
        <v>247</v>
      </c>
      <c r="B185" s="15" t="s">
        <v>140</v>
      </c>
      <c r="C185" s="16">
        <v>22435</v>
      </c>
      <c r="D185" s="11">
        <v>18414.25</v>
      </c>
      <c r="E185" s="11">
        <v>15920.44</v>
      </c>
      <c r="F185" s="11">
        <v>26310.71</v>
      </c>
      <c r="G185" s="11">
        <v>13795.04</v>
      </c>
      <c r="H185" s="3"/>
      <c r="I185" s="11">
        <v>15500</v>
      </c>
      <c r="J185" s="11">
        <v>15500</v>
      </c>
      <c r="K185" s="3"/>
      <c r="L185" s="11">
        <v>15500</v>
      </c>
      <c r="M185" s="38">
        <f t="shared" si="6"/>
        <v>1</v>
      </c>
    </row>
    <row r="186" spans="1:13" hidden="1" x14ac:dyDescent="0.25">
      <c r="A186" s="14" t="s">
        <v>248</v>
      </c>
      <c r="B186" s="15" t="s">
        <v>142</v>
      </c>
      <c r="C186" s="16">
        <v>2450</v>
      </c>
      <c r="D186" s="11">
        <v>2907.5</v>
      </c>
      <c r="E186" s="11">
        <v>2212.98</v>
      </c>
      <c r="F186" s="11">
        <v>2995</v>
      </c>
      <c r="G186" s="11">
        <v>0</v>
      </c>
      <c r="H186" s="3"/>
      <c r="I186" s="11"/>
      <c r="J186" s="11">
        <v>0</v>
      </c>
      <c r="K186" s="3"/>
      <c r="L186" s="11"/>
    </row>
    <row r="187" spans="1:13" hidden="1" x14ac:dyDescent="0.25">
      <c r="A187" s="14" t="s">
        <v>249</v>
      </c>
      <c r="B187" s="15" t="s">
        <v>144</v>
      </c>
      <c r="C187" s="16">
        <v>212</v>
      </c>
      <c r="D187" s="11">
        <v>427.5</v>
      </c>
      <c r="E187" s="11">
        <v>432</v>
      </c>
      <c r="F187" s="11">
        <v>438</v>
      </c>
      <c r="G187" s="11">
        <v>0</v>
      </c>
      <c r="H187" s="3"/>
      <c r="I187" s="11"/>
      <c r="J187" s="11">
        <v>0</v>
      </c>
      <c r="K187" s="3"/>
      <c r="L187" s="11"/>
    </row>
    <row r="188" spans="1:13" hidden="1" x14ac:dyDescent="0.25">
      <c r="A188" s="14" t="s">
        <v>250</v>
      </c>
      <c r="B188" s="15" t="s">
        <v>146</v>
      </c>
      <c r="C188" s="16">
        <v>3711</v>
      </c>
      <c r="D188" s="11">
        <v>2791.67</v>
      </c>
      <c r="E188" s="11">
        <v>2687.27</v>
      </c>
      <c r="F188" s="11">
        <v>5448.95</v>
      </c>
      <c r="G188" s="11">
        <v>0</v>
      </c>
      <c r="H188" s="3"/>
      <c r="I188" s="11"/>
      <c r="J188" s="11">
        <v>0</v>
      </c>
      <c r="K188" s="3"/>
      <c r="L188" s="11"/>
    </row>
    <row r="189" spans="1:13" hidden="1" x14ac:dyDescent="0.25">
      <c r="A189" s="14" t="s">
        <v>251</v>
      </c>
      <c r="B189" s="15" t="s">
        <v>182</v>
      </c>
      <c r="C189" s="16">
        <v>23160</v>
      </c>
      <c r="D189" s="11">
        <v>40171.89</v>
      </c>
      <c r="E189" s="11">
        <v>39764.980000000003</v>
      </c>
      <c r="F189" s="11">
        <v>47323.88</v>
      </c>
      <c r="G189" s="11">
        <v>39158.04</v>
      </c>
      <c r="H189" s="3"/>
      <c r="I189" s="11">
        <v>55000</v>
      </c>
      <c r="J189" s="11">
        <v>55000</v>
      </c>
      <c r="K189" s="3"/>
      <c r="L189" s="11">
        <v>55000</v>
      </c>
      <c r="M189" s="38">
        <f t="shared" ref="M189:M202" si="7">+L189/J189</f>
        <v>1</v>
      </c>
    </row>
    <row r="190" spans="1:13" hidden="1" x14ac:dyDescent="0.25">
      <c r="A190" s="14">
        <v>6030603</v>
      </c>
      <c r="B190" s="15" t="s">
        <v>252</v>
      </c>
      <c r="C190" s="16"/>
      <c r="D190" s="11"/>
      <c r="E190" s="11"/>
      <c r="F190" s="11"/>
      <c r="G190" s="11">
        <v>1053.7</v>
      </c>
      <c r="H190" s="3"/>
      <c r="I190" s="11"/>
      <c r="J190" s="11">
        <v>2500</v>
      </c>
      <c r="K190" s="3"/>
      <c r="L190" s="11">
        <v>5000</v>
      </c>
      <c r="M190" s="38">
        <f t="shared" si="7"/>
        <v>2</v>
      </c>
    </row>
    <row r="191" spans="1:13" hidden="1" x14ac:dyDescent="0.25">
      <c r="A191" s="14">
        <v>6030605</v>
      </c>
      <c r="B191" s="15" t="s">
        <v>148</v>
      </c>
      <c r="C191" s="16"/>
      <c r="D191" s="11"/>
      <c r="E191" s="11"/>
      <c r="F191" s="11">
        <v>60.52</v>
      </c>
      <c r="G191" s="11">
        <v>298.3</v>
      </c>
      <c r="H191" s="3"/>
      <c r="I191" s="11"/>
      <c r="J191" s="11">
        <v>500</v>
      </c>
      <c r="K191" s="3"/>
      <c r="L191" s="11">
        <v>500</v>
      </c>
      <c r="M191" s="38">
        <f t="shared" si="7"/>
        <v>1</v>
      </c>
    </row>
    <row r="192" spans="1:13" hidden="1" x14ac:dyDescent="0.25">
      <c r="A192" s="14" t="s">
        <v>253</v>
      </c>
      <c r="B192" s="15" t="s">
        <v>254</v>
      </c>
      <c r="C192" s="16">
        <v>34396</v>
      </c>
      <c r="D192" s="11">
        <v>27464.74</v>
      </c>
      <c r="E192" s="11">
        <v>37672.65</v>
      </c>
      <c r="F192" s="11">
        <v>37423.78</v>
      </c>
      <c r="G192" s="11">
        <v>30506.62</v>
      </c>
      <c r="H192" s="3"/>
      <c r="I192" s="11">
        <v>25000</v>
      </c>
      <c r="J192" s="11">
        <v>35000</v>
      </c>
      <c r="K192" s="3"/>
      <c r="L192" s="11">
        <v>30000</v>
      </c>
      <c r="M192" s="38">
        <f t="shared" si="7"/>
        <v>0.8571428571428571</v>
      </c>
    </row>
    <row r="193" spans="1:13" hidden="1" x14ac:dyDescent="0.25">
      <c r="A193" s="14" t="s">
        <v>255</v>
      </c>
      <c r="B193" s="15" t="s">
        <v>152</v>
      </c>
      <c r="C193" s="16">
        <v>10778</v>
      </c>
      <c r="D193" s="11">
        <v>10367.9</v>
      </c>
      <c r="E193" s="11">
        <v>12796.5</v>
      </c>
      <c r="F193" s="11">
        <v>5873</v>
      </c>
      <c r="G193" s="11">
        <v>2134</v>
      </c>
      <c r="H193" s="3"/>
      <c r="I193" s="11">
        <v>20000</v>
      </c>
      <c r="J193" s="11">
        <v>5000</v>
      </c>
      <c r="K193" s="3"/>
      <c r="L193" s="11">
        <v>5000</v>
      </c>
      <c r="M193" s="38">
        <f t="shared" si="7"/>
        <v>1</v>
      </c>
    </row>
    <row r="194" spans="1:13" hidden="1" x14ac:dyDescent="0.25">
      <c r="A194" s="14">
        <v>6031125</v>
      </c>
      <c r="B194" s="15" t="s">
        <v>256</v>
      </c>
      <c r="C194" s="16"/>
      <c r="D194" s="11"/>
      <c r="E194" s="11"/>
      <c r="F194" s="11"/>
      <c r="G194" s="11"/>
      <c r="H194" s="3"/>
      <c r="I194" s="11"/>
      <c r="J194" s="11"/>
      <c r="K194" s="3"/>
      <c r="L194" s="11">
        <v>5000</v>
      </c>
    </row>
    <row r="195" spans="1:13" hidden="1" x14ac:dyDescent="0.25">
      <c r="A195" s="14" t="s">
        <v>257</v>
      </c>
      <c r="B195" s="15" t="s">
        <v>154</v>
      </c>
      <c r="C195" s="16">
        <v>79702</v>
      </c>
      <c r="D195" s="11">
        <v>130573.42</v>
      </c>
      <c r="E195" s="11">
        <v>122123.95</v>
      </c>
      <c r="F195" s="11">
        <v>133717.14000000001</v>
      </c>
      <c r="G195" s="11">
        <v>93612.93</v>
      </c>
      <c r="H195" s="3"/>
      <c r="I195" s="11">
        <v>150000</v>
      </c>
      <c r="J195" s="11">
        <v>150000</v>
      </c>
      <c r="K195" s="3"/>
      <c r="L195" s="11">
        <v>150000</v>
      </c>
      <c r="M195" s="38">
        <f t="shared" si="7"/>
        <v>1</v>
      </c>
    </row>
    <row r="196" spans="1:13" hidden="1" x14ac:dyDescent="0.25">
      <c r="A196" s="14" t="s">
        <v>258</v>
      </c>
      <c r="B196" s="15" t="s">
        <v>156</v>
      </c>
      <c r="C196" s="16">
        <v>1251</v>
      </c>
      <c r="D196" s="11">
        <v>1205.47</v>
      </c>
      <c r="E196" s="11">
        <v>676.74</v>
      </c>
      <c r="F196" s="11">
        <v>26669.61</v>
      </c>
      <c r="G196" s="11">
        <v>20247.98</v>
      </c>
      <c r="H196" s="3"/>
      <c r="I196" s="11">
        <v>1000</v>
      </c>
      <c r="J196" s="11">
        <v>25000</v>
      </c>
      <c r="K196" s="3"/>
      <c r="L196" s="11">
        <v>30000</v>
      </c>
      <c r="M196" s="38">
        <f t="shared" si="7"/>
        <v>1.2</v>
      </c>
    </row>
    <row r="197" spans="1:13" hidden="1" x14ac:dyDescent="0.25">
      <c r="A197" s="14" t="s">
        <v>259</v>
      </c>
      <c r="B197" s="15" t="s">
        <v>260</v>
      </c>
      <c r="C197" s="16">
        <v>12089</v>
      </c>
      <c r="D197" s="11">
        <v>7365.48</v>
      </c>
      <c r="E197" s="11">
        <v>12852.77</v>
      </c>
      <c r="F197" s="11">
        <v>30031.31</v>
      </c>
      <c r="G197" s="11">
        <v>7534.9</v>
      </c>
      <c r="H197" s="3"/>
      <c r="I197" s="11">
        <v>15000</v>
      </c>
      <c r="J197" s="11">
        <v>13000</v>
      </c>
      <c r="K197" s="3"/>
      <c r="L197" s="11">
        <v>20000</v>
      </c>
      <c r="M197" s="38">
        <f t="shared" si="7"/>
        <v>1.5384615384615385</v>
      </c>
    </row>
    <row r="198" spans="1:13" hidden="1" x14ac:dyDescent="0.25">
      <c r="A198" s="14">
        <v>6031425</v>
      </c>
      <c r="B198" s="15" t="s">
        <v>261</v>
      </c>
      <c r="C198" s="16">
        <v>0</v>
      </c>
      <c r="D198" s="11"/>
      <c r="E198" s="11"/>
      <c r="F198" s="11">
        <v>95</v>
      </c>
      <c r="G198" s="11">
        <v>596.29999999999995</v>
      </c>
      <c r="H198" s="3"/>
      <c r="I198" s="11"/>
      <c r="J198" s="11">
        <v>1000</v>
      </c>
      <c r="K198" s="3"/>
      <c r="L198" s="11">
        <v>2500</v>
      </c>
      <c r="M198" s="38">
        <f t="shared" si="7"/>
        <v>2.5</v>
      </c>
    </row>
    <row r="199" spans="1:13" hidden="1" x14ac:dyDescent="0.25">
      <c r="A199" s="14">
        <v>6031450</v>
      </c>
      <c r="B199" s="15" t="s">
        <v>262</v>
      </c>
      <c r="C199" s="16">
        <v>0</v>
      </c>
      <c r="D199" s="11"/>
      <c r="E199" s="11"/>
      <c r="F199" s="11">
        <v>3769.13</v>
      </c>
      <c r="G199" s="11">
        <v>950</v>
      </c>
      <c r="H199" s="3"/>
      <c r="I199" s="11"/>
      <c r="J199" s="11">
        <v>1000</v>
      </c>
      <c r="K199" s="3"/>
      <c r="L199" s="11">
        <v>2500</v>
      </c>
      <c r="M199" s="38">
        <f t="shared" si="7"/>
        <v>2.5</v>
      </c>
    </row>
    <row r="200" spans="1:13" hidden="1" x14ac:dyDescent="0.25">
      <c r="A200" s="14">
        <v>6031475</v>
      </c>
      <c r="B200" s="15" t="s">
        <v>263</v>
      </c>
      <c r="C200" s="16">
        <v>0</v>
      </c>
      <c r="D200" s="11"/>
      <c r="E200" s="11"/>
      <c r="F200" s="11">
        <v>24300.38</v>
      </c>
      <c r="G200" s="11">
        <v>22633.52</v>
      </c>
      <c r="H200" s="3"/>
      <c r="I200" s="11">
        <v>14000</v>
      </c>
      <c r="J200" s="11">
        <v>25000</v>
      </c>
      <c r="K200" s="3"/>
      <c r="L200" s="11">
        <v>35000</v>
      </c>
      <c r="M200" s="38">
        <f t="shared" si="7"/>
        <v>1.4</v>
      </c>
    </row>
    <row r="201" spans="1:13" hidden="1" x14ac:dyDescent="0.25">
      <c r="A201" s="14" t="s">
        <v>264</v>
      </c>
      <c r="B201" s="15" t="s">
        <v>160</v>
      </c>
      <c r="C201" s="16">
        <v>3315</v>
      </c>
      <c r="D201" s="11">
        <v>12980.28</v>
      </c>
      <c r="E201" s="11">
        <v>9569.81</v>
      </c>
      <c r="F201" s="11">
        <v>30857.39</v>
      </c>
      <c r="G201" s="11">
        <v>13232.95</v>
      </c>
      <c r="H201" s="3"/>
      <c r="I201" s="11">
        <v>12000</v>
      </c>
      <c r="J201" s="11">
        <v>15000</v>
      </c>
      <c r="K201" s="3"/>
      <c r="L201" s="11">
        <v>15000</v>
      </c>
      <c r="M201" s="38">
        <f t="shared" si="7"/>
        <v>1</v>
      </c>
    </row>
    <row r="202" spans="1:13" hidden="1" x14ac:dyDescent="0.25">
      <c r="A202" s="14">
        <v>6031550</v>
      </c>
      <c r="B202" s="15" t="s">
        <v>265</v>
      </c>
      <c r="C202" s="16">
        <v>0</v>
      </c>
      <c r="D202" s="11"/>
      <c r="E202" s="11"/>
      <c r="F202" s="11">
        <v>38652.86</v>
      </c>
      <c r="G202" s="11">
        <v>19372.22</v>
      </c>
      <c r="H202" s="3"/>
      <c r="I202" s="11">
        <v>8000</v>
      </c>
      <c r="J202" s="11">
        <v>20000</v>
      </c>
      <c r="K202" s="3"/>
      <c r="L202" s="11">
        <v>12000</v>
      </c>
      <c r="M202" s="38">
        <f t="shared" si="7"/>
        <v>0.6</v>
      </c>
    </row>
    <row r="203" spans="1:13" hidden="1" x14ac:dyDescent="0.25">
      <c r="A203" s="14">
        <v>6031600</v>
      </c>
      <c r="B203" s="15" t="s">
        <v>162</v>
      </c>
      <c r="C203" s="16">
        <v>0</v>
      </c>
      <c r="D203" s="11"/>
      <c r="E203" s="11"/>
      <c r="F203" s="11">
        <v>127.5</v>
      </c>
      <c r="G203" s="11">
        <v>0</v>
      </c>
      <c r="H203" s="3"/>
      <c r="I203" s="11"/>
      <c r="J203" s="11">
        <v>0</v>
      </c>
      <c r="K203" s="3"/>
      <c r="L203" s="11"/>
    </row>
    <row r="204" spans="1:13" hidden="1" x14ac:dyDescent="0.25">
      <c r="A204" s="14" t="s">
        <v>266</v>
      </c>
      <c r="B204" s="15" t="s">
        <v>80</v>
      </c>
      <c r="C204" s="16">
        <v>7736</v>
      </c>
      <c r="D204" s="11">
        <v>5581.8</v>
      </c>
      <c r="E204" s="11">
        <v>2006.93</v>
      </c>
      <c r="F204" s="11">
        <v>9088.06</v>
      </c>
      <c r="G204" s="11">
        <v>10108.780000000001</v>
      </c>
      <c r="H204" s="3"/>
      <c r="I204" s="11">
        <v>5000</v>
      </c>
      <c r="J204" s="11">
        <v>11000</v>
      </c>
      <c r="K204" s="3"/>
      <c r="L204" s="11">
        <v>15000</v>
      </c>
      <c r="M204" s="38">
        <f>+L204/J204</f>
        <v>1.3636363636363635</v>
      </c>
    </row>
    <row r="205" spans="1:13" hidden="1" x14ac:dyDescent="0.25">
      <c r="A205" s="14" t="s">
        <v>267</v>
      </c>
      <c r="B205" s="15" t="s">
        <v>164</v>
      </c>
      <c r="C205" s="16">
        <v>22395</v>
      </c>
      <c r="D205" s="11">
        <v>13233.24</v>
      </c>
      <c r="E205" s="11">
        <v>6173.44</v>
      </c>
      <c r="F205" s="11">
        <v>18739.400000000001</v>
      </c>
      <c r="G205" s="11">
        <v>48228.57</v>
      </c>
      <c r="H205" s="3"/>
      <c r="I205" s="11">
        <v>10000</v>
      </c>
      <c r="J205" s="11">
        <v>50000</v>
      </c>
      <c r="K205" s="3"/>
      <c r="L205" s="11">
        <v>50000</v>
      </c>
      <c r="M205" s="38">
        <f>+L205/J205</f>
        <v>1</v>
      </c>
    </row>
    <row r="206" spans="1:13" hidden="1" x14ac:dyDescent="0.25">
      <c r="A206" s="14" t="s">
        <v>268</v>
      </c>
      <c r="B206" s="15" t="s">
        <v>269</v>
      </c>
      <c r="C206" s="16">
        <v>0</v>
      </c>
      <c r="D206" s="11">
        <v>1016.49</v>
      </c>
      <c r="E206" s="11">
        <v>746.03</v>
      </c>
      <c r="F206" s="11">
        <v>3306.25</v>
      </c>
      <c r="G206" s="11">
        <v>1580.17</v>
      </c>
      <c r="H206" s="3"/>
      <c r="I206" s="11">
        <v>1000</v>
      </c>
      <c r="J206" s="11">
        <v>1000</v>
      </c>
      <c r="K206" s="3"/>
      <c r="L206" s="11">
        <v>1500</v>
      </c>
      <c r="M206" s="38">
        <f>+L206/J206</f>
        <v>1.5</v>
      </c>
    </row>
    <row r="207" spans="1:13" hidden="1" x14ac:dyDescent="0.25">
      <c r="A207" s="14" t="s">
        <v>270</v>
      </c>
      <c r="B207" s="15" t="s">
        <v>191</v>
      </c>
      <c r="C207" s="16">
        <v>69</v>
      </c>
      <c r="D207" s="11">
        <v>141252</v>
      </c>
      <c r="E207" s="11">
        <v>86987.44</v>
      </c>
      <c r="F207" s="11">
        <v>13770.45</v>
      </c>
      <c r="G207" s="11">
        <v>23304.49</v>
      </c>
      <c r="H207" s="3"/>
      <c r="I207" s="11">
        <v>315000</v>
      </c>
      <c r="J207" s="11">
        <v>20000</v>
      </c>
      <c r="K207" s="3"/>
      <c r="L207" s="11">
        <v>10000</v>
      </c>
      <c r="M207" s="38">
        <f>+L207/J207</f>
        <v>0.5</v>
      </c>
    </row>
    <row r="208" spans="1:13" hidden="1" x14ac:dyDescent="0.25">
      <c r="A208" s="21"/>
      <c r="B208" s="22"/>
      <c r="C208" s="16"/>
      <c r="D208" s="11"/>
      <c r="E208" s="11"/>
      <c r="F208" s="11"/>
      <c r="G208" s="11"/>
      <c r="H208" s="3"/>
      <c r="I208" s="11"/>
      <c r="J208" s="11"/>
      <c r="K208" s="3"/>
      <c r="L208" s="11"/>
    </row>
    <row r="209" spans="1:13" hidden="1" x14ac:dyDescent="0.25">
      <c r="A209" s="17" t="s">
        <v>21</v>
      </c>
      <c r="B209" s="18" t="s">
        <v>271</v>
      </c>
      <c r="C209" s="19">
        <f>SUM(C168:C208)</f>
        <v>1579629</v>
      </c>
      <c r="D209" s="11">
        <f>SUM(D168:D208)</f>
        <v>1937252.9199999997</v>
      </c>
      <c r="E209" s="11">
        <f>SUM(E168:E208)</f>
        <v>1746817.6199999994</v>
      </c>
      <c r="F209" s="11">
        <f>SUM(F168:F208)</f>
        <v>2558523.8799999994</v>
      </c>
      <c r="G209" s="11">
        <f>SUM(G168:G208)</f>
        <v>2157668.6200000006</v>
      </c>
      <c r="H209" s="3"/>
      <c r="I209" s="11">
        <f>SUM(I168:I208)</f>
        <v>3155324.91</v>
      </c>
      <c r="J209" s="11">
        <f>SUM(J168:J208)</f>
        <v>3165203.5100000002</v>
      </c>
      <c r="K209" s="3"/>
      <c r="L209" s="11">
        <f>SUM(L168:L208)</f>
        <v>3292677.1609702753</v>
      </c>
      <c r="M209" s="38">
        <f>+L209/J209</f>
        <v>1.040273445472792</v>
      </c>
    </row>
    <row r="210" spans="1:13" hidden="1" x14ac:dyDescent="0.25">
      <c r="D210" s="11"/>
      <c r="E210" s="11"/>
      <c r="F210" s="11"/>
      <c r="G210" s="11"/>
      <c r="H210" s="3"/>
      <c r="I210" s="11"/>
      <c r="J210" s="11"/>
      <c r="K210" s="3"/>
      <c r="L210" s="11"/>
    </row>
    <row r="211" spans="1:13" hidden="1" x14ac:dyDescent="0.25">
      <c r="A211" s="9" t="s">
        <v>272</v>
      </c>
      <c r="B211" s="10" t="s">
        <v>273</v>
      </c>
      <c r="D211" s="11"/>
      <c r="E211" s="11"/>
      <c r="F211" s="11"/>
      <c r="G211" s="11"/>
      <c r="H211" s="3"/>
      <c r="I211" s="11"/>
      <c r="J211" s="11"/>
      <c r="K211" s="3"/>
      <c r="L211" s="11"/>
    </row>
    <row r="212" spans="1:13" hidden="1" x14ac:dyDescent="0.25">
      <c r="A212" s="12" t="s">
        <v>9</v>
      </c>
      <c r="B212" s="13" t="s">
        <v>10</v>
      </c>
      <c r="D212" s="11"/>
      <c r="E212" s="11"/>
      <c r="F212" s="11"/>
      <c r="G212" s="11"/>
      <c r="H212" s="3"/>
      <c r="I212" s="11"/>
      <c r="J212" s="11"/>
      <c r="K212" s="3"/>
      <c r="L212" s="11"/>
    </row>
    <row r="213" spans="1:13" hidden="1" x14ac:dyDescent="0.25">
      <c r="A213" s="14" t="s">
        <v>274</v>
      </c>
      <c r="B213" s="15" t="s">
        <v>275</v>
      </c>
      <c r="C213" s="16">
        <v>9277</v>
      </c>
      <c r="D213" s="11">
        <v>5577.97</v>
      </c>
      <c r="E213" s="11">
        <v>4875.72</v>
      </c>
      <c r="F213" s="11">
        <v>9487.18</v>
      </c>
      <c r="G213" s="11">
        <v>7207</v>
      </c>
      <c r="H213" s="3"/>
      <c r="I213" s="11">
        <v>7500</v>
      </c>
      <c r="J213" s="11">
        <v>7500</v>
      </c>
      <c r="K213" s="3"/>
      <c r="L213" s="11">
        <v>7500</v>
      </c>
      <c r="M213" s="38">
        <f>+L213/J213</f>
        <v>1</v>
      </c>
    </row>
    <row r="214" spans="1:13" hidden="1" x14ac:dyDescent="0.25">
      <c r="A214" s="14" t="s">
        <v>276</v>
      </c>
      <c r="B214" s="15" t="s">
        <v>277</v>
      </c>
      <c r="C214" s="16">
        <v>27128</v>
      </c>
      <c r="D214" s="11">
        <v>25347.39</v>
      </c>
      <c r="E214" s="11">
        <v>24004.85</v>
      </c>
      <c r="F214" s="11">
        <v>50514.7</v>
      </c>
      <c r="G214" s="11">
        <v>49979.66</v>
      </c>
      <c r="H214" s="3"/>
      <c r="I214" s="11">
        <v>70000</v>
      </c>
      <c r="J214" s="11">
        <v>70000</v>
      </c>
      <c r="K214" s="3"/>
      <c r="L214" s="11">
        <v>70000</v>
      </c>
      <c r="M214" s="38">
        <f>+L214/J214</f>
        <v>1</v>
      </c>
    </row>
    <row r="215" spans="1:13" hidden="1" x14ac:dyDescent="0.25">
      <c r="A215" s="14" t="s">
        <v>278</v>
      </c>
      <c r="B215" s="15" t="s">
        <v>279</v>
      </c>
      <c r="C215" s="16">
        <v>14531</v>
      </c>
      <c r="D215" s="11">
        <v>19867.900000000001</v>
      </c>
      <c r="E215" s="11">
        <v>39492.120000000003</v>
      </c>
      <c r="F215" s="11">
        <v>23190.560000000001</v>
      </c>
      <c r="G215" s="11">
        <v>10967.22</v>
      </c>
      <c r="H215" s="3"/>
      <c r="I215" s="11">
        <v>20000</v>
      </c>
      <c r="J215" s="11">
        <v>20000</v>
      </c>
      <c r="K215" s="3"/>
      <c r="L215" s="11">
        <v>20000</v>
      </c>
      <c r="M215" s="38">
        <f>+L215/J215</f>
        <v>1</v>
      </c>
    </row>
    <row r="216" spans="1:13" hidden="1" x14ac:dyDescent="0.25">
      <c r="A216" s="14" t="s">
        <v>280</v>
      </c>
      <c r="B216" s="15" t="s">
        <v>281</v>
      </c>
      <c r="C216" s="16">
        <v>11628</v>
      </c>
      <c r="D216" s="11">
        <v>14296.15</v>
      </c>
      <c r="E216" s="11">
        <v>7727.36</v>
      </c>
      <c r="F216" s="11">
        <v>8328.17</v>
      </c>
      <c r="G216" s="11">
        <v>9746.52</v>
      </c>
      <c r="H216" s="3"/>
      <c r="I216" s="11">
        <v>10000</v>
      </c>
      <c r="J216" s="11">
        <v>10000</v>
      </c>
      <c r="K216" s="3"/>
      <c r="L216" s="11">
        <v>10000</v>
      </c>
      <c r="M216" s="38">
        <f>+L216/J216</f>
        <v>1</v>
      </c>
    </row>
    <row r="217" spans="1:13" hidden="1" x14ac:dyDescent="0.25">
      <c r="A217" s="14" t="s">
        <v>282</v>
      </c>
      <c r="B217" s="15" t="s">
        <v>283</v>
      </c>
      <c r="C217" s="16">
        <v>0</v>
      </c>
      <c r="D217" s="11">
        <v>368.57</v>
      </c>
      <c r="E217" s="11">
        <v>0</v>
      </c>
      <c r="F217" s="11">
        <v>32.909999999999997</v>
      </c>
      <c r="G217" s="11">
        <v>0</v>
      </c>
      <c r="H217" s="3"/>
      <c r="I217" s="11"/>
      <c r="J217" s="11">
        <v>0</v>
      </c>
      <c r="K217" s="3"/>
      <c r="L217" s="11"/>
    </row>
    <row r="218" spans="1:13" hidden="1" x14ac:dyDescent="0.25">
      <c r="A218" s="14" t="s">
        <v>284</v>
      </c>
      <c r="B218" s="15" t="s">
        <v>285</v>
      </c>
      <c r="C218" s="16">
        <v>758</v>
      </c>
      <c r="D218" s="11">
        <v>1656.96</v>
      </c>
      <c r="E218" s="11">
        <v>-2061</v>
      </c>
      <c r="F218" s="11">
        <v>16859.53</v>
      </c>
      <c r="G218" s="11">
        <v>1583.02</v>
      </c>
      <c r="H218" s="3"/>
      <c r="I218" s="11">
        <v>500</v>
      </c>
      <c r="J218" s="11">
        <v>1500</v>
      </c>
      <c r="K218" s="3"/>
      <c r="L218" s="11">
        <v>500</v>
      </c>
      <c r="M218" s="38">
        <f>+L218/J218</f>
        <v>0.33333333333333331</v>
      </c>
    </row>
    <row r="219" spans="1:13" hidden="1" x14ac:dyDescent="0.25">
      <c r="A219" s="14"/>
      <c r="B219" s="15"/>
      <c r="C219" s="16"/>
      <c r="D219" s="11"/>
      <c r="E219" s="11"/>
      <c r="F219" s="11"/>
      <c r="G219" s="11"/>
      <c r="H219" s="3"/>
      <c r="I219" s="11"/>
      <c r="J219" s="11"/>
      <c r="K219" s="3"/>
      <c r="L219" s="11"/>
    </row>
    <row r="220" spans="1:13" hidden="1" x14ac:dyDescent="0.25">
      <c r="A220" s="29"/>
      <c r="B220" s="30" t="s">
        <v>286</v>
      </c>
      <c r="C220" s="16">
        <f>SUM(C213:C218)</f>
        <v>63322</v>
      </c>
      <c r="D220" s="11">
        <f>SUM(D213:D218)</f>
        <v>67114.94</v>
      </c>
      <c r="E220" s="11">
        <f>SUM(E213:E218)</f>
        <v>74039.05</v>
      </c>
      <c r="F220" s="11">
        <f>SUM(F213:F218)</f>
        <v>108413.05</v>
      </c>
      <c r="G220" s="11">
        <f>SUM(G213:G218)</f>
        <v>79483.420000000013</v>
      </c>
      <c r="H220" s="3"/>
      <c r="I220" s="11">
        <f>SUM(I213:I218)</f>
        <v>108000</v>
      </c>
      <c r="J220" s="11">
        <f>SUM(J213:J218)</f>
        <v>109000</v>
      </c>
      <c r="K220" s="3"/>
      <c r="L220" s="11">
        <f>SUM(L213:L218)</f>
        <v>108000</v>
      </c>
      <c r="M220" s="38">
        <f>+L220/J220</f>
        <v>0.99082568807339455</v>
      </c>
    </row>
    <row r="221" spans="1:13" hidden="1" x14ac:dyDescent="0.25">
      <c r="A221" s="29"/>
      <c r="B221" s="30"/>
      <c r="C221" s="16"/>
      <c r="D221" s="11"/>
      <c r="E221" s="11"/>
      <c r="F221" s="11"/>
      <c r="G221" s="11"/>
      <c r="H221" s="3"/>
      <c r="I221" s="11"/>
      <c r="J221" s="11"/>
      <c r="K221" s="3"/>
      <c r="L221" s="11"/>
    </row>
    <row r="222" spans="1:13" hidden="1" x14ac:dyDescent="0.25">
      <c r="A222" s="14" t="s">
        <v>287</v>
      </c>
      <c r="B222" s="15" t="s">
        <v>124</v>
      </c>
      <c r="C222" s="16">
        <v>48451</v>
      </c>
      <c r="D222" s="11">
        <v>88856.51</v>
      </c>
      <c r="E222" s="11">
        <v>74977.039999999994</v>
      </c>
      <c r="F222" s="11">
        <v>104204.26</v>
      </c>
      <c r="G222" s="11">
        <v>66398.89</v>
      </c>
      <c r="H222" s="3"/>
      <c r="I222" s="11">
        <v>103599</v>
      </c>
      <c r="J222" s="11">
        <v>103599</v>
      </c>
      <c r="K222" s="3"/>
      <c r="L222" s="11">
        <f>+'[1]Non-Union - 3.5%'!$I$32+'[1]Non-Union - 3.5%'!$V$32</f>
        <v>108255.20399999998</v>
      </c>
      <c r="M222" s="38">
        <f t="shared" ref="M222:M237" si="8">+L222/J222</f>
        <v>1.0449444878811569</v>
      </c>
    </row>
    <row r="223" spans="1:13" hidden="1" x14ac:dyDescent="0.25">
      <c r="A223" s="14" t="s">
        <v>288</v>
      </c>
      <c r="B223" s="15" t="s">
        <v>126</v>
      </c>
      <c r="C223" s="16">
        <v>3883</v>
      </c>
      <c r="D223" s="11">
        <v>7534.55</v>
      </c>
      <c r="E223" s="11">
        <v>6082.32</v>
      </c>
      <c r="F223" s="11">
        <v>9557.49</v>
      </c>
      <c r="G223" s="11">
        <v>5362.49</v>
      </c>
      <c r="H223" s="3"/>
      <c r="I223" s="11">
        <v>8288</v>
      </c>
      <c r="J223" s="11">
        <v>8288</v>
      </c>
      <c r="K223" s="3"/>
      <c r="L223" s="11">
        <f>+'[1]Non-Union - 3.5%'!$P$32+'[1]Non-Union - 3.5%'!$Z$32</f>
        <v>8660.4163200000003</v>
      </c>
      <c r="M223" s="38">
        <f t="shared" si="8"/>
        <v>1.0449344015444015</v>
      </c>
    </row>
    <row r="224" spans="1:13" hidden="1" x14ac:dyDescent="0.25">
      <c r="A224" s="14" t="s">
        <v>289</v>
      </c>
      <c r="B224" s="15" t="s">
        <v>128</v>
      </c>
      <c r="C224" s="16">
        <v>11397</v>
      </c>
      <c r="D224" s="11">
        <v>11398.2</v>
      </c>
      <c r="E224" s="11">
        <v>12847.24</v>
      </c>
      <c r="F224" s="11">
        <v>36232.839999999997</v>
      </c>
      <c r="G224" s="11">
        <v>43496.77</v>
      </c>
      <c r="H224" s="3"/>
      <c r="I224" s="11">
        <v>50740</v>
      </c>
      <c r="J224" s="11">
        <v>50740</v>
      </c>
      <c r="K224" s="3"/>
      <c r="L224" s="11">
        <f>+SUM('[1]Non-Union - 3.5%'!$K$32:$N$32)</f>
        <v>81043.34</v>
      </c>
      <c r="M224" s="38">
        <f t="shared" si="8"/>
        <v>1.5972278281434764</v>
      </c>
    </row>
    <row r="225" spans="1:13" hidden="1" x14ac:dyDescent="0.25">
      <c r="A225" s="14" t="s">
        <v>290</v>
      </c>
      <c r="B225" s="15" t="s">
        <v>130</v>
      </c>
      <c r="C225" s="16">
        <v>1389</v>
      </c>
      <c r="D225" s="11">
        <v>1644.01</v>
      </c>
      <c r="E225" s="11">
        <v>2017.34</v>
      </c>
      <c r="F225" s="11">
        <v>1439.93</v>
      </c>
      <c r="G225" s="11">
        <v>1134.0999999999999</v>
      </c>
      <c r="H225" s="3"/>
      <c r="I225" s="11">
        <v>3108</v>
      </c>
      <c r="J225" s="11">
        <v>3108</v>
      </c>
      <c r="K225" s="3"/>
      <c r="L225" s="11">
        <f>+'[1]Non-Union - 3.5%'!$O$32+'[1]Non-Union - 3.5%'!$X$32</f>
        <v>1757.7979424999996</v>
      </c>
      <c r="M225" s="38">
        <f t="shared" si="8"/>
        <v>0.56557205357142848</v>
      </c>
    </row>
    <row r="226" spans="1:13" hidden="1" x14ac:dyDescent="0.25">
      <c r="A226" s="14" t="s">
        <v>291</v>
      </c>
      <c r="B226" s="15" t="s">
        <v>171</v>
      </c>
      <c r="C226" s="16">
        <v>619</v>
      </c>
      <c r="D226" s="11">
        <v>1144.03</v>
      </c>
      <c r="E226" s="11">
        <v>1059.58</v>
      </c>
      <c r="F226" s="11">
        <v>1475.13</v>
      </c>
      <c r="G226" s="11">
        <v>853.75</v>
      </c>
      <c r="H226" s="3"/>
      <c r="I226" s="11">
        <v>1000</v>
      </c>
      <c r="J226" s="11">
        <v>1000</v>
      </c>
      <c r="K226" s="3"/>
      <c r="L226" s="11">
        <v>1000</v>
      </c>
      <c r="M226" s="38">
        <f t="shared" si="8"/>
        <v>1</v>
      </c>
    </row>
    <row r="227" spans="1:13" hidden="1" x14ac:dyDescent="0.25">
      <c r="A227" s="14" t="s">
        <v>292</v>
      </c>
      <c r="B227" s="15" t="s">
        <v>132</v>
      </c>
      <c r="C227" s="16">
        <v>2386</v>
      </c>
      <c r="D227" s="11">
        <v>1856.23</v>
      </c>
      <c r="E227" s="11">
        <v>1566.85</v>
      </c>
      <c r="F227" s="11">
        <v>1388.72</v>
      </c>
      <c r="G227" s="11">
        <v>2564.87</v>
      </c>
      <c r="H227" s="3"/>
      <c r="I227" s="11">
        <v>3191</v>
      </c>
      <c r="J227" s="11">
        <v>3191</v>
      </c>
      <c r="K227" s="3"/>
      <c r="L227" s="11">
        <f>+'[1]Non-Union - 3.5%'!$R$32+'[1]Non-Union - 3.5%'!$Y$32</f>
        <v>3334.2602831999998</v>
      </c>
      <c r="M227" s="38">
        <f t="shared" si="8"/>
        <v>1.0448951059855844</v>
      </c>
    </row>
    <row r="228" spans="1:13" hidden="1" x14ac:dyDescent="0.25">
      <c r="A228" s="14">
        <v>6040300</v>
      </c>
      <c r="B228" s="15" t="s">
        <v>134</v>
      </c>
      <c r="C228" s="16">
        <v>0</v>
      </c>
      <c r="D228" s="11">
        <v>0</v>
      </c>
      <c r="E228" s="11">
        <v>8572.33</v>
      </c>
      <c r="F228" s="11">
        <v>8903.25</v>
      </c>
      <c r="G228" s="11">
        <v>11898</v>
      </c>
      <c r="H228" s="3"/>
      <c r="I228" s="11">
        <v>10000</v>
      </c>
      <c r="J228" s="11">
        <v>10000</v>
      </c>
      <c r="K228" s="3"/>
      <c r="L228" s="11">
        <v>10000</v>
      </c>
      <c r="M228" s="38">
        <f t="shared" si="8"/>
        <v>1</v>
      </c>
    </row>
    <row r="229" spans="1:13" hidden="1" x14ac:dyDescent="0.25">
      <c r="A229" s="14">
        <v>6040310</v>
      </c>
      <c r="B229" s="15" t="s">
        <v>136</v>
      </c>
      <c r="C229" s="16">
        <v>0</v>
      </c>
      <c r="D229" s="11">
        <v>0</v>
      </c>
      <c r="E229" s="11">
        <v>706.65</v>
      </c>
      <c r="F229" s="11">
        <v>830.74</v>
      </c>
      <c r="G229" s="11">
        <v>1017.92</v>
      </c>
      <c r="H229" s="3"/>
      <c r="I229" s="11">
        <v>900</v>
      </c>
      <c r="J229" s="11">
        <v>900</v>
      </c>
      <c r="K229" s="3"/>
      <c r="L229" s="11">
        <v>1000</v>
      </c>
      <c r="M229" s="38">
        <f t="shared" si="8"/>
        <v>1.1111111111111112</v>
      </c>
    </row>
    <row r="230" spans="1:13" hidden="1" x14ac:dyDescent="0.25">
      <c r="A230" s="14">
        <v>6040350</v>
      </c>
      <c r="B230" s="15" t="s">
        <v>138</v>
      </c>
      <c r="C230" s="16"/>
      <c r="D230" s="11"/>
      <c r="E230" s="11"/>
      <c r="F230" s="11">
        <v>563.01</v>
      </c>
      <c r="G230" s="11">
        <v>227.32</v>
      </c>
      <c r="H230" s="3"/>
      <c r="I230" s="11"/>
      <c r="J230" s="11">
        <v>0</v>
      </c>
      <c r="K230" s="3"/>
      <c r="L230" s="11">
        <f>+L228*3.08/100</f>
        <v>308</v>
      </c>
    </row>
    <row r="231" spans="1:13" hidden="1" x14ac:dyDescent="0.25">
      <c r="A231" s="14" t="s">
        <v>293</v>
      </c>
      <c r="B231" s="15" t="s">
        <v>140</v>
      </c>
      <c r="C231" s="16">
        <v>4014</v>
      </c>
      <c r="D231" s="11">
        <v>4235.8900000000003</v>
      </c>
      <c r="E231" s="11">
        <v>2757.43</v>
      </c>
      <c r="F231" s="11">
        <v>3496.7</v>
      </c>
      <c r="G231" s="11">
        <v>2711.72</v>
      </c>
      <c r="H231" s="3"/>
      <c r="I231" s="11">
        <v>2500</v>
      </c>
      <c r="J231" s="11">
        <v>2500</v>
      </c>
      <c r="K231" s="3"/>
      <c r="L231" s="11">
        <v>3000</v>
      </c>
      <c r="M231" s="38">
        <f t="shared" si="8"/>
        <v>1.2</v>
      </c>
    </row>
    <row r="232" spans="1:13" hidden="1" x14ac:dyDescent="0.25">
      <c r="A232" s="14" t="s">
        <v>294</v>
      </c>
      <c r="B232" s="15" t="s">
        <v>146</v>
      </c>
      <c r="C232" s="16">
        <v>473</v>
      </c>
      <c r="D232" s="11">
        <v>853.69</v>
      </c>
      <c r="E232" s="11">
        <v>16.989999999999998</v>
      </c>
      <c r="F232" s="11">
        <v>1099.22</v>
      </c>
      <c r="G232" s="11">
        <v>3000</v>
      </c>
      <c r="H232" s="3"/>
      <c r="I232" s="11">
        <v>1000</v>
      </c>
      <c r="J232" s="11">
        <v>1000</v>
      </c>
      <c r="K232" s="3"/>
      <c r="L232" s="11">
        <v>1500</v>
      </c>
      <c r="M232" s="38">
        <f t="shared" si="8"/>
        <v>1.5</v>
      </c>
    </row>
    <row r="233" spans="1:13" hidden="1" x14ac:dyDescent="0.25">
      <c r="A233" s="14" t="s">
        <v>295</v>
      </c>
      <c r="B233" s="15" t="s">
        <v>182</v>
      </c>
      <c r="C233" s="16">
        <v>2193</v>
      </c>
      <c r="D233" s="11">
        <v>5278.05</v>
      </c>
      <c r="E233" s="11">
        <v>5053.07</v>
      </c>
      <c r="F233" s="11">
        <v>5451.43</v>
      </c>
      <c r="G233" s="11">
        <v>4691.25</v>
      </c>
      <c r="H233" s="3"/>
      <c r="I233" s="11">
        <v>8000</v>
      </c>
      <c r="J233" s="11">
        <v>8000</v>
      </c>
      <c r="K233" s="3"/>
      <c r="L233" s="11">
        <v>8000</v>
      </c>
      <c r="M233" s="38">
        <f t="shared" si="8"/>
        <v>1</v>
      </c>
    </row>
    <row r="234" spans="1:13" hidden="1" x14ac:dyDescent="0.25">
      <c r="A234" s="14" t="s">
        <v>296</v>
      </c>
      <c r="B234" s="15" t="s">
        <v>254</v>
      </c>
      <c r="C234" s="16">
        <v>2199</v>
      </c>
      <c r="D234" s="11">
        <v>176.26</v>
      </c>
      <c r="E234" s="11">
        <v>2403.52</v>
      </c>
      <c r="F234" s="11">
        <v>2389.83</v>
      </c>
      <c r="G234" s="11">
        <v>332.52</v>
      </c>
      <c r="H234" s="3"/>
      <c r="I234" s="11">
        <v>2500</v>
      </c>
      <c r="J234" s="11">
        <v>2500</v>
      </c>
      <c r="K234" s="3"/>
      <c r="L234" s="11">
        <v>500</v>
      </c>
      <c r="M234" s="38">
        <f t="shared" si="8"/>
        <v>0.2</v>
      </c>
    </row>
    <row r="235" spans="1:13" hidden="1" x14ac:dyDescent="0.25">
      <c r="A235" s="14" t="s">
        <v>297</v>
      </c>
      <c r="B235" s="15" t="s">
        <v>160</v>
      </c>
      <c r="C235" s="16">
        <v>0</v>
      </c>
      <c r="D235" s="11">
        <v>6329.32</v>
      </c>
      <c r="E235" s="11">
        <v>4338.3</v>
      </c>
      <c r="F235" s="11">
        <v>6937.69</v>
      </c>
      <c r="G235" s="11">
        <v>2950.44</v>
      </c>
      <c r="H235" s="3"/>
      <c r="I235" s="11">
        <v>5000</v>
      </c>
      <c r="J235" s="11">
        <v>5000</v>
      </c>
      <c r="K235" s="3"/>
      <c r="L235" s="11">
        <v>5000</v>
      </c>
      <c r="M235" s="38">
        <f t="shared" si="8"/>
        <v>1</v>
      </c>
    </row>
    <row r="236" spans="1:13" hidden="1" x14ac:dyDescent="0.25">
      <c r="A236" s="14" t="s">
        <v>298</v>
      </c>
      <c r="B236" s="15" t="s">
        <v>80</v>
      </c>
      <c r="C236" s="16">
        <v>2718</v>
      </c>
      <c r="D236" s="11">
        <v>177.96</v>
      </c>
      <c r="E236" s="11">
        <v>142.22999999999999</v>
      </c>
      <c r="F236" s="11">
        <v>521.03</v>
      </c>
      <c r="G236" s="11">
        <v>36.24</v>
      </c>
      <c r="H236" s="3"/>
      <c r="I236" s="11">
        <v>150</v>
      </c>
      <c r="J236" s="11">
        <v>150</v>
      </c>
      <c r="K236" s="3"/>
      <c r="L236" s="11">
        <v>150</v>
      </c>
      <c r="M236" s="38">
        <f t="shared" si="8"/>
        <v>1</v>
      </c>
    </row>
    <row r="237" spans="1:13" hidden="1" x14ac:dyDescent="0.25">
      <c r="A237" s="14" t="s">
        <v>299</v>
      </c>
      <c r="B237" s="15" t="s">
        <v>164</v>
      </c>
      <c r="C237" s="16">
        <v>380</v>
      </c>
      <c r="D237" s="11">
        <v>75.31</v>
      </c>
      <c r="E237" s="11">
        <v>377.06</v>
      </c>
      <c r="F237" s="11">
        <v>117.86</v>
      </c>
      <c r="G237" s="11">
        <v>93.92</v>
      </c>
      <c r="H237" s="3"/>
      <c r="I237" s="11">
        <v>2500</v>
      </c>
      <c r="J237" s="11">
        <v>2500</v>
      </c>
      <c r="K237" s="3"/>
      <c r="L237" s="11">
        <v>2500</v>
      </c>
      <c r="M237" s="38">
        <f t="shared" si="8"/>
        <v>1</v>
      </c>
    </row>
    <row r="238" spans="1:13" hidden="1" x14ac:dyDescent="0.25">
      <c r="A238" s="14">
        <v>6042000</v>
      </c>
      <c r="B238" s="15" t="s">
        <v>300</v>
      </c>
      <c r="C238" s="16">
        <v>3327</v>
      </c>
      <c r="D238" s="11">
        <v>9920</v>
      </c>
      <c r="E238" s="11">
        <v>35098.980000000003</v>
      </c>
      <c r="F238" s="11">
        <v>3079.11</v>
      </c>
      <c r="G238" s="11"/>
      <c r="H238" s="3"/>
      <c r="I238" s="11"/>
      <c r="J238" s="11"/>
      <c r="K238" s="3"/>
      <c r="L238" s="11">
        <v>5000</v>
      </c>
    </row>
    <row r="239" spans="1:13" hidden="1" x14ac:dyDescent="0.25">
      <c r="A239" s="14"/>
      <c r="B239" s="15"/>
      <c r="C239" s="16"/>
      <c r="D239" s="11"/>
      <c r="E239" s="11"/>
      <c r="F239" s="11"/>
      <c r="G239" s="11"/>
      <c r="H239" s="3"/>
      <c r="I239" s="11"/>
      <c r="J239" s="11"/>
      <c r="K239" s="3"/>
      <c r="L239" s="11"/>
    </row>
    <row r="240" spans="1:13" hidden="1" x14ac:dyDescent="0.25">
      <c r="A240" s="29"/>
      <c r="B240" s="30" t="s">
        <v>301</v>
      </c>
      <c r="C240" s="16">
        <f>SUM(C222:C238)</f>
        <v>83429</v>
      </c>
      <c r="D240" s="11">
        <f>SUM(D222:D238)</f>
        <v>139480.01</v>
      </c>
      <c r="E240" s="11">
        <f>SUM(E222:E238)</f>
        <v>158016.93</v>
      </c>
      <c r="F240" s="11">
        <f>SUM(F222:F238)</f>
        <v>187688.23999999996</v>
      </c>
      <c r="G240" s="11">
        <f>SUM(G222:G238)</f>
        <v>146770.20000000001</v>
      </c>
      <c r="H240" s="3"/>
      <c r="I240" s="11">
        <f>SUM(I222:I238)</f>
        <v>202476</v>
      </c>
      <c r="J240" s="11">
        <f>SUM(J222:J238)</f>
        <v>202476</v>
      </c>
      <c r="K240" s="3"/>
      <c r="L240" s="11">
        <f>SUM(L222:L238)</f>
        <v>241009.0185457</v>
      </c>
      <c r="M240" s="38">
        <f>+L240/J240</f>
        <v>1.1903090664854106</v>
      </c>
    </row>
    <row r="241" spans="1:13" hidden="1" x14ac:dyDescent="0.25">
      <c r="A241" s="29"/>
      <c r="B241" s="30"/>
      <c r="C241" s="16"/>
      <c r="D241" s="11"/>
      <c r="E241" s="11"/>
      <c r="F241" s="11"/>
      <c r="G241" s="11"/>
      <c r="H241" s="3"/>
      <c r="I241" s="11"/>
      <c r="J241" s="11"/>
      <c r="K241" s="3"/>
      <c r="L241" s="11"/>
    </row>
    <row r="242" spans="1:13" hidden="1" x14ac:dyDescent="0.25">
      <c r="A242" s="17" t="s">
        <v>21</v>
      </c>
      <c r="B242" s="18" t="s">
        <v>302</v>
      </c>
      <c r="C242" s="25">
        <f>+C240+C220</f>
        <v>146751</v>
      </c>
      <c r="D242" s="11">
        <f>+D240+D220</f>
        <v>206594.95</v>
      </c>
      <c r="E242" s="11">
        <f t="shared" ref="E242:J242" si="9">+E240+E220</f>
        <v>232055.97999999998</v>
      </c>
      <c r="F242" s="11">
        <f t="shared" si="9"/>
        <v>296101.28999999998</v>
      </c>
      <c r="G242" s="11">
        <f t="shared" si="9"/>
        <v>226253.62000000002</v>
      </c>
      <c r="H242" s="3"/>
      <c r="I242" s="11">
        <f t="shared" si="9"/>
        <v>310476</v>
      </c>
      <c r="J242" s="11">
        <f t="shared" si="9"/>
        <v>311476</v>
      </c>
      <c r="K242" s="3"/>
      <c r="L242" s="11">
        <f>+L240+L220</f>
        <v>349009.0185457</v>
      </c>
      <c r="M242" s="38">
        <f>+L242/J242</f>
        <v>1.1205005154352181</v>
      </c>
    </row>
    <row r="243" spans="1:13" hidden="1" x14ac:dyDescent="0.25">
      <c r="D243" s="11"/>
      <c r="E243" s="11"/>
      <c r="F243" s="11"/>
      <c r="G243" s="11"/>
      <c r="H243" s="3"/>
      <c r="I243" s="11"/>
      <c r="J243" s="11"/>
      <c r="K243" s="3"/>
      <c r="L243" s="11"/>
    </row>
    <row r="244" spans="1:13" hidden="1" x14ac:dyDescent="0.25">
      <c r="A244" s="9" t="s">
        <v>303</v>
      </c>
      <c r="B244" s="10" t="s">
        <v>304</v>
      </c>
      <c r="D244" s="11"/>
      <c r="E244" s="11"/>
      <c r="F244" s="11"/>
      <c r="G244" s="11"/>
      <c r="H244" s="3"/>
      <c r="I244" s="11"/>
      <c r="J244" s="11"/>
      <c r="K244" s="3"/>
      <c r="L244" s="11"/>
    </row>
    <row r="245" spans="1:13" hidden="1" x14ac:dyDescent="0.25">
      <c r="A245" s="12" t="s">
        <v>9</v>
      </c>
      <c r="B245" s="13" t="s">
        <v>10</v>
      </c>
      <c r="D245" s="11"/>
      <c r="E245" s="11"/>
      <c r="F245" s="11"/>
      <c r="G245" s="11"/>
      <c r="H245" s="3"/>
      <c r="I245" s="11"/>
      <c r="J245" s="11"/>
      <c r="K245" s="3"/>
      <c r="L245" s="11"/>
    </row>
    <row r="246" spans="1:13" hidden="1" x14ac:dyDescent="0.25">
      <c r="A246" s="14" t="s">
        <v>305</v>
      </c>
      <c r="B246" s="15" t="s">
        <v>124</v>
      </c>
      <c r="C246" s="16">
        <v>342053</v>
      </c>
      <c r="D246" s="11">
        <v>325114.84999999998</v>
      </c>
      <c r="E246" s="11">
        <v>17769.150000000001</v>
      </c>
      <c r="F246" s="11">
        <v>23319.919999999998</v>
      </c>
      <c r="G246" s="11">
        <v>16313.84</v>
      </c>
      <c r="H246" s="3"/>
      <c r="I246" s="11">
        <v>25000</v>
      </c>
      <c r="J246" s="11">
        <v>25000</v>
      </c>
      <c r="K246" s="3"/>
      <c r="L246" s="11">
        <v>25875</v>
      </c>
      <c r="M246" s="38">
        <f t="shared" ref="M246:M251" si="10">+L246/J246</f>
        <v>1.0349999999999999</v>
      </c>
    </row>
    <row r="247" spans="1:13" hidden="1" x14ac:dyDescent="0.25">
      <c r="A247" s="14" t="s">
        <v>306</v>
      </c>
      <c r="B247" s="15" t="s">
        <v>126</v>
      </c>
      <c r="C247" s="16">
        <v>32251</v>
      </c>
      <c r="D247" s="11">
        <v>31248.5</v>
      </c>
      <c r="E247" s="11">
        <v>1603.74</v>
      </c>
      <c r="F247" s="11">
        <v>1976.08</v>
      </c>
      <c r="G247" s="11">
        <v>1306.32</v>
      </c>
      <c r="H247" s="3"/>
      <c r="I247" s="11">
        <v>2000</v>
      </c>
      <c r="J247" s="11">
        <v>2000</v>
      </c>
      <c r="K247" s="3"/>
      <c r="L247" s="11">
        <v>2070</v>
      </c>
      <c r="M247" s="38">
        <f t="shared" si="10"/>
        <v>1.0349999999999999</v>
      </c>
    </row>
    <row r="248" spans="1:13" hidden="1" x14ac:dyDescent="0.25">
      <c r="A248" s="14" t="s">
        <v>307</v>
      </c>
      <c r="B248" s="15" t="s">
        <v>128</v>
      </c>
      <c r="C248" s="16">
        <v>490</v>
      </c>
      <c r="D248" s="11">
        <v>704.4</v>
      </c>
      <c r="E248" s="11">
        <v>587</v>
      </c>
      <c r="F248" s="11">
        <v>704.4</v>
      </c>
      <c r="G248" s="11">
        <v>469.6</v>
      </c>
      <c r="H248" s="3"/>
      <c r="I248" s="11">
        <v>704</v>
      </c>
      <c r="J248" s="11">
        <v>704</v>
      </c>
      <c r="K248" s="3"/>
      <c r="L248" s="11">
        <v>704</v>
      </c>
      <c r="M248" s="38">
        <f t="shared" si="10"/>
        <v>1</v>
      </c>
    </row>
    <row r="249" spans="1:13" hidden="1" x14ac:dyDescent="0.25">
      <c r="A249" s="14" t="s">
        <v>308</v>
      </c>
      <c r="B249" s="15" t="s">
        <v>132</v>
      </c>
      <c r="C249" s="16">
        <v>13150</v>
      </c>
      <c r="D249" s="11">
        <v>11541.18</v>
      </c>
      <c r="E249" s="11">
        <v>782</v>
      </c>
      <c r="F249" s="11">
        <v>1295.52</v>
      </c>
      <c r="G249" s="11">
        <v>444.12</v>
      </c>
      <c r="H249" s="3"/>
      <c r="I249" s="11">
        <v>770</v>
      </c>
      <c r="J249" s="11">
        <v>770</v>
      </c>
      <c r="K249" s="3"/>
      <c r="L249" s="11">
        <v>797</v>
      </c>
      <c r="M249" s="38">
        <f t="shared" si="10"/>
        <v>1.035064935064935</v>
      </c>
    </row>
    <row r="250" spans="1:13" hidden="1" x14ac:dyDescent="0.25">
      <c r="A250" s="14">
        <v>6080300</v>
      </c>
      <c r="B250" s="15" t="s">
        <v>134</v>
      </c>
      <c r="C250" s="16">
        <v>0</v>
      </c>
      <c r="D250" s="11">
        <v>0</v>
      </c>
      <c r="E250" s="11">
        <v>356886.9</v>
      </c>
      <c r="F250" s="11">
        <v>364909.6</v>
      </c>
      <c r="G250" s="11">
        <v>402072.36</v>
      </c>
      <c r="H250" s="3"/>
      <c r="I250" s="11">
        <v>401992.5</v>
      </c>
      <c r="J250" s="11">
        <v>401992.5</v>
      </c>
      <c r="K250" s="3"/>
      <c r="L250" s="11">
        <v>445434.38</v>
      </c>
      <c r="M250" s="38">
        <f t="shared" si="10"/>
        <v>1.1080663942735249</v>
      </c>
    </row>
    <row r="251" spans="1:13" hidden="1" x14ac:dyDescent="0.25">
      <c r="A251" s="14">
        <v>6080310</v>
      </c>
      <c r="B251" s="15" t="s">
        <v>136</v>
      </c>
      <c r="C251" s="16">
        <v>0</v>
      </c>
      <c r="D251" s="11">
        <v>0</v>
      </c>
      <c r="E251" s="11">
        <f>33729.62+40.32</f>
        <v>33769.94</v>
      </c>
      <c r="F251" s="11">
        <v>32756.37</v>
      </c>
      <c r="G251" s="11">
        <v>36872.15</v>
      </c>
      <c r="H251" s="3"/>
      <c r="I251" s="11">
        <v>40199.25</v>
      </c>
      <c r="J251" s="11">
        <v>40199.25</v>
      </c>
      <c r="K251" s="3"/>
      <c r="L251" s="11">
        <v>40089.089999999997</v>
      </c>
      <c r="M251" s="38">
        <f t="shared" si="10"/>
        <v>0.99725965036661124</v>
      </c>
    </row>
    <row r="252" spans="1:13" hidden="1" x14ac:dyDescent="0.25">
      <c r="A252" s="14">
        <v>6080320</v>
      </c>
      <c r="B252" s="15" t="s">
        <v>309</v>
      </c>
      <c r="C252" s="16">
        <v>0</v>
      </c>
      <c r="D252" s="11">
        <v>0</v>
      </c>
      <c r="E252" s="11">
        <v>0</v>
      </c>
      <c r="F252" s="11">
        <v>0</v>
      </c>
      <c r="G252" s="11">
        <v>0</v>
      </c>
      <c r="H252" s="3"/>
      <c r="I252" s="11">
        <v>1000</v>
      </c>
      <c r="J252" s="11">
        <v>1000</v>
      </c>
      <c r="K252" s="3"/>
      <c r="L252" s="11">
        <v>0</v>
      </c>
    </row>
    <row r="253" spans="1:13" hidden="1" x14ac:dyDescent="0.25">
      <c r="A253" s="14">
        <v>6080350</v>
      </c>
      <c r="B253" s="15" t="s">
        <v>176</v>
      </c>
      <c r="C253" s="16">
        <v>0</v>
      </c>
      <c r="D253" s="11">
        <v>6569</v>
      </c>
      <c r="E253" s="11">
        <v>4785.88</v>
      </c>
      <c r="F253" s="11">
        <v>12720.3</v>
      </c>
      <c r="G253" s="11">
        <v>5261.6</v>
      </c>
      <c r="H253" s="3"/>
      <c r="I253" s="11">
        <v>10000</v>
      </c>
      <c r="J253" s="11">
        <v>10000</v>
      </c>
      <c r="K253" s="3"/>
      <c r="L253" s="11">
        <v>10000</v>
      </c>
      <c r="M253" s="38">
        <f t="shared" ref="M253:M258" si="11">+L253/J253</f>
        <v>1</v>
      </c>
    </row>
    <row r="254" spans="1:13" hidden="1" x14ac:dyDescent="0.25">
      <c r="A254" s="14">
        <v>6080360</v>
      </c>
      <c r="B254" s="15" t="s">
        <v>138</v>
      </c>
      <c r="C254" s="16">
        <v>0</v>
      </c>
      <c r="D254" s="11">
        <v>0</v>
      </c>
      <c r="E254" s="11">
        <v>7996.8</v>
      </c>
      <c r="F254" s="11">
        <v>31738.97</v>
      </c>
      <c r="G254" s="11">
        <v>-4259.54</v>
      </c>
      <c r="H254" s="3"/>
      <c r="I254" s="11">
        <v>12381.37</v>
      </c>
      <c r="J254" s="11">
        <v>12381.37</v>
      </c>
      <c r="K254" s="3"/>
      <c r="L254" s="11">
        <v>13719.368</v>
      </c>
      <c r="M254" s="38">
        <f t="shared" si="11"/>
        <v>1.1080654241008869</v>
      </c>
    </row>
    <row r="255" spans="1:13" hidden="1" x14ac:dyDescent="0.25">
      <c r="A255" s="14" t="s">
        <v>310</v>
      </c>
      <c r="B255" s="15" t="s">
        <v>140</v>
      </c>
      <c r="C255" s="16">
        <v>7273</v>
      </c>
      <c r="D255" s="11">
        <v>6086.12</v>
      </c>
      <c r="E255" s="11">
        <v>5902.42</v>
      </c>
      <c r="F255" s="11">
        <v>7997.13</v>
      </c>
      <c r="G255" s="11">
        <v>5212.95</v>
      </c>
      <c r="H255" s="3"/>
      <c r="I255" s="11">
        <v>8000</v>
      </c>
      <c r="J255" s="11">
        <v>8000</v>
      </c>
      <c r="K255" s="3"/>
      <c r="L255" s="11">
        <v>8000</v>
      </c>
      <c r="M255" s="38">
        <f t="shared" si="11"/>
        <v>1</v>
      </c>
    </row>
    <row r="256" spans="1:13" hidden="1" x14ac:dyDescent="0.25">
      <c r="A256" s="14" t="s">
        <v>311</v>
      </c>
      <c r="B256" s="15" t="s">
        <v>142</v>
      </c>
      <c r="C256" s="16">
        <v>1200</v>
      </c>
      <c r="D256" s="11">
        <v>1710</v>
      </c>
      <c r="E256" s="11">
        <v>1800</v>
      </c>
      <c r="F256" s="11">
        <v>3000</v>
      </c>
      <c r="G256" s="11">
        <v>1808</v>
      </c>
      <c r="H256" s="3"/>
      <c r="I256" s="11">
        <v>2340</v>
      </c>
      <c r="J256" s="11">
        <v>2340</v>
      </c>
      <c r="K256" s="3"/>
      <c r="L256" s="11">
        <v>3800</v>
      </c>
      <c r="M256" s="38">
        <f t="shared" si="11"/>
        <v>1.6239316239316239</v>
      </c>
    </row>
    <row r="257" spans="1:13" hidden="1" x14ac:dyDescent="0.25">
      <c r="A257" s="14">
        <v>6080520</v>
      </c>
      <c r="B257" s="15" t="s">
        <v>144</v>
      </c>
      <c r="C257" s="16"/>
      <c r="D257" s="11"/>
      <c r="E257" s="11"/>
      <c r="F257" s="11">
        <v>0</v>
      </c>
      <c r="G257" s="11">
        <v>444</v>
      </c>
      <c r="H257" s="3"/>
      <c r="I257" s="11"/>
      <c r="J257" s="11"/>
      <c r="K257" s="3"/>
      <c r="L257" s="11">
        <v>500</v>
      </c>
    </row>
    <row r="258" spans="1:13" hidden="1" x14ac:dyDescent="0.25">
      <c r="A258" s="14" t="s">
        <v>312</v>
      </c>
      <c r="B258" s="15" t="s">
        <v>146</v>
      </c>
      <c r="C258" s="16">
        <v>4475</v>
      </c>
      <c r="D258" s="11">
        <v>4265.8500000000004</v>
      </c>
      <c r="E258" s="11">
        <v>754.95</v>
      </c>
      <c r="F258" s="11">
        <v>12486.38</v>
      </c>
      <c r="G258" s="11">
        <v>1051.9100000000001</v>
      </c>
      <c r="H258" s="3"/>
      <c r="I258" s="11">
        <v>1500</v>
      </c>
      <c r="J258" s="11">
        <v>1500</v>
      </c>
      <c r="K258" s="3"/>
      <c r="L258" s="11">
        <v>1500</v>
      </c>
      <c r="M258" s="38">
        <f t="shared" si="11"/>
        <v>1</v>
      </c>
    </row>
    <row r="259" spans="1:13" hidden="1" x14ac:dyDescent="0.25">
      <c r="A259" s="14" t="s">
        <v>313</v>
      </c>
      <c r="B259" s="15" t="s">
        <v>314</v>
      </c>
      <c r="C259" s="16">
        <v>0</v>
      </c>
      <c r="D259" s="11">
        <v>5</v>
      </c>
      <c r="E259" s="11">
        <v>0</v>
      </c>
      <c r="F259" s="11">
        <v>0</v>
      </c>
      <c r="G259" s="11">
        <v>0</v>
      </c>
      <c r="H259" s="3"/>
      <c r="I259" s="11"/>
      <c r="J259" s="11"/>
      <c r="K259" s="3"/>
      <c r="L259" s="11"/>
    </row>
    <row r="260" spans="1:13" hidden="1" x14ac:dyDescent="0.25">
      <c r="A260" s="14" t="s">
        <v>315</v>
      </c>
      <c r="B260" s="15" t="s">
        <v>182</v>
      </c>
      <c r="C260" s="16">
        <v>386</v>
      </c>
      <c r="D260" s="11">
        <v>926.91</v>
      </c>
      <c r="E260" s="11">
        <v>988.02</v>
      </c>
      <c r="F260" s="11">
        <v>780.24</v>
      </c>
      <c r="G260" s="11">
        <v>782.45</v>
      </c>
      <c r="H260" s="3"/>
      <c r="I260" s="11">
        <v>1000</v>
      </c>
      <c r="J260" s="11">
        <v>1000</v>
      </c>
      <c r="K260" s="3"/>
      <c r="L260" s="11">
        <v>1000</v>
      </c>
      <c r="M260" s="38">
        <f t="shared" ref="M260:M268" si="12">+L260/J260</f>
        <v>1</v>
      </c>
    </row>
    <row r="261" spans="1:13" hidden="1" x14ac:dyDescent="0.25">
      <c r="A261" s="14" t="s">
        <v>316</v>
      </c>
      <c r="B261" s="15" t="s">
        <v>184</v>
      </c>
      <c r="C261" s="16">
        <v>1368</v>
      </c>
      <c r="D261" s="11">
        <v>1940.01</v>
      </c>
      <c r="E261" s="11">
        <v>2239.4</v>
      </c>
      <c r="F261" s="11">
        <v>2928.07</v>
      </c>
      <c r="G261" s="11">
        <v>666.59</v>
      </c>
      <c r="H261" s="3"/>
      <c r="I261" s="11">
        <v>1500</v>
      </c>
      <c r="J261" s="11">
        <v>1500</v>
      </c>
      <c r="K261" s="3"/>
      <c r="L261" s="11">
        <v>1000</v>
      </c>
      <c r="M261" s="38">
        <f t="shared" si="12"/>
        <v>0.66666666666666663</v>
      </c>
    </row>
    <row r="262" spans="1:13" hidden="1" x14ac:dyDescent="0.25">
      <c r="A262" s="14" t="s">
        <v>317</v>
      </c>
      <c r="B262" s="15" t="s">
        <v>154</v>
      </c>
      <c r="C262" s="16">
        <v>995</v>
      </c>
      <c r="D262" s="11">
        <v>1017.96</v>
      </c>
      <c r="E262" s="11">
        <v>843.3</v>
      </c>
      <c r="F262" s="11">
        <v>1314.66</v>
      </c>
      <c r="G262" s="11">
        <v>975.36</v>
      </c>
      <c r="H262" s="3"/>
      <c r="I262" s="11">
        <v>750</v>
      </c>
      <c r="J262" s="11">
        <v>750</v>
      </c>
      <c r="K262" s="3"/>
      <c r="L262" s="11">
        <v>1000</v>
      </c>
      <c r="M262" s="38">
        <f t="shared" si="12"/>
        <v>1.3333333333333333</v>
      </c>
    </row>
    <row r="263" spans="1:13" hidden="1" x14ac:dyDescent="0.25">
      <c r="A263" s="14" t="s">
        <v>318</v>
      </c>
      <c r="B263" s="15" t="s">
        <v>156</v>
      </c>
      <c r="C263" s="16">
        <v>500</v>
      </c>
      <c r="D263" s="11">
        <v>0</v>
      </c>
      <c r="E263" s="11">
        <v>0</v>
      </c>
      <c r="F263" s="11">
        <v>500</v>
      </c>
      <c r="G263" s="11">
        <v>0</v>
      </c>
      <c r="H263" s="3"/>
      <c r="I263" s="11">
        <v>500</v>
      </c>
      <c r="J263" s="11">
        <v>500</v>
      </c>
      <c r="K263" s="3"/>
      <c r="L263" s="11">
        <v>500</v>
      </c>
      <c r="M263" s="38">
        <f t="shared" si="12"/>
        <v>1</v>
      </c>
    </row>
    <row r="264" spans="1:13" hidden="1" x14ac:dyDescent="0.25">
      <c r="A264" s="14" t="s">
        <v>319</v>
      </c>
      <c r="B264" s="15" t="s">
        <v>158</v>
      </c>
      <c r="C264" s="16">
        <v>10420</v>
      </c>
      <c r="D264" s="11">
        <v>9835.7000000000007</v>
      </c>
      <c r="E264" s="11">
        <v>7220</v>
      </c>
      <c r="F264" s="11">
        <v>5075</v>
      </c>
      <c r="G264" s="11">
        <v>9020</v>
      </c>
      <c r="H264" s="3"/>
      <c r="I264" s="11">
        <v>10000</v>
      </c>
      <c r="J264" s="11">
        <v>10000</v>
      </c>
      <c r="K264" s="3"/>
      <c r="L264" s="11">
        <v>10000</v>
      </c>
      <c r="M264" s="38">
        <f t="shared" si="12"/>
        <v>1</v>
      </c>
    </row>
    <row r="265" spans="1:13" hidden="1" x14ac:dyDescent="0.25">
      <c r="A265" s="14" t="s">
        <v>320</v>
      </c>
      <c r="B265" s="15" t="s">
        <v>160</v>
      </c>
      <c r="C265" s="16">
        <v>1896</v>
      </c>
      <c r="D265" s="11">
        <v>6397.81</v>
      </c>
      <c r="E265" s="11">
        <v>4957.8999999999996</v>
      </c>
      <c r="F265" s="11">
        <v>4915.72</v>
      </c>
      <c r="G265" s="11">
        <v>2333.67</v>
      </c>
      <c r="H265" s="3"/>
      <c r="I265" s="11">
        <v>6000</v>
      </c>
      <c r="J265" s="11">
        <v>6000</v>
      </c>
      <c r="K265" s="3"/>
      <c r="L265" s="11">
        <v>5000</v>
      </c>
      <c r="M265" s="38">
        <f t="shared" si="12"/>
        <v>0.83333333333333337</v>
      </c>
    </row>
    <row r="266" spans="1:13" hidden="1" x14ac:dyDescent="0.25">
      <c r="A266" s="14" t="s">
        <v>321</v>
      </c>
      <c r="B266" s="15" t="s">
        <v>162</v>
      </c>
      <c r="C266" s="16">
        <v>811</v>
      </c>
      <c r="D266" s="11">
        <v>705.48</v>
      </c>
      <c r="E266" s="11">
        <v>1026.3399999999999</v>
      </c>
      <c r="F266" s="11">
        <v>0</v>
      </c>
      <c r="G266" s="11">
        <v>1248.79</v>
      </c>
      <c r="H266" s="3"/>
      <c r="I266" s="11"/>
      <c r="J266" s="11"/>
      <c r="K266" s="3"/>
      <c r="L266" s="11">
        <v>1500</v>
      </c>
    </row>
    <row r="267" spans="1:13" hidden="1" x14ac:dyDescent="0.25">
      <c r="A267" s="14" t="s">
        <v>322</v>
      </c>
      <c r="B267" s="15" t="s">
        <v>80</v>
      </c>
      <c r="C267" s="16">
        <v>388</v>
      </c>
      <c r="D267" s="11">
        <v>703.29</v>
      </c>
      <c r="E267" s="11">
        <v>568.28</v>
      </c>
      <c r="F267" s="11">
        <v>779.64</v>
      </c>
      <c r="G267" s="11">
        <v>483.23</v>
      </c>
      <c r="H267" s="3"/>
      <c r="I267" s="11"/>
      <c r="J267" s="11"/>
      <c r="K267" s="3"/>
      <c r="L267" s="11">
        <v>500</v>
      </c>
    </row>
    <row r="268" spans="1:13" hidden="1" x14ac:dyDescent="0.25">
      <c r="A268" s="14" t="s">
        <v>323</v>
      </c>
      <c r="B268" s="15" t="s">
        <v>164</v>
      </c>
      <c r="C268" s="16">
        <v>7135</v>
      </c>
      <c r="D268" s="11">
        <v>5008.47</v>
      </c>
      <c r="E268" s="11">
        <v>1193.99</v>
      </c>
      <c r="F268" s="11">
        <v>3410.95</v>
      </c>
      <c r="G268" s="11">
        <v>1638.72</v>
      </c>
      <c r="H268" s="3"/>
      <c r="I268" s="11">
        <v>2500</v>
      </c>
      <c r="J268" s="11">
        <v>2500</v>
      </c>
      <c r="K268" s="3"/>
      <c r="L268" s="11">
        <v>2500</v>
      </c>
      <c r="M268" s="38">
        <f t="shared" si="12"/>
        <v>1</v>
      </c>
    </row>
    <row r="269" spans="1:13" hidden="1" x14ac:dyDescent="0.25">
      <c r="A269" s="14">
        <v>6082000</v>
      </c>
      <c r="B269" s="15" t="s">
        <v>191</v>
      </c>
      <c r="C269" s="16">
        <v>7039</v>
      </c>
      <c r="D269" s="11">
        <v>7670</v>
      </c>
      <c r="E269" s="11">
        <v>4505</v>
      </c>
      <c r="F269" s="11">
        <v>3557</v>
      </c>
      <c r="G269" s="11">
        <v>0</v>
      </c>
      <c r="H269" s="3"/>
      <c r="I269" s="11"/>
      <c r="J269" s="11"/>
      <c r="K269" s="3"/>
      <c r="L269" s="11"/>
    </row>
    <row r="270" spans="1:13" hidden="1" x14ac:dyDescent="0.25">
      <c r="A270" s="21"/>
      <c r="B270" s="22"/>
      <c r="C270" s="16"/>
      <c r="D270" s="11"/>
      <c r="E270" s="11"/>
      <c r="F270" s="11"/>
      <c r="G270" s="11"/>
      <c r="H270" s="3"/>
      <c r="I270" s="11"/>
      <c r="J270" s="11"/>
      <c r="K270" s="3"/>
      <c r="L270" s="11"/>
    </row>
    <row r="271" spans="1:13" hidden="1" x14ac:dyDescent="0.25">
      <c r="A271" s="17" t="s">
        <v>21</v>
      </c>
      <c r="B271" s="18" t="s">
        <v>324</v>
      </c>
      <c r="C271" s="19">
        <f>SUM(C246:C270)</f>
        <v>431830</v>
      </c>
      <c r="D271" s="11">
        <f>SUM(D246:D270)</f>
        <v>421450.52999999991</v>
      </c>
      <c r="E271" s="11">
        <f>SUM(E246:E270)</f>
        <v>456181.01000000013</v>
      </c>
      <c r="F271" s="11">
        <f>SUM(F246:F270)</f>
        <v>516165.9499999999</v>
      </c>
      <c r="G271" s="11">
        <f>SUM(G246:G270)</f>
        <v>484146.11999999994</v>
      </c>
      <c r="H271" s="3"/>
      <c r="I271" s="11">
        <f>SUM(I246:I270)</f>
        <v>528137.12</v>
      </c>
      <c r="J271" s="11">
        <f>SUM(J246:J270)</f>
        <v>528137.12</v>
      </c>
      <c r="K271" s="3"/>
      <c r="L271" s="11">
        <f>SUM(L246:L270)</f>
        <v>575488.83799999999</v>
      </c>
      <c r="M271" s="38">
        <f>+L271/J271</f>
        <v>1.0896580001799532</v>
      </c>
    </row>
    <row r="272" spans="1:13" hidden="1" x14ac:dyDescent="0.25">
      <c r="D272" s="11"/>
      <c r="E272" s="11"/>
      <c r="F272" s="11"/>
      <c r="G272" s="11"/>
      <c r="H272" s="3"/>
      <c r="I272" s="11"/>
      <c r="J272" s="11"/>
      <c r="K272" s="3"/>
      <c r="L272" s="11"/>
    </row>
    <row r="273" spans="1:13" hidden="1" x14ac:dyDescent="0.25">
      <c r="A273" s="23" t="s">
        <v>86</v>
      </c>
      <c r="B273" s="24" t="s">
        <v>325</v>
      </c>
      <c r="C273" s="11">
        <f>+C271+C242+C209+C164</f>
        <v>3309823</v>
      </c>
      <c r="D273" s="11">
        <f>+D271+D242+D209+D164</f>
        <v>3906752.9799999995</v>
      </c>
      <c r="E273" s="11">
        <f>+E271+E242+E209+E164</f>
        <v>3631751.8499999996</v>
      </c>
      <c r="F273" s="11">
        <f>+F271+F242+F209+F164</f>
        <v>4897407.8759999992</v>
      </c>
      <c r="G273" s="11">
        <f>+G271+G242+G209+G164</f>
        <v>4083281.2700000005</v>
      </c>
      <c r="H273" s="3"/>
      <c r="I273" s="11">
        <f>+I271+I242+I209+I164</f>
        <v>5703036.3300000001</v>
      </c>
      <c r="J273" s="11">
        <f>+J271+J242+J209+J164</f>
        <v>5828826.9300000006</v>
      </c>
      <c r="K273" s="3"/>
      <c r="L273" s="11">
        <f>+L271+L242+L209+L164</f>
        <v>5989034.0945562609</v>
      </c>
      <c r="M273" s="38">
        <f>+L273/J273</f>
        <v>1.0274853184835016</v>
      </c>
    </row>
    <row r="274" spans="1:13" hidden="1" x14ac:dyDescent="0.25">
      <c r="D274" s="11"/>
      <c r="E274" s="11"/>
      <c r="F274" s="11"/>
      <c r="G274" s="11"/>
      <c r="H274" s="3"/>
      <c r="I274" s="11"/>
      <c r="J274" s="11"/>
      <c r="K274" s="3"/>
      <c r="L274" s="11"/>
    </row>
    <row r="275" spans="1:13" hidden="1" x14ac:dyDescent="0.25">
      <c r="D275" s="11"/>
      <c r="E275" s="11"/>
      <c r="F275" s="11"/>
      <c r="G275" s="11"/>
      <c r="H275" s="3"/>
      <c r="I275" s="11"/>
      <c r="J275" s="11"/>
      <c r="K275" s="3"/>
      <c r="L275" s="11"/>
    </row>
    <row r="276" spans="1:13" hidden="1" x14ac:dyDescent="0.25">
      <c r="A276" s="31"/>
      <c r="B276" s="32" t="s">
        <v>326</v>
      </c>
      <c r="C276" s="11">
        <f>+C63-C273</f>
        <v>933839</v>
      </c>
      <c r="D276" s="11">
        <f>+D63-D273</f>
        <v>2023199.9200000009</v>
      </c>
      <c r="E276" s="11">
        <f>+E63-E273</f>
        <v>1136378.6200000001</v>
      </c>
      <c r="F276" s="11">
        <f>+F63-F273</f>
        <v>874954.35400000121</v>
      </c>
      <c r="G276" s="11">
        <f>+G63-G273</f>
        <v>1688182.71</v>
      </c>
      <c r="H276" s="3"/>
      <c r="I276" s="11">
        <f>+I63-I273</f>
        <v>56968.669999999925</v>
      </c>
      <c r="J276" s="11">
        <f>+J63-J273</f>
        <v>349673.06999999937</v>
      </c>
      <c r="K276" s="3"/>
      <c r="L276" s="11">
        <f>+L63-L273</f>
        <v>-249534.09455626085</v>
      </c>
      <c r="M276" s="38">
        <f>+L276/J276</f>
        <v>-0.71362113918655878</v>
      </c>
    </row>
    <row r="277" spans="1:13" hidden="1" x14ac:dyDescent="0.25">
      <c r="D277" s="11"/>
      <c r="E277" s="11"/>
      <c r="F277" s="11"/>
      <c r="G277" s="11"/>
      <c r="H277" s="11"/>
      <c r="I277" s="11"/>
      <c r="J277" s="11"/>
      <c r="K277" s="11"/>
      <c r="L277" s="11"/>
    </row>
    <row r="278" spans="1:13" hidden="1" x14ac:dyDescent="0.25">
      <c r="A278" s="33"/>
      <c r="B278" s="33"/>
      <c r="C278" s="33"/>
      <c r="D278" s="11"/>
      <c r="E278" s="11"/>
      <c r="F278" s="11"/>
      <c r="G278" s="11"/>
      <c r="H278" s="11"/>
      <c r="I278" s="11"/>
      <c r="J278" s="11"/>
      <c r="K278" s="11"/>
      <c r="L278" s="11"/>
    </row>
    <row r="279" spans="1:13" hidden="1" x14ac:dyDescent="0.25">
      <c r="A279" s="33"/>
      <c r="B279" s="33"/>
      <c r="C279" s="34"/>
      <c r="D279" s="11"/>
      <c r="E279" s="11"/>
      <c r="F279" s="11"/>
      <c r="G279" s="11"/>
      <c r="H279" s="11"/>
      <c r="I279" s="11"/>
      <c r="J279" s="11"/>
      <c r="K279" s="11"/>
      <c r="L279" s="11"/>
    </row>
    <row r="280" spans="1:13" hidden="1" x14ac:dyDescent="0.25">
      <c r="A280" s="33"/>
      <c r="B280" s="33"/>
      <c r="C280" s="33"/>
      <c r="D280" s="35"/>
      <c r="E280" s="35"/>
      <c r="F280" s="35"/>
      <c r="G280" s="35"/>
      <c r="H280" s="11"/>
      <c r="I280" s="36"/>
      <c r="J280" s="36"/>
      <c r="K280" s="11"/>
      <c r="L280" s="36"/>
    </row>
    <row r="281" spans="1:13" hidden="1" x14ac:dyDescent="0.25">
      <c r="A281" s="33"/>
      <c r="B281" s="33"/>
      <c r="C281" s="33"/>
      <c r="D281" s="35"/>
      <c r="E281" s="35"/>
      <c r="F281" s="35"/>
      <c r="G281" s="35"/>
      <c r="H281" s="11"/>
      <c r="I281" s="35"/>
      <c r="J281" s="35"/>
      <c r="K281" s="11"/>
      <c r="L281" s="35"/>
    </row>
    <row r="282" spans="1:13" hidden="1" x14ac:dyDescent="0.25">
      <c r="A282" s="33"/>
      <c r="B282" s="33"/>
      <c r="C282" s="33"/>
      <c r="D282" s="35"/>
      <c r="E282" s="35"/>
      <c r="F282" s="35"/>
      <c r="G282" s="35"/>
      <c r="H282" s="11"/>
      <c r="I282" s="35"/>
      <c r="J282" s="35"/>
      <c r="K282" s="11"/>
      <c r="L282" s="35"/>
    </row>
    <row r="283" spans="1:13" hidden="1" x14ac:dyDescent="0.25">
      <c r="A283" s="33"/>
      <c r="B283" s="33"/>
      <c r="C283" s="33"/>
      <c r="D283" s="35"/>
      <c r="E283" s="35"/>
      <c r="F283" s="35"/>
      <c r="G283" s="35"/>
      <c r="H283" s="11"/>
      <c r="I283" s="35"/>
      <c r="J283" s="35"/>
      <c r="K283" s="11"/>
      <c r="L283" s="35"/>
    </row>
    <row r="284" spans="1:13" hidden="1" x14ac:dyDescent="0.25">
      <c r="A284" s="33"/>
      <c r="B284" s="33"/>
      <c r="C284" s="33"/>
      <c r="D284" s="35"/>
      <c r="E284" s="35"/>
      <c r="F284" s="35"/>
      <c r="G284" s="35"/>
      <c r="H284" s="11"/>
      <c r="I284" s="35"/>
      <c r="J284" s="35"/>
      <c r="K284" s="11"/>
      <c r="L284" s="35"/>
    </row>
    <row r="285" spans="1:13" hidden="1" x14ac:dyDescent="0.25">
      <c r="A285" s="33"/>
      <c r="B285" s="33"/>
      <c r="C285" s="33"/>
      <c r="D285" s="35"/>
      <c r="E285" s="35"/>
      <c r="F285" s="35"/>
      <c r="G285" s="35"/>
      <c r="H285" s="11"/>
      <c r="I285" s="35"/>
      <c r="J285" s="35"/>
      <c r="K285" s="11"/>
      <c r="L285" s="35"/>
    </row>
    <row r="286" spans="1:13" hidden="1" x14ac:dyDescent="0.25">
      <c r="A286" s="33"/>
      <c r="B286" s="33"/>
      <c r="C286" s="33"/>
      <c r="D286" s="35"/>
      <c r="E286" s="35"/>
      <c r="F286" s="35"/>
      <c r="G286" s="35"/>
      <c r="H286" s="11"/>
      <c r="I286" s="35"/>
      <c r="J286" s="35"/>
      <c r="K286" s="11"/>
      <c r="L286" s="35"/>
    </row>
    <row r="287" spans="1:13" hidden="1" x14ac:dyDescent="0.25">
      <c r="A287" s="33"/>
      <c r="B287" s="33"/>
      <c r="C287" s="33"/>
      <c r="D287" s="35"/>
      <c r="E287" s="35"/>
      <c r="F287" s="35"/>
      <c r="G287" s="35"/>
      <c r="H287" s="11"/>
      <c r="I287" s="35"/>
      <c r="J287" s="35"/>
      <c r="K287" s="11"/>
      <c r="L287" s="35"/>
    </row>
    <row r="288" spans="1:13" hidden="1" x14ac:dyDescent="0.25">
      <c r="A288" s="33"/>
      <c r="B288" s="33"/>
      <c r="C288" s="33"/>
      <c r="D288" s="35"/>
      <c r="E288" s="35"/>
      <c r="F288" s="35"/>
      <c r="G288" s="35"/>
      <c r="H288" s="11"/>
      <c r="I288" s="35"/>
      <c r="J288" s="35"/>
      <c r="K288" s="11"/>
      <c r="L288" s="35"/>
    </row>
    <row r="289" spans="1:12" hidden="1" x14ac:dyDescent="0.25">
      <c r="A289" s="33"/>
      <c r="B289" s="33"/>
      <c r="C289" s="33"/>
      <c r="D289" s="35"/>
      <c r="E289" s="35"/>
      <c r="F289" s="35"/>
      <c r="G289" s="35"/>
      <c r="H289" s="11"/>
      <c r="I289" s="35"/>
      <c r="J289" s="35"/>
      <c r="K289" s="11"/>
      <c r="L289" s="35"/>
    </row>
    <row r="290" spans="1:12" hidden="1" x14ac:dyDescent="0.25">
      <c r="A290" s="33"/>
      <c r="B290" s="33"/>
      <c r="C290" s="33"/>
      <c r="D290" s="35"/>
      <c r="E290" s="35"/>
      <c r="F290" s="35"/>
      <c r="G290" s="35"/>
      <c r="H290" s="11"/>
      <c r="I290" s="35"/>
      <c r="J290" s="35"/>
      <c r="K290" s="11"/>
      <c r="L290" s="35"/>
    </row>
    <row r="291" spans="1:12" hidden="1" x14ac:dyDescent="0.25">
      <c r="A291" s="33"/>
      <c r="B291" s="33"/>
      <c r="C291" s="33"/>
      <c r="D291" s="35"/>
      <c r="E291" s="35"/>
      <c r="F291" s="35"/>
      <c r="G291" s="35"/>
      <c r="H291" s="11"/>
      <c r="I291" s="35"/>
      <c r="J291" s="35"/>
      <c r="K291" s="11"/>
      <c r="L291" s="35"/>
    </row>
    <row r="292" spans="1:12" hidden="1" x14ac:dyDescent="0.25">
      <c r="A292" s="33"/>
      <c r="B292" s="33"/>
      <c r="C292" s="33"/>
      <c r="D292" s="35"/>
      <c r="E292" s="35"/>
      <c r="F292" s="35"/>
      <c r="G292" s="35"/>
      <c r="H292" s="11"/>
      <c r="I292" s="35"/>
      <c r="J292" s="35"/>
      <c r="K292" s="11"/>
      <c r="L292" s="35"/>
    </row>
    <row r="293" spans="1:12" hidden="1" x14ac:dyDescent="0.25">
      <c r="A293" s="33"/>
      <c r="B293" s="33"/>
      <c r="C293" s="33"/>
      <c r="D293" s="35"/>
      <c r="E293" s="35"/>
      <c r="F293" s="35"/>
      <c r="G293" s="35"/>
      <c r="H293" s="11"/>
      <c r="I293" s="35"/>
      <c r="J293" s="35"/>
      <c r="K293" s="11"/>
      <c r="L293" s="35"/>
    </row>
    <row r="294" spans="1:12" hidden="1" x14ac:dyDescent="0.25">
      <c r="A294" s="33"/>
      <c r="B294" s="33"/>
      <c r="C294" s="33"/>
      <c r="D294" s="35"/>
      <c r="E294" s="35"/>
      <c r="F294" s="35"/>
      <c r="G294" s="35"/>
      <c r="H294" s="11"/>
      <c r="I294" s="35"/>
      <c r="J294" s="35"/>
      <c r="K294" s="11"/>
      <c r="L294" s="35"/>
    </row>
    <row r="295" spans="1:12" hidden="1" x14ac:dyDescent="0.25">
      <c r="A295" s="33"/>
      <c r="B295" s="33"/>
      <c r="C295" s="33"/>
      <c r="D295" s="35"/>
      <c r="E295" s="35"/>
      <c r="F295" s="35"/>
      <c r="G295" s="35"/>
      <c r="H295" s="11"/>
      <c r="I295" s="35"/>
      <c r="J295" s="35"/>
      <c r="K295" s="11"/>
      <c r="L295" s="35"/>
    </row>
    <row r="296" spans="1:12" hidden="1" x14ac:dyDescent="0.25">
      <c r="A296" s="33"/>
      <c r="B296" s="33"/>
      <c r="C296" s="33"/>
      <c r="D296" s="35"/>
      <c r="E296" s="35"/>
      <c r="F296" s="35"/>
      <c r="G296" s="35"/>
      <c r="H296" s="11"/>
      <c r="I296" s="35"/>
      <c r="J296" s="35"/>
      <c r="K296" s="11"/>
      <c r="L296" s="35"/>
    </row>
    <row r="297" spans="1:12" hidden="1" x14ac:dyDescent="0.25">
      <c r="A297" s="33"/>
      <c r="B297" s="33"/>
      <c r="C297" s="33"/>
      <c r="D297" s="35"/>
      <c r="E297" s="35"/>
      <c r="F297" s="35"/>
      <c r="G297" s="35"/>
      <c r="H297" s="11"/>
      <c r="I297" s="35"/>
      <c r="J297" s="35"/>
      <c r="K297" s="11"/>
      <c r="L297" s="35"/>
    </row>
    <row r="298" spans="1:12" hidden="1" x14ac:dyDescent="0.25">
      <c r="A298" s="33"/>
      <c r="B298" s="33"/>
      <c r="C298" s="33"/>
      <c r="D298" s="35"/>
      <c r="E298" s="35"/>
      <c r="F298" s="35"/>
      <c r="G298" s="35"/>
      <c r="H298" s="11"/>
      <c r="I298" s="35"/>
      <c r="J298" s="35"/>
      <c r="K298" s="11"/>
      <c r="L298" s="35"/>
    </row>
    <row r="299" spans="1:12" hidden="1" x14ac:dyDescent="0.25">
      <c r="A299" s="33"/>
      <c r="B299" s="33"/>
      <c r="C299" s="33"/>
      <c r="D299" s="35"/>
      <c r="E299" s="35"/>
      <c r="F299" s="35"/>
      <c r="G299" s="35"/>
      <c r="H299" s="11"/>
      <c r="I299" s="35"/>
      <c r="J299" s="35"/>
      <c r="K299" s="11"/>
      <c r="L299" s="35"/>
    </row>
    <row r="300" spans="1:12" hidden="1" x14ac:dyDescent="0.25">
      <c r="A300" s="33"/>
      <c r="B300" s="33"/>
      <c r="C300" s="33"/>
      <c r="D300" s="35"/>
      <c r="E300" s="35"/>
      <c r="F300" s="35"/>
      <c r="G300" s="35"/>
      <c r="H300" s="11"/>
      <c r="I300" s="35"/>
      <c r="J300" s="35"/>
      <c r="K300" s="11"/>
      <c r="L300" s="35"/>
    </row>
    <row r="301" spans="1:12" hidden="1" x14ac:dyDescent="0.25">
      <c r="A301" s="33"/>
      <c r="B301" s="33"/>
      <c r="C301" s="33"/>
      <c r="D301" s="35"/>
      <c r="E301" s="35"/>
      <c r="F301" s="35"/>
      <c r="G301" s="35"/>
      <c r="H301" s="11"/>
      <c r="I301" s="35"/>
      <c r="J301" s="35"/>
      <c r="K301" s="11"/>
      <c r="L301" s="35"/>
    </row>
    <row r="302" spans="1:12" hidden="1" x14ac:dyDescent="0.25">
      <c r="A302" s="33"/>
      <c r="B302" s="33"/>
      <c r="C302" s="33"/>
      <c r="D302" s="35"/>
      <c r="E302" s="35"/>
      <c r="F302" s="35"/>
      <c r="G302" s="35"/>
      <c r="H302" s="11"/>
      <c r="I302" s="35"/>
      <c r="J302" s="35"/>
      <c r="K302" s="11"/>
      <c r="L302" s="35"/>
    </row>
    <row r="303" spans="1:12" hidden="1" x14ac:dyDescent="0.25">
      <c r="A303" s="33"/>
      <c r="B303" s="33"/>
      <c r="C303" s="33"/>
      <c r="D303" s="35"/>
      <c r="E303" s="35"/>
      <c r="F303" s="35"/>
      <c r="G303" s="35"/>
      <c r="H303" s="11"/>
      <c r="I303" s="35"/>
      <c r="J303" s="35"/>
      <c r="K303" s="11"/>
      <c r="L303" s="35"/>
    </row>
    <row r="304" spans="1:12" hidden="1" x14ac:dyDescent="0.25">
      <c r="A304" s="33"/>
      <c r="B304" s="33"/>
      <c r="C304" s="33"/>
      <c r="D304" s="35"/>
      <c r="E304" s="35"/>
      <c r="F304" s="35"/>
      <c r="G304" s="35"/>
      <c r="H304" s="11"/>
      <c r="I304" s="35"/>
      <c r="J304" s="35"/>
      <c r="K304" s="11"/>
      <c r="L304" s="35"/>
    </row>
    <row r="305" spans="1:12" hidden="1" x14ac:dyDescent="0.25">
      <c r="A305" s="33"/>
      <c r="B305" s="33"/>
      <c r="C305" s="33"/>
      <c r="D305" s="35"/>
      <c r="E305" s="35"/>
      <c r="F305" s="35"/>
      <c r="G305" s="35"/>
      <c r="H305" s="11"/>
      <c r="I305" s="35"/>
      <c r="J305" s="35"/>
      <c r="K305" s="11"/>
      <c r="L305" s="35"/>
    </row>
    <row r="306" spans="1:12" hidden="1" x14ac:dyDescent="0.25">
      <c r="A306" s="33"/>
      <c r="B306" s="33"/>
      <c r="C306" s="33"/>
      <c r="D306" s="35"/>
      <c r="E306" s="35"/>
      <c r="F306" s="35"/>
      <c r="G306" s="35"/>
      <c r="H306" s="11"/>
      <c r="I306" s="35"/>
      <c r="J306" s="35"/>
      <c r="K306" s="11"/>
      <c r="L306" s="35"/>
    </row>
    <row r="307" spans="1:12" hidden="1" x14ac:dyDescent="0.25">
      <c r="A307" s="33"/>
      <c r="B307" s="33"/>
      <c r="C307" s="33"/>
      <c r="D307" s="35"/>
      <c r="E307" s="35"/>
      <c r="F307" s="35"/>
      <c r="G307" s="35"/>
      <c r="H307" s="11"/>
      <c r="I307" s="35"/>
      <c r="J307" s="35"/>
      <c r="K307" s="11"/>
      <c r="L307" s="35"/>
    </row>
    <row r="308" spans="1:12" hidden="1" x14ac:dyDescent="0.25">
      <c r="A308" s="33"/>
      <c r="B308" s="33"/>
      <c r="C308" s="33"/>
      <c r="D308" s="35"/>
      <c r="E308" s="35"/>
      <c r="F308" s="35"/>
      <c r="G308" s="35"/>
      <c r="H308" s="11"/>
      <c r="I308" s="35"/>
      <c r="J308" s="35"/>
      <c r="K308" s="11"/>
      <c r="L308" s="35"/>
    </row>
    <row r="309" spans="1:12" hidden="1" x14ac:dyDescent="0.25">
      <c r="A309" s="33"/>
      <c r="B309" s="33"/>
      <c r="C309" s="33"/>
      <c r="D309" s="35"/>
      <c r="E309" s="35"/>
      <c r="F309" s="35"/>
      <c r="G309" s="35"/>
      <c r="H309" s="11"/>
      <c r="I309" s="35"/>
      <c r="J309" s="35"/>
      <c r="K309" s="11"/>
      <c r="L309" s="35"/>
    </row>
    <row r="310" spans="1:12" hidden="1" x14ac:dyDescent="0.25">
      <c r="A310" s="33"/>
      <c r="B310" s="33"/>
      <c r="C310" s="33"/>
      <c r="D310" s="35"/>
      <c r="E310" s="35"/>
      <c r="F310" s="35"/>
      <c r="G310" s="35"/>
      <c r="H310" s="11"/>
      <c r="I310" s="35"/>
      <c r="J310" s="35"/>
      <c r="K310" s="11"/>
      <c r="L310" s="35"/>
    </row>
    <row r="311" spans="1:12" hidden="1" x14ac:dyDescent="0.25">
      <c r="A311" s="33"/>
      <c r="B311" s="33"/>
      <c r="C311" s="33"/>
      <c r="D311" s="35"/>
      <c r="E311" s="35"/>
      <c r="F311" s="35"/>
      <c r="G311" s="35"/>
      <c r="H311" s="11"/>
      <c r="I311" s="35"/>
      <c r="J311" s="35"/>
      <c r="K311" s="11"/>
      <c r="L311" s="35"/>
    </row>
    <row r="312" spans="1:12" hidden="1" x14ac:dyDescent="0.25">
      <c r="A312" s="33"/>
      <c r="B312" s="33"/>
      <c r="C312" s="33"/>
      <c r="D312" s="35"/>
      <c r="E312" s="35"/>
      <c r="F312" s="35"/>
      <c r="G312" s="35"/>
      <c r="H312" s="11"/>
      <c r="I312" s="35"/>
      <c r="J312" s="35"/>
      <c r="K312" s="11"/>
      <c r="L312" s="35"/>
    </row>
    <row r="313" spans="1:12" hidden="1" x14ac:dyDescent="0.25">
      <c r="A313" s="33"/>
      <c r="B313" s="33"/>
      <c r="C313" s="33"/>
      <c r="D313" s="35"/>
      <c r="E313" s="35"/>
      <c r="F313" s="35"/>
      <c r="G313" s="35"/>
      <c r="H313" s="11"/>
      <c r="I313" s="35"/>
      <c r="J313" s="35"/>
      <c r="K313" s="11"/>
      <c r="L313" s="35"/>
    </row>
    <row r="314" spans="1:12" hidden="1" x14ac:dyDescent="0.25">
      <c r="A314" s="33"/>
      <c r="B314" s="33"/>
      <c r="C314" s="33"/>
      <c r="D314" s="35"/>
      <c r="E314" s="35"/>
      <c r="F314" s="35"/>
      <c r="G314" s="35"/>
      <c r="H314" s="11"/>
      <c r="I314" s="35"/>
      <c r="J314" s="35"/>
      <c r="K314" s="11"/>
      <c r="L314" s="35"/>
    </row>
    <row r="315" spans="1:12" hidden="1" x14ac:dyDescent="0.25">
      <c r="A315" s="33"/>
      <c r="B315" s="33"/>
      <c r="C315" s="33"/>
      <c r="D315" s="35"/>
      <c r="E315" s="35"/>
      <c r="F315" s="35"/>
      <c r="G315" s="35"/>
      <c r="H315" s="11"/>
      <c r="I315" s="35"/>
      <c r="J315" s="35"/>
      <c r="K315" s="11"/>
      <c r="L315" s="35"/>
    </row>
    <row r="316" spans="1:12" hidden="1" x14ac:dyDescent="0.25">
      <c r="A316" s="33"/>
      <c r="B316" s="33"/>
      <c r="C316" s="33"/>
      <c r="D316" s="35"/>
      <c r="E316" s="35"/>
      <c r="F316" s="35"/>
      <c r="G316" s="35"/>
      <c r="H316" s="11"/>
      <c r="I316" s="35"/>
      <c r="J316" s="35"/>
      <c r="K316" s="11"/>
      <c r="L316" s="35"/>
    </row>
    <row r="317" spans="1:12" hidden="1" x14ac:dyDescent="0.25">
      <c r="A317" s="33"/>
      <c r="B317" s="33"/>
      <c r="C317" s="33"/>
      <c r="D317" s="35"/>
      <c r="E317" s="35"/>
      <c r="F317" s="35"/>
      <c r="G317" s="35"/>
      <c r="H317" s="11"/>
      <c r="I317" s="35"/>
      <c r="J317" s="35"/>
      <c r="K317" s="11"/>
      <c r="L317" s="35"/>
    </row>
    <row r="318" spans="1:12" hidden="1" x14ac:dyDescent="0.25">
      <c r="A318" s="33"/>
      <c r="B318" s="33"/>
      <c r="C318" s="33"/>
      <c r="D318" s="35"/>
      <c r="E318" s="35"/>
      <c r="F318" s="35"/>
      <c r="G318" s="35"/>
      <c r="H318" s="11"/>
      <c r="I318" s="35"/>
      <c r="J318" s="35"/>
      <c r="K318" s="11"/>
      <c r="L318" s="35"/>
    </row>
    <row r="319" spans="1:12" hidden="1" x14ac:dyDescent="0.25">
      <c r="A319" s="33"/>
      <c r="B319" s="33"/>
      <c r="C319" s="33"/>
      <c r="D319" s="35"/>
      <c r="E319" s="35"/>
      <c r="F319" s="35"/>
      <c r="G319" s="35"/>
      <c r="H319" s="11"/>
      <c r="I319" s="35"/>
      <c r="J319" s="35"/>
      <c r="K319" s="11"/>
      <c r="L319" s="35"/>
    </row>
    <row r="320" spans="1:12" hidden="1" x14ac:dyDescent="0.25">
      <c r="A320" s="33"/>
      <c r="B320" s="33"/>
      <c r="C320" s="33"/>
      <c r="D320" s="35"/>
      <c r="E320" s="35"/>
      <c r="F320" s="35"/>
      <c r="G320" s="35"/>
      <c r="H320" s="11"/>
      <c r="I320" s="35"/>
      <c r="J320" s="35"/>
      <c r="K320" s="11"/>
      <c r="L320" s="35"/>
    </row>
    <row r="321" spans="1:12" hidden="1" x14ac:dyDescent="0.25">
      <c r="A321" s="33"/>
      <c r="B321" s="33"/>
      <c r="C321" s="33"/>
      <c r="D321" s="35"/>
      <c r="E321" s="35"/>
      <c r="F321" s="35"/>
      <c r="G321" s="35"/>
      <c r="H321" s="11"/>
      <c r="I321" s="35"/>
      <c r="J321" s="35"/>
      <c r="K321" s="11"/>
      <c r="L321" s="35"/>
    </row>
    <row r="322" spans="1:12" hidden="1" x14ac:dyDescent="0.25">
      <c r="A322" s="33"/>
      <c r="B322" s="33"/>
      <c r="C322" s="33"/>
      <c r="D322" s="35"/>
      <c r="E322" s="35"/>
      <c r="F322" s="35"/>
      <c r="G322" s="35"/>
      <c r="H322" s="11"/>
      <c r="I322" s="35"/>
      <c r="J322" s="35"/>
      <c r="K322" s="11"/>
      <c r="L322" s="35"/>
    </row>
    <row r="323" spans="1:12" hidden="1" x14ac:dyDescent="0.25">
      <c r="A323" s="33"/>
      <c r="B323" s="33"/>
      <c r="C323" s="33"/>
      <c r="D323" s="35"/>
      <c r="E323" s="35"/>
      <c r="F323" s="35"/>
      <c r="G323" s="35"/>
      <c r="H323" s="11"/>
      <c r="I323" s="35"/>
      <c r="J323" s="35"/>
      <c r="K323" s="11"/>
      <c r="L323" s="35"/>
    </row>
    <row r="324" spans="1:12" hidden="1" x14ac:dyDescent="0.25">
      <c r="A324" s="33"/>
      <c r="B324" s="33"/>
      <c r="C324" s="33"/>
      <c r="D324" s="35"/>
      <c r="E324" s="35"/>
      <c r="F324" s="35"/>
      <c r="G324" s="35"/>
      <c r="H324" s="11"/>
      <c r="I324" s="35"/>
      <c r="J324" s="35"/>
      <c r="K324" s="11"/>
      <c r="L324" s="35"/>
    </row>
    <row r="325" spans="1:12" hidden="1" x14ac:dyDescent="0.25">
      <c r="A325" s="33"/>
      <c r="B325" s="33"/>
      <c r="C325" s="33"/>
      <c r="D325" s="35"/>
      <c r="E325" s="35"/>
      <c r="F325" s="35"/>
      <c r="G325" s="35"/>
      <c r="H325" s="11"/>
      <c r="I325" s="35"/>
      <c r="J325" s="35"/>
      <c r="K325" s="11"/>
      <c r="L325" s="35"/>
    </row>
    <row r="326" spans="1:12" hidden="1" x14ac:dyDescent="0.25">
      <c r="A326" s="33"/>
      <c r="B326" s="33"/>
      <c r="C326" s="33"/>
      <c r="D326" s="35"/>
      <c r="E326" s="35"/>
      <c r="F326" s="35"/>
      <c r="G326" s="35"/>
      <c r="H326" s="11"/>
      <c r="I326" s="35"/>
      <c r="J326" s="35"/>
      <c r="K326" s="11"/>
      <c r="L326" s="35"/>
    </row>
    <row r="327" spans="1:12" hidden="1" x14ac:dyDescent="0.25">
      <c r="A327" s="33"/>
      <c r="B327" s="33"/>
      <c r="C327" s="33"/>
      <c r="D327" s="35"/>
      <c r="E327" s="35"/>
      <c r="F327" s="35"/>
      <c r="G327" s="35"/>
      <c r="H327" s="11"/>
      <c r="I327" s="35"/>
      <c r="J327" s="35"/>
      <c r="K327" s="11"/>
      <c r="L327" s="35"/>
    </row>
    <row r="328" spans="1:12" hidden="1" x14ac:dyDescent="0.25">
      <c r="A328" s="33"/>
      <c r="B328" s="33"/>
      <c r="C328" s="33"/>
      <c r="D328" s="35"/>
      <c r="E328" s="35"/>
      <c r="F328" s="35"/>
      <c r="G328" s="35"/>
      <c r="H328" s="11"/>
      <c r="I328" s="35"/>
      <c r="J328" s="35"/>
      <c r="K328" s="11"/>
      <c r="L328" s="35"/>
    </row>
    <row r="329" spans="1:12" hidden="1" x14ac:dyDescent="0.25">
      <c r="A329" s="33"/>
      <c r="B329" s="33"/>
      <c r="C329" s="33"/>
      <c r="D329" s="35"/>
      <c r="E329" s="35"/>
      <c r="F329" s="35"/>
      <c r="G329" s="35"/>
      <c r="H329" s="11"/>
      <c r="I329" s="35"/>
      <c r="J329" s="35"/>
      <c r="K329" s="11"/>
      <c r="L329" s="35"/>
    </row>
    <row r="330" spans="1:12" hidden="1" x14ac:dyDescent="0.25">
      <c r="A330" s="33"/>
      <c r="B330" s="33"/>
      <c r="C330" s="33"/>
      <c r="D330" s="35"/>
      <c r="E330" s="35"/>
      <c r="F330" s="35"/>
      <c r="G330" s="35"/>
      <c r="H330" s="11"/>
      <c r="I330" s="35"/>
      <c r="J330" s="35"/>
      <c r="K330" s="11"/>
      <c r="L330" s="35"/>
    </row>
    <row r="331" spans="1:12" hidden="1" x14ac:dyDescent="0.25">
      <c r="A331" s="33"/>
      <c r="B331" s="33"/>
      <c r="C331" s="33"/>
      <c r="D331" s="35"/>
      <c r="E331" s="35"/>
      <c r="F331" s="35"/>
      <c r="G331" s="35"/>
      <c r="H331" s="11"/>
      <c r="I331" s="35"/>
      <c r="J331" s="35"/>
      <c r="K331" s="11"/>
      <c r="L331" s="35"/>
    </row>
    <row r="332" spans="1:12" hidden="1" x14ac:dyDescent="0.25">
      <c r="A332" s="33"/>
      <c r="B332" s="33"/>
      <c r="C332" s="33"/>
      <c r="D332" s="35"/>
      <c r="E332" s="35"/>
      <c r="F332" s="35"/>
      <c r="G332" s="35"/>
      <c r="H332" s="11"/>
      <c r="I332" s="35"/>
      <c r="J332" s="35"/>
      <c r="K332" s="11"/>
      <c r="L332" s="35"/>
    </row>
    <row r="333" spans="1:12" hidden="1" x14ac:dyDescent="0.25">
      <c r="A333" s="33"/>
      <c r="B333" s="33"/>
      <c r="C333" s="33"/>
      <c r="D333" s="35"/>
      <c r="E333" s="35"/>
      <c r="F333" s="35"/>
      <c r="G333" s="35"/>
      <c r="H333" s="11"/>
      <c r="I333" s="35"/>
      <c r="J333" s="35"/>
      <c r="K333" s="11"/>
      <c r="L333" s="35"/>
    </row>
    <row r="334" spans="1:12" hidden="1" x14ac:dyDescent="0.25">
      <c r="A334" s="33"/>
      <c r="B334" s="33"/>
      <c r="C334" s="33"/>
      <c r="D334" s="35"/>
      <c r="E334" s="35"/>
      <c r="F334" s="35"/>
      <c r="G334" s="35"/>
      <c r="H334" s="11"/>
      <c r="I334" s="35"/>
      <c r="J334" s="35"/>
      <c r="K334" s="11"/>
      <c r="L334" s="35"/>
    </row>
    <row r="335" spans="1:12" hidden="1" x14ac:dyDescent="0.25">
      <c r="A335" s="33"/>
      <c r="B335" s="33"/>
      <c r="C335" s="33"/>
      <c r="D335" s="35"/>
      <c r="E335" s="35"/>
      <c r="F335" s="35"/>
      <c r="G335" s="35"/>
      <c r="H335" s="11"/>
      <c r="I335" s="35"/>
      <c r="J335" s="35"/>
      <c r="K335" s="11"/>
      <c r="L335" s="35"/>
    </row>
    <row r="336" spans="1:12" hidden="1" x14ac:dyDescent="0.25">
      <c r="A336" s="33"/>
      <c r="B336" s="33"/>
      <c r="C336" s="33"/>
      <c r="D336" s="35"/>
      <c r="E336" s="35"/>
      <c r="F336" s="35"/>
      <c r="G336" s="35"/>
      <c r="H336" s="11"/>
      <c r="I336" s="35"/>
      <c r="J336" s="35"/>
      <c r="K336" s="11"/>
      <c r="L336" s="35"/>
    </row>
    <row r="337" spans="1:12" hidden="1" x14ac:dyDescent="0.25">
      <c r="A337" s="33"/>
      <c r="B337" s="33"/>
      <c r="C337" s="33"/>
      <c r="D337" s="35"/>
      <c r="E337" s="35"/>
      <c r="F337" s="35"/>
      <c r="G337" s="35"/>
      <c r="H337" s="11"/>
      <c r="I337" s="35"/>
      <c r="J337" s="35"/>
      <c r="K337" s="11"/>
      <c r="L337" s="35"/>
    </row>
    <row r="338" spans="1:12" hidden="1" x14ac:dyDescent="0.25">
      <c r="A338" s="33"/>
      <c r="B338" s="33"/>
      <c r="C338" s="33"/>
      <c r="D338" s="35"/>
      <c r="E338" s="35"/>
      <c r="F338" s="35"/>
      <c r="G338" s="35"/>
      <c r="H338" s="11"/>
      <c r="I338" s="35"/>
      <c r="J338" s="35"/>
      <c r="K338" s="11"/>
      <c r="L338" s="35"/>
    </row>
    <row r="339" spans="1:12" hidden="1" x14ac:dyDescent="0.25">
      <c r="A339" s="33"/>
      <c r="B339" s="33"/>
      <c r="C339" s="33"/>
      <c r="D339" s="35"/>
      <c r="E339" s="35"/>
      <c r="F339" s="35"/>
      <c r="G339" s="35"/>
      <c r="H339" s="11"/>
      <c r="I339" s="35"/>
      <c r="J339" s="35"/>
      <c r="K339" s="11"/>
      <c r="L339" s="35"/>
    </row>
    <row r="340" spans="1:12" hidden="1" x14ac:dyDescent="0.25">
      <c r="A340" s="33"/>
      <c r="B340" s="33"/>
      <c r="C340" s="33"/>
      <c r="D340" s="35"/>
      <c r="E340" s="35"/>
      <c r="F340" s="35"/>
      <c r="G340" s="35"/>
      <c r="H340" s="11"/>
      <c r="I340" s="35"/>
      <c r="J340" s="35"/>
      <c r="K340" s="11"/>
      <c r="L340" s="35"/>
    </row>
    <row r="341" spans="1:12" hidden="1" x14ac:dyDescent="0.25">
      <c r="A341" s="33"/>
      <c r="B341" s="33"/>
      <c r="C341" s="33"/>
      <c r="D341" s="35"/>
      <c r="E341" s="35"/>
      <c r="F341" s="35"/>
      <c r="G341" s="35"/>
      <c r="H341" s="11"/>
      <c r="I341" s="35"/>
      <c r="J341" s="35"/>
      <c r="K341" s="11"/>
      <c r="L341" s="35"/>
    </row>
    <row r="342" spans="1:12" hidden="1" x14ac:dyDescent="0.25">
      <c r="A342" s="33"/>
      <c r="B342" s="33"/>
      <c r="C342" s="33"/>
      <c r="D342" s="35"/>
      <c r="E342" s="35"/>
      <c r="F342" s="35"/>
      <c r="G342" s="35"/>
      <c r="H342" s="11"/>
      <c r="I342" s="35"/>
      <c r="J342" s="35"/>
      <c r="K342" s="11"/>
      <c r="L342" s="35"/>
    </row>
    <row r="343" spans="1:12" hidden="1" x14ac:dyDescent="0.25">
      <c r="A343" s="33"/>
      <c r="B343" s="33"/>
      <c r="C343" s="33"/>
      <c r="D343" s="35"/>
      <c r="E343" s="35"/>
      <c r="F343" s="35"/>
      <c r="G343" s="35"/>
      <c r="H343" s="11"/>
      <c r="I343" s="35"/>
      <c r="J343" s="35"/>
      <c r="K343" s="11"/>
      <c r="L343" s="35"/>
    </row>
    <row r="344" spans="1:12" hidden="1" x14ac:dyDescent="0.25">
      <c r="A344" s="33"/>
      <c r="B344" s="33"/>
      <c r="C344" s="33"/>
      <c r="D344" s="35"/>
      <c r="E344" s="35"/>
      <c r="F344" s="35"/>
      <c r="G344" s="35"/>
      <c r="H344" s="11"/>
      <c r="I344" s="35"/>
      <c r="J344" s="35"/>
      <c r="K344" s="11"/>
      <c r="L344" s="35"/>
    </row>
    <row r="345" spans="1:12" hidden="1" x14ac:dyDescent="0.25">
      <c r="A345" s="33"/>
      <c r="B345" s="33"/>
      <c r="C345" s="33"/>
      <c r="D345" s="35"/>
      <c r="E345" s="35"/>
      <c r="F345" s="35"/>
      <c r="G345" s="35"/>
      <c r="H345" s="11"/>
      <c r="I345" s="35"/>
      <c r="J345" s="35"/>
      <c r="K345" s="11"/>
      <c r="L345" s="35"/>
    </row>
    <row r="346" spans="1:12" hidden="1" x14ac:dyDescent="0.25">
      <c r="A346" s="33"/>
      <c r="B346" s="33"/>
      <c r="C346" s="33"/>
      <c r="D346" s="35"/>
      <c r="E346" s="35"/>
      <c r="F346" s="35"/>
      <c r="G346" s="35"/>
      <c r="H346" s="11"/>
      <c r="I346" s="35"/>
      <c r="J346" s="35"/>
      <c r="K346" s="11"/>
      <c r="L346" s="35"/>
    </row>
    <row r="347" spans="1:12" hidden="1" x14ac:dyDescent="0.25">
      <c r="A347" s="33"/>
      <c r="B347" s="33"/>
      <c r="C347" s="33"/>
      <c r="D347" s="35"/>
      <c r="E347" s="35"/>
      <c r="F347" s="35"/>
      <c r="G347" s="35"/>
      <c r="H347" s="11"/>
      <c r="I347" s="35"/>
      <c r="J347" s="35"/>
      <c r="K347" s="11"/>
      <c r="L347" s="35"/>
    </row>
    <row r="348" spans="1:12" hidden="1" x14ac:dyDescent="0.25">
      <c r="A348" s="33"/>
      <c r="B348" s="33"/>
      <c r="C348" s="33"/>
      <c r="D348" s="35"/>
      <c r="E348" s="35"/>
      <c r="F348" s="35"/>
      <c r="G348" s="35"/>
      <c r="H348" s="11"/>
      <c r="I348" s="35"/>
      <c r="J348" s="35"/>
      <c r="K348" s="11"/>
      <c r="L348" s="35"/>
    </row>
    <row r="349" spans="1:12" hidden="1" x14ac:dyDescent="0.25">
      <c r="A349" s="33"/>
      <c r="B349" s="33"/>
      <c r="C349" s="33"/>
      <c r="D349" s="35"/>
      <c r="E349" s="35"/>
      <c r="F349" s="35"/>
      <c r="G349" s="35"/>
      <c r="H349" s="11"/>
      <c r="I349" s="35"/>
      <c r="J349" s="35"/>
      <c r="K349" s="11"/>
      <c r="L349" s="35"/>
    </row>
    <row r="350" spans="1:12" hidden="1" x14ac:dyDescent="0.25">
      <c r="A350" s="33"/>
      <c r="B350" s="33"/>
      <c r="C350" s="33"/>
      <c r="D350" s="35"/>
      <c r="E350" s="35"/>
      <c r="F350" s="35"/>
      <c r="G350" s="35"/>
      <c r="H350" s="11"/>
      <c r="I350" s="35"/>
      <c r="J350" s="35"/>
      <c r="K350" s="11"/>
      <c r="L350" s="35"/>
    </row>
    <row r="351" spans="1:12" hidden="1" x14ac:dyDescent="0.25">
      <c r="A351" s="33"/>
      <c r="B351" s="33"/>
      <c r="C351" s="33"/>
      <c r="D351" s="35"/>
      <c r="E351" s="35"/>
      <c r="F351" s="35"/>
      <c r="G351" s="35"/>
      <c r="H351" s="11"/>
      <c r="I351" s="35"/>
      <c r="J351" s="35"/>
      <c r="K351" s="11"/>
      <c r="L351" s="35"/>
    </row>
    <row r="352" spans="1:12" hidden="1" x14ac:dyDescent="0.25">
      <c r="A352" s="33"/>
      <c r="B352" s="33"/>
      <c r="C352" s="33"/>
      <c r="D352" s="35"/>
      <c r="E352" s="35"/>
      <c r="F352" s="35"/>
      <c r="G352" s="35"/>
      <c r="H352" s="11"/>
      <c r="I352" s="35"/>
      <c r="J352" s="35"/>
      <c r="K352" s="11"/>
      <c r="L352" s="35"/>
    </row>
    <row r="353" spans="1:12" hidden="1" x14ac:dyDescent="0.25">
      <c r="A353" s="33"/>
      <c r="B353" s="33"/>
      <c r="C353" s="33"/>
      <c r="D353" s="35"/>
      <c r="E353" s="35"/>
      <c r="F353" s="35"/>
      <c r="G353" s="35"/>
      <c r="H353" s="11"/>
      <c r="I353" s="35"/>
      <c r="J353" s="35"/>
      <c r="K353" s="11"/>
      <c r="L353" s="35"/>
    </row>
    <row r="354" spans="1:12" hidden="1" x14ac:dyDescent="0.25">
      <c r="A354" s="33"/>
      <c r="B354" s="33"/>
      <c r="C354" s="33"/>
      <c r="D354" s="35"/>
      <c r="E354" s="35"/>
      <c r="F354" s="35"/>
      <c r="G354" s="35"/>
      <c r="H354" s="11"/>
      <c r="I354" s="35"/>
      <c r="J354" s="35"/>
      <c r="K354" s="11"/>
      <c r="L354" s="35"/>
    </row>
    <row r="355" spans="1:12" hidden="1" x14ac:dyDescent="0.25">
      <c r="A355" s="33"/>
      <c r="B355" s="33"/>
      <c r="C355" s="33"/>
      <c r="D355" s="35"/>
      <c r="E355" s="35"/>
      <c r="F355" s="35"/>
      <c r="G355" s="35"/>
      <c r="H355" s="11"/>
      <c r="I355" s="35"/>
      <c r="J355" s="35"/>
      <c r="K355" s="11"/>
      <c r="L355" s="35"/>
    </row>
    <row r="356" spans="1:12" hidden="1" x14ac:dyDescent="0.25">
      <c r="A356" s="33"/>
      <c r="B356" s="33"/>
      <c r="C356" s="33"/>
      <c r="D356" s="35"/>
      <c r="E356" s="35"/>
      <c r="F356" s="35"/>
      <c r="G356" s="35"/>
      <c r="H356" s="11"/>
      <c r="I356" s="35"/>
      <c r="J356" s="35"/>
      <c r="K356" s="11"/>
      <c r="L356" s="35"/>
    </row>
    <row r="357" spans="1:12" hidden="1" x14ac:dyDescent="0.25">
      <c r="A357" s="33"/>
      <c r="B357" s="33"/>
      <c r="C357" s="33"/>
      <c r="D357" s="35"/>
      <c r="E357" s="35"/>
      <c r="F357" s="35"/>
      <c r="G357" s="35"/>
      <c r="H357" s="11"/>
      <c r="I357" s="35"/>
      <c r="J357" s="35"/>
      <c r="K357" s="11"/>
      <c r="L357" s="35"/>
    </row>
    <row r="358" spans="1:12" hidden="1" x14ac:dyDescent="0.25">
      <c r="D358" s="11"/>
      <c r="E358" s="11"/>
      <c r="F358" s="11"/>
      <c r="G358" s="11"/>
      <c r="H358" s="11"/>
      <c r="I358" s="11"/>
      <c r="J358" s="11"/>
      <c r="K358" s="11"/>
      <c r="L358" s="11"/>
    </row>
    <row r="359" spans="1:12" hidden="1" x14ac:dyDescent="0.25">
      <c r="D359" s="11"/>
      <c r="E359" s="11"/>
      <c r="F359" s="11"/>
      <c r="G359" s="11"/>
      <c r="H359" s="11"/>
      <c r="I359" s="11"/>
      <c r="J359" s="11"/>
      <c r="K359" s="11"/>
      <c r="L359" s="11"/>
    </row>
    <row r="360" spans="1:12" hidden="1" x14ac:dyDescent="0.25">
      <c r="D360" s="11"/>
      <c r="E360" s="11"/>
      <c r="F360" s="11"/>
      <c r="G360" s="11"/>
      <c r="H360" s="11"/>
      <c r="I360" s="11"/>
      <c r="J360" s="11"/>
      <c r="K360" s="11"/>
      <c r="L360" s="11"/>
    </row>
    <row r="361" spans="1:12" hidden="1" x14ac:dyDescent="0.25">
      <c r="D361" s="11"/>
      <c r="E361" s="11"/>
      <c r="F361" s="11"/>
      <c r="G361" s="11"/>
      <c r="H361" s="11"/>
      <c r="I361" s="11"/>
      <c r="J361" s="11"/>
      <c r="K361" s="11"/>
      <c r="L361" s="11"/>
    </row>
    <row r="362" spans="1:12" hidden="1" x14ac:dyDescent="0.25">
      <c r="D362" s="11"/>
      <c r="E362" s="11"/>
      <c r="F362" s="11"/>
      <c r="G362" s="11"/>
      <c r="H362" s="11"/>
      <c r="I362" s="11"/>
      <c r="J362" s="11"/>
      <c r="K362" s="11"/>
      <c r="L362" s="11"/>
    </row>
    <row r="363" spans="1:12" hidden="1" x14ac:dyDescent="0.25">
      <c r="D363" s="11"/>
      <c r="E363" s="11"/>
      <c r="F363" s="11"/>
      <c r="G363" s="11"/>
      <c r="H363" s="11"/>
      <c r="I363" s="11"/>
      <c r="J363" s="11"/>
      <c r="K363" s="11"/>
      <c r="L363" s="11"/>
    </row>
    <row r="364" spans="1:12" hidden="1" x14ac:dyDescent="0.25">
      <c r="D364" s="11"/>
      <c r="E364" s="11"/>
      <c r="F364" s="11"/>
      <c r="G364" s="11"/>
      <c r="H364" s="11"/>
      <c r="I364" s="11"/>
      <c r="J364" s="11"/>
      <c r="K364" s="11"/>
      <c r="L364" s="11"/>
    </row>
    <row r="365" spans="1:12" hidden="1" x14ac:dyDescent="0.25">
      <c r="D365" s="11"/>
      <c r="E365" s="11"/>
      <c r="F365" s="11"/>
      <c r="G365" s="11"/>
      <c r="H365" s="11"/>
      <c r="I365" s="11"/>
      <c r="J365" s="11"/>
      <c r="K365" s="11"/>
      <c r="L365" s="11"/>
    </row>
    <row r="366" spans="1:12" hidden="1" x14ac:dyDescent="0.25">
      <c r="D366" s="11"/>
      <c r="E366" s="11"/>
      <c r="F366" s="11"/>
      <c r="G366" s="11"/>
      <c r="H366" s="11"/>
      <c r="I366" s="11"/>
      <c r="J366" s="11"/>
      <c r="K366" s="11"/>
      <c r="L366" s="11"/>
    </row>
    <row r="367" spans="1:12" hidden="1" x14ac:dyDescent="0.25">
      <c r="D367" s="11"/>
      <c r="E367" s="11"/>
      <c r="F367" s="11"/>
      <c r="G367" s="11"/>
      <c r="H367" s="11"/>
      <c r="I367" s="11"/>
      <c r="J367" s="11"/>
      <c r="K367" s="11"/>
      <c r="L367" s="11"/>
    </row>
    <row r="368" spans="1:12" hidden="1" x14ac:dyDescent="0.25">
      <c r="D368" s="11"/>
      <c r="E368" s="11"/>
      <c r="F368" s="11"/>
      <c r="G368" s="11"/>
      <c r="H368" s="11"/>
      <c r="I368" s="11"/>
      <c r="J368" s="11"/>
      <c r="K368" s="11"/>
      <c r="L368" s="11"/>
    </row>
    <row r="369" spans="4:12" hidden="1" x14ac:dyDescent="0.25">
      <c r="D369" s="11"/>
      <c r="E369" s="11"/>
      <c r="F369" s="11"/>
      <c r="G369" s="11"/>
      <c r="H369" s="11"/>
      <c r="I369" s="11"/>
      <c r="J369" s="11"/>
      <c r="K369" s="11"/>
      <c r="L369" s="11"/>
    </row>
    <row r="370" spans="4:12" hidden="1" x14ac:dyDescent="0.25">
      <c r="D370" s="11"/>
      <c r="E370" s="11"/>
      <c r="F370" s="11"/>
      <c r="G370" s="11"/>
      <c r="H370" s="11"/>
      <c r="I370" s="11"/>
      <c r="J370" s="11"/>
      <c r="K370" s="11"/>
      <c r="L370" s="11"/>
    </row>
    <row r="371" spans="4:12" hidden="1" x14ac:dyDescent="0.25">
      <c r="D371" s="11"/>
      <c r="E371" s="11"/>
      <c r="F371" s="11"/>
      <c r="G371" s="11"/>
      <c r="H371" s="11"/>
      <c r="I371" s="11"/>
      <c r="J371" s="11"/>
      <c r="K371" s="11"/>
      <c r="L371" s="11"/>
    </row>
    <row r="372" spans="4:12" hidden="1" x14ac:dyDescent="0.25">
      <c r="D372" s="11"/>
      <c r="E372" s="11"/>
      <c r="F372" s="11"/>
      <c r="G372" s="11"/>
      <c r="H372" s="11"/>
      <c r="I372" s="11"/>
      <c r="J372" s="11"/>
      <c r="K372" s="11"/>
      <c r="L372" s="11"/>
    </row>
    <row r="373" spans="4:12" hidden="1" x14ac:dyDescent="0.25">
      <c r="D373" s="11"/>
      <c r="E373" s="11"/>
      <c r="F373" s="11"/>
      <c r="G373" s="11"/>
      <c r="H373" s="11"/>
      <c r="I373" s="11"/>
      <c r="J373" s="11"/>
      <c r="K373" s="11"/>
      <c r="L373" s="11"/>
    </row>
    <row r="374" spans="4:12" hidden="1" x14ac:dyDescent="0.25">
      <c r="D374" s="11"/>
      <c r="E374" s="11"/>
      <c r="F374" s="11"/>
      <c r="G374" s="11"/>
      <c r="H374" s="11"/>
      <c r="I374" s="11"/>
      <c r="J374" s="11"/>
      <c r="K374" s="11"/>
      <c r="L374" s="11"/>
    </row>
    <row r="375" spans="4:12" hidden="1" x14ac:dyDescent="0.25">
      <c r="D375" s="11"/>
      <c r="E375" s="11"/>
      <c r="F375" s="11"/>
      <c r="G375" s="11"/>
      <c r="H375" s="11"/>
      <c r="I375" s="11"/>
      <c r="J375" s="11"/>
      <c r="K375" s="11"/>
      <c r="L375" s="11"/>
    </row>
    <row r="376" spans="4:12" hidden="1" x14ac:dyDescent="0.25">
      <c r="D376" s="11"/>
      <c r="E376" s="11"/>
      <c r="F376" s="11"/>
      <c r="G376" s="11"/>
      <c r="H376" s="11"/>
      <c r="I376" s="11"/>
      <c r="J376" s="11"/>
      <c r="K376" s="11"/>
      <c r="L376" s="11"/>
    </row>
    <row r="377" spans="4:12" hidden="1" x14ac:dyDescent="0.25">
      <c r="D377" s="11"/>
      <c r="E377" s="11"/>
      <c r="F377" s="11"/>
      <c r="G377" s="11"/>
      <c r="H377" s="11"/>
      <c r="I377" s="11"/>
      <c r="J377" s="11"/>
      <c r="K377" s="11"/>
      <c r="L377" s="11"/>
    </row>
    <row r="378" spans="4:12" hidden="1" x14ac:dyDescent="0.25">
      <c r="D378" s="11"/>
      <c r="E378" s="11"/>
      <c r="F378" s="11"/>
      <c r="G378" s="11"/>
      <c r="H378" s="11"/>
      <c r="I378" s="11"/>
      <c r="J378" s="11"/>
      <c r="K378" s="11"/>
      <c r="L378" s="11"/>
    </row>
    <row r="379" spans="4:12" hidden="1" x14ac:dyDescent="0.25">
      <c r="D379" s="11"/>
      <c r="E379" s="11"/>
      <c r="F379" s="11"/>
      <c r="G379" s="11"/>
      <c r="H379" s="11"/>
      <c r="I379" s="11"/>
      <c r="J379" s="11"/>
      <c r="K379" s="11"/>
      <c r="L379" s="11"/>
    </row>
    <row r="380" spans="4:12" hidden="1" x14ac:dyDescent="0.25">
      <c r="D380" s="11"/>
      <c r="E380" s="11"/>
      <c r="F380" s="11"/>
      <c r="G380" s="11"/>
      <c r="H380" s="11"/>
      <c r="I380" s="11"/>
      <c r="J380" s="11"/>
      <c r="K380" s="11"/>
      <c r="L380" s="11"/>
    </row>
    <row r="381" spans="4:12" hidden="1" x14ac:dyDescent="0.25">
      <c r="D381" s="11"/>
      <c r="E381" s="11"/>
      <c r="F381" s="11"/>
      <c r="G381" s="11"/>
      <c r="H381" s="11"/>
      <c r="I381" s="11"/>
      <c r="J381" s="11"/>
      <c r="K381" s="11"/>
      <c r="L381" s="11"/>
    </row>
    <row r="382" spans="4:12" hidden="1" x14ac:dyDescent="0.25">
      <c r="D382" s="11"/>
      <c r="E382" s="11"/>
      <c r="F382" s="11"/>
      <c r="G382" s="11"/>
      <c r="H382" s="11"/>
      <c r="I382" s="11"/>
      <c r="J382" s="11"/>
      <c r="K382" s="11"/>
      <c r="L382" s="11"/>
    </row>
    <row r="383" spans="4:12" hidden="1" x14ac:dyDescent="0.25">
      <c r="D383" s="11"/>
      <c r="E383" s="11"/>
      <c r="F383" s="11"/>
      <c r="G383" s="11"/>
      <c r="H383" s="11"/>
      <c r="I383" s="11"/>
      <c r="J383" s="11"/>
      <c r="K383" s="11"/>
      <c r="L383" s="11"/>
    </row>
    <row r="384" spans="4:12" hidden="1" x14ac:dyDescent="0.25">
      <c r="D384" s="11"/>
      <c r="E384" s="11"/>
      <c r="F384" s="11"/>
      <c r="G384" s="11"/>
      <c r="H384" s="11"/>
      <c r="I384" s="11"/>
      <c r="J384" s="11"/>
      <c r="K384" s="11"/>
      <c r="L384" s="11"/>
    </row>
    <row r="385" spans="4:12" hidden="1" x14ac:dyDescent="0.25">
      <c r="D385" s="11"/>
      <c r="E385" s="11"/>
      <c r="F385" s="11"/>
      <c r="G385" s="11"/>
      <c r="H385" s="11"/>
      <c r="I385" s="11"/>
      <c r="J385" s="11"/>
      <c r="K385" s="11"/>
      <c r="L385" s="11"/>
    </row>
    <row r="386" spans="4:12" hidden="1" x14ac:dyDescent="0.25">
      <c r="D386" s="11"/>
      <c r="E386" s="11"/>
      <c r="F386" s="11"/>
      <c r="G386" s="11"/>
      <c r="H386" s="11"/>
      <c r="I386" s="11"/>
      <c r="J386" s="11"/>
      <c r="K386" s="11"/>
      <c r="L386" s="11"/>
    </row>
    <row r="387" spans="4:12" hidden="1" x14ac:dyDescent="0.25">
      <c r="D387" s="11"/>
      <c r="E387" s="11"/>
      <c r="F387" s="11"/>
      <c r="G387" s="11"/>
      <c r="H387" s="11"/>
      <c r="I387" s="11"/>
      <c r="J387" s="11"/>
      <c r="K387" s="11"/>
      <c r="L387" s="11"/>
    </row>
    <row r="388" spans="4:12" hidden="1" x14ac:dyDescent="0.25">
      <c r="D388" s="11"/>
      <c r="E388" s="11"/>
      <c r="F388" s="11"/>
      <c r="G388" s="11"/>
      <c r="H388" s="11"/>
      <c r="I388" s="11"/>
      <c r="J388" s="11"/>
      <c r="K388" s="11"/>
      <c r="L388" s="11"/>
    </row>
    <row r="389" spans="4:12" hidden="1" x14ac:dyDescent="0.25">
      <c r="D389" s="11"/>
      <c r="E389" s="11"/>
      <c r="F389" s="11"/>
      <c r="G389" s="11"/>
      <c r="H389" s="11"/>
      <c r="I389" s="11"/>
      <c r="J389" s="11"/>
      <c r="K389" s="11"/>
      <c r="L389" s="11"/>
    </row>
    <row r="390" spans="4:12" hidden="1" x14ac:dyDescent="0.25">
      <c r="D390" s="11"/>
      <c r="E390" s="11"/>
      <c r="F390" s="11"/>
      <c r="G390" s="11"/>
      <c r="H390" s="11"/>
      <c r="I390" s="11"/>
      <c r="J390" s="11"/>
      <c r="K390" s="11"/>
      <c r="L390" s="11"/>
    </row>
    <row r="391" spans="4:12" hidden="1" x14ac:dyDescent="0.25">
      <c r="D391" s="11"/>
      <c r="E391" s="11"/>
      <c r="F391" s="11"/>
      <c r="G391" s="11"/>
      <c r="H391" s="11"/>
      <c r="I391" s="11"/>
      <c r="J391" s="11"/>
      <c r="K391" s="11"/>
      <c r="L391" s="11"/>
    </row>
    <row r="392" spans="4:12" hidden="1" x14ac:dyDescent="0.25">
      <c r="D392" s="11"/>
      <c r="E392" s="11"/>
      <c r="F392" s="11"/>
      <c r="G392" s="11"/>
      <c r="H392" s="11"/>
      <c r="I392" s="11"/>
      <c r="J392" s="11"/>
      <c r="K392" s="11"/>
      <c r="L392" s="11"/>
    </row>
    <row r="393" spans="4:12" hidden="1" x14ac:dyDescent="0.25">
      <c r="D393" s="11"/>
      <c r="E393" s="11"/>
      <c r="F393" s="11"/>
      <c r="G393" s="11"/>
      <c r="H393" s="11"/>
      <c r="I393" s="11"/>
      <c r="J393" s="11"/>
      <c r="K393" s="11"/>
      <c r="L393" s="11"/>
    </row>
    <row r="394" spans="4:12" hidden="1" x14ac:dyDescent="0.25">
      <c r="D394" s="11"/>
      <c r="E394" s="11"/>
      <c r="F394" s="11"/>
      <c r="G394" s="11"/>
      <c r="H394" s="11"/>
      <c r="I394" s="11"/>
      <c r="J394" s="11"/>
      <c r="K394" s="11"/>
      <c r="L394" s="11"/>
    </row>
    <row r="395" spans="4:12" hidden="1" x14ac:dyDescent="0.25">
      <c r="D395" s="11"/>
      <c r="E395" s="11"/>
      <c r="F395" s="11"/>
      <c r="G395" s="11"/>
      <c r="H395" s="11"/>
      <c r="I395" s="11"/>
      <c r="J395" s="11"/>
      <c r="K395" s="11"/>
      <c r="L395" s="11"/>
    </row>
    <row r="396" spans="4:12" hidden="1" x14ac:dyDescent="0.25">
      <c r="D396" s="11"/>
      <c r="E396" s="11"/>
      <c r="F396" s="11"/>
      <c r="G396" s="11"/>
      <c r="H396" s="11"/>
      <c r="I396" s="11"/>
      <c r="J396" s="11"/>
      <c r="K396" s="11"/>
      <c r="L396" s="11"/>
    </row>
    <row r="397" spans="4:12" hidden="1" x14ac:dyDescent="0.25">
      <c r="D397" s="11"/>
      <c r="E397" s="11"/>
      <c r="F397" s="11"/>
      <c r="G397" s="11"/>
      <c r="H397" s="11"/>
      <c r="I397" s="11"/>
      <c r="J397" s="11"/>
      <c r="K397" s="11"/>
      <c r="L397" s="11"/>
    </row>
    <row r="398" spans="4:12" hidden="1" x14ac:dyDescent="0.25">
      <c r="D398" s="11"/>
      <c r="E398" s="11"/>
      <c r="F398" s="11"/>
      <c r="G398" s="11"/>
      <c r="H398" s="11"/>
      <c r="I398" s="11"/>
      <c r="J398" s="11"/>
      <c r="K398" s="11"/>
      <c r="L398" s="11"/>
    </row>
    <row r="399" spans="4:12" hidden="1" x14ac:dyDescent="0.25">
      <c r="D399" s="11"/>
      <c r="E399" s="11"/>
      <c r="F399" s="11"/>
      <c r="G399" s="11"/>
      <c r="H399" s="11"/>
      <c r="I399" s="11"/>
      <c r="J399" s="11"/>
      <c r="K399" s="11"/>
      <c r="L399" s="11"/>
    </row>
    <row r="400" spans="4:12" hidden="1" x14ac:dyDescent="0.25">
      <c r="D400" s="11"/>
      <c r="E400" s="11"/>
      <c r="F400" s="11"/>
      <c r="G400" s="11"/>
      <c r="H400" s="11"/>
      <c r="I400" s="11"/>
      <c r="J400" s="11"/>
      <c r="K400" s="11"/>
      <c r="L400" s="11"/>
    </row>
    <row r="401" spans="4:12" hidden="1" x14ac:dyDescent="0.25">
      <c r="D401" s="11"/>
      <c r="E401" s="11"/>
      <c r="F401" s="11"/>
      <c r="G401" s="11"/>
      <c r="H401" s="11"/>
      <c r="I401" s="11"/>
      <c r="J401" s="11"/>
      <c r="K401" s="11"/>
      <c r="L401" s="11"/>
    </row>
    <row r="402" spans="4:12" hidden="1" x14ac:dyDescent="0.25">
      <c r="D402" s="11"/>
      <c r="E402" s="11"/>
      <c r="F402" s="11"/>
      <c r="G402" s="11"/>
      <c r="H402" s="11"/>
      <c r="I402" s="11"/>
      <c r="J402" s="11"/>
      <c r="K402" s="11"/>
      <c r="L402" s="11"/>
    </row>
    <row r="403" spans="4:12" hidden="1" x14ac:dyDescent="0.25">
      <c r="D403" s="11"/>
      <c r="E403" s="11"/>
      <c r="F403" s="11"/>
      <c r="G403" s="11"/>
      <c r="H403" s="11"/>
      <c r="I403" s="11"/>
      <c r="J403" s="11"/>
      <c r="K403" s="11"/>
      <c r="L403" s="11"/>
    </row>
    <row r="404" spans="4:12" hidden="1" x14ac:dyDescent="0.25">
      <c r="D404" s="11"/>
      <c r="E404" s="11"/>
      <c r="F404" s="11"/>
      <c r="G404" s="11"/>
      <c r="H404" s="11"/>
      <c r="I404" s="11"/>
      <c r="J404" s="11"/>
      <c r="K404" s="11"/>
      <c r="L404" s="11"/>
    </row>
    <row r="405" spans="4:12" hidden="1" x14ac:dyDescent="0.25">
      <c r="D405" s="11"/>
      <c r="E405" s="11"/>
      <c r="F405" s="11"/>
      <c r="G405" s="11"/>
      <c r="H405" s="11"/>
      <c r="I405" s="11"/>
      <c r="J405" s="11"/>
      <c r="K405" s="11"/>
      <c r="L405" s="11"/>
    </row>
    <row r="406" spans="4:12" hidden="1" x14ac:dyDescent="0.25">
      <c r="D406" s="11"/>
      <c r="E406" s="11"/>
      <c r="F406" s="11"/>
      <c r="G406" s="11"/>
      <c r="H406" s="11"/>
      <c r="I406" s="11"/>
      <c r="J406" s="11"/>
      <c r="K406" s="11"/>
      <c r="L406" s="11"/>
    </row>
    <row r="407" spans="4:12" hidden="1" x14ac:dyDescent="0.25">
      <c r="D407" s="11"/>
      <c r="E407" s="11"/>
      <c r="F407" s="11"/>
      <c r="G407" s="11"/>
      <c r="H407" s="11"/>
      <c r="I407" s="11"/>
      <c r="J407" s="11"/>
      <c r="K407" s="11"/>
      <c r="L407" s="11"/>
    </row>
    <row r="408" spans="4:12" hidden="1" x14ac:dyDescent="0.25">
      <c r="D408" s="11"/>
      <c r="E408" s="11"/>
      <c r="F408" s="11"/>
      <c r="G408" s="11"/>
      <c r="H408" s="11"/>
      <c r="I408" s="11"/>
      <c r="J408" s="11"/>
      <c r="K408" s="11"/>
      <c r="L408" s="11"/>
    </row>
    <row r="409" spans="4:12" hidden="1" x14ac:dyDescent="0.25">
      <c r="D409" s="11"/>
      <c r="E409" s="11"/>
      <c r="F409" s="11"/>
      <c r="G409" s="11"/>
      <c r="H409" s="11"/>
      <c r="I409" s="11"/>
      <c r="J409" s="11"/>
      <c r="K409" s="11"/>
      <c r="L409" s="11"/>
    </row>
    <row r="410" spans="4:12" hidden="1" x14ac:dyDescent="0.25">
      <c r="D410" s="11"/>
      <c r="E410" s="11"/>
      <c r="F410" s="11"/>
      <c r="G410" s="11"/>
      <c r="H410" s="11"/>
      <c r="I410" s="11"/>
      <c r="J410" s="11"/>
      <c r="K410" s="11"/>
      <c r="L410" s="11"/>
    </row>
    <row r="411" spans="4:12" hidden="1" x14ac:dyDescent="0.25">
      <c r="D411" s="11"/>
      <c r="E411" s="11"/>
      <c r="F411" s="11"/>
      <c r="G411" s="11"/>
      <c r="H411" s="11"/>
      <c r="I411" s="11"/>
      <c r="J411" s="11"/>
      <c r="K411" s="11"/>
      <c r="L411" s="11"/>
    </row>
    <row r="412" spans="4:12" hidden="1" x14ac:dyDescent="0.25">
      <c r="D412" s="11"/>
      <c r="E412" s="11"/>
      <c r="F412" s="11"/>
      <c r="G412" s="11"/>
      <c r="H412" s="11"/>
      <c r="I412" s="11"/>
      <c r="J412" s="11"/>
      <c r="K412" s="11"/>
      <c r="L412" s="11"/>
    </row>
    <row r="413" spans="4:12" hidden="1" x14ac:dyDescent="0.25">
      <c r="D413" s="11"/>
      <c r="E413" s="11"/>
      <c r="F413" s="11"/>
      <c r="G413" s="11"/>
      <c r="H413" s="11"/>
      <c r="I413" s="11"/>
      <c r="J413" s="11"/>
      <c r="K413" s="11"/>
      <c r="L413" s="11"/>
    </row>
    <row r="414" spans="4:12" hidden="1" x14ac:dyDescent="0.25">
      <c r="D414" s="11"/>
      <c r="E414" s="11"/>
      <c r="F414" s="11"/>
      <c r="G414" s="11"/>
      <c r="H414" s="11"/>
      <c r="I414" s="11"/>
      <c r="J414" s="11"/>
      <c r="K414" s="11"/>
      <c r="L414" s="11"/>
    </row>
    <row r="415" spans="4:12" hidden="1" x14ac:dyDescent="0.25">
      <c r="D415" s="11"/>
      <c r="E415" s="11"/>
      <c r="F415" s="11"/>
      <c r="G415" s="11"/>
      <c r="H415" s="11"/>
      <c r="I415" s="11"/>
      <c r="J415" s="11"/>
      <c r="K415" s="11"/>
      <c r="L415" s="11"/>
    </row>
    <row r="416" spans="4:12" hidden="1" x14ac:dyDescent="0.25">
      <c r="D416" s="11"/>
      <c r="E416" s="11"/>
      <c r="F416" s="11"/>
      <c r="G416" s="11"/>
      <c r="H416" s="11"/>
      <c r="I416" s="11"/>
      <c r="J416" s="11"/>
      <c r="K416" s="11"/>
      <c r="L416" s="11"/>
    </row>
    <row r="417" spans="4:12" hidden="1" x14ac:dyDescent="0.25">
      <c r="D417" s="11"/>
      <c r="E417" s="11"/>
      <c r="F417" s="11"/>
      <c r="G417" s="11"/>
      <c r="H417" s="11"/>
      <c r="I417" s="11"/>
      <c r="J417" s="11"/>
      <c r="K417" s="11"/>
      <c r="L417" s="11"/>
    </row>
    <row r="418" spans="4:12" hidden="1" x14ac:dyDescent="0.25">
      <c r="D418" s="11"/>
      <c r="E418" s="11"/>
      <c r="F418" s="11"/>
      <c r="G418" s="11"/>
      <c r="H418" s="11"/>
      <c r="I418" s="11"/>
      <c r="J418" s="11"/>
      <c r="K418" s="11"/>
      <c r="L418" s="11"/>
    </row>
    <row r="419" spans="4:12" hidden="1" x14ac:dyDescent="0.25">
      <c r="D419" s="11"/>
      <c r="E419" s="11"/>
      <c r="F419" s="11"/>
      <c r="G419" s="11"/>
      <c r="H419" s="11"/>
      <c r="I419" s="11"/>
      <c r="J419" s="11"/>
      <c r="K419" s="11"/>
      <c r="L419" s="11"/>
    </row>
    <row r="420" spans="4:12" hidden="1" x14ac:dyDescent="0.25">
      <c r="D420" s="11"/>
      <c r="E420" s="11"/>
      <c r="F420" s="11"/>
      <c r="G420" s="11"/>
      <c r="H420" s="11"/>
      <c r="I420" s="11"/>
      <c r="J420" s="11"/>
      <c r="K420" s="11"/>
      <c r="L420" s="11"/>
    </row>
    <row r="421" spans="4:12" hidden="1" x14ac:dyDescent="0.25">
      <c r="D421" s="11"/>
      <c r="E421" s="11"/>
      <c r="F421" s="11"/>
      <c r="G421" s="11"/>
      <c r="H421" s="11"/>
      <c r="I421" s="11"/>
      <c r="J421" s="11"/>
      <c r="K421" s="11"/>
      <c r="L421" s="11"/>
    </row>
    <row r="422" spans="4:12" hidden="1" x14ac:dyDescent="0.25">
      <c r="D422" s="11"/>
      <c r="E422" s="11"/>
      <c r="F422" s="11"/>
      <c r="G422" s="11"/>
      <c r="H422" s="11"/>
      <c r="I422" s="11"/>
      <c r="J422" s="11"/>
      <c r="K422" s="11"/>
      <c r="L422" s="11"/>
    </row>
    <row r="423" spans="4:12" hidden="1" x14ac:dyDescent="0.25">
      <c r="D423" s="11"/>
      <c r="E423" s="11"/>
      <c r="F423" s="11"/>
      <c r="G423" s="11"/>
      <c r="H423" s="11"/>
      <c r="I423" s="11"/>
      <c r="J423" s="11"/>
      <c r="K423" s="11"/>
      <c r="L423" s="11"/>
    </row>
    <row r="424" spans="4:12" hidden="1" x14ac:dyDescent="0.25">
      <c r="D424" s="11"/>
      <c r="E424" s="11"/>
      <c r="F424" s="11"/>
      <c r="G424" s="11"/>
      <c r="H424" s="11"/>
      <c r="I424" s="11"/>
      <c r="J424" s="11"/>
      <c r="K424" s="11"/>
      <c r="L424" s="11"/>
    </row>
    <row r="425" spans="4:12" hidden="1" x14ac:dyDescent="0.25">
      <c r="D425" s="11"/>
      <c r="E425" s="11"/>
      <c r="F425" s="11"/>
      <c r="G425" s="11"/>
      <c r="H425" s="11"/>
      <c r="I425" s="11"/>
      <c r="J425" s="11"/>
      <c r="K425" s="11"/>
      <c r="L425" s="11"/>
    </row>
    <row r="426" spans="4:12" hidden="1" x14ac:dyDescent="0.25">
      <c r="D426" s="11"/>
      <c r="E426" s="11"/>
      <c r="F426" s="11"/>
      <c r="G426" s="11"/>
      <c r="H426" s="11"/>
      <c r="I426" s="11"/>
      <c r="J426" s="11"/>
      <c r="K426" s="11"/>
      <c r="L426" s="11"/>
    </row>
    <row r="427" spans="4:12" hidden="1" x14ac:dyDescent="0.25">
      <c r="D427" s="11"/>
      <c r="E427" s="11"/>
      <c r="F427" s="11"/>
      <c r="G427" s="11"/>
      <c r="H427" s="11"/>
      <c r="I427" s="11"/>
      <c r="J427" s="11"/>
      <c r="K427" s="11"/>
      <c r="L427" s="11"/>
    </row>
    <row r="428" spans="4:12" hidden="1" x14ac:dyDescent="0.25">
      <c r="D428" s="11"/>
      <c r="E428" s="11"/>
      <c r="F428" s="11"/>
      <c r="G428" s="11"/>
      <c r="H428" s="11"/>
      <c r="I428" s="11"/>
      <c r="J428" s="11"/>
      <c r="K428" s="11"/>
      <c r="L428" s="11"/>
    </row>
    <row r="429" spans="4:12" hidden="1" x14ac:dyDescent="0.25">
      <c r="D429" s="11"/>
      <c r="E429" s="11"/>
      <c r="F429" s="11"/>
      <c r="G429" s="11"/>
      <c r="H429" s="11"/>
      <c r="I429" s="11"/>
      <c r="J429" s="11"/>
      <c r="K429" s="11"/>
      <c r="L429" s="11"/>
    </row>
    <row r="430" spans="4:12" hidden="1" x14ac:dyDescent="0.25">
      <c r="D430" s="11"/>
      <c r="E430" s="11"/>
      <c r="F430" s="11"/>
      <c r="G430" s="11"/>
      <c r="H430" s="11"/>
      <c r="I430" s="11"/>
      <c r="J430" s="11"/>
      <c r="K430" s="11"/>
      <c r="L430" s="11"/>
    </row>
    <row r="431" spans="4:12" hidden="1" x14ac:dyDescent="0.25">
      <c r="D431" s="11"/>
      <c r="E431" s="11"/>
      <c r="F431" s="11"/>
      <c r="G431" s="11"/>
      <c r="H431" s="11"/>
      <c r="I431" s="11"/>
      <c r="J431" s="11"/>
      <c r="K431" s="11"/>
      <c r="L431" s="11"/>
    </row>
    <row r="432" spans="4:12" hidden="1" x14ac:dyDescent="0.25">
      <c r="D432" s="11"/>
      <c r="E432" s="11"/>
      <c r="F432" s="11"/>
      <c r="G432" s="11"/>
      <c r="H432" s="11"/>
      <c r="I432" s="11"/>
      <c r="J432" s="11"/>
      <c r="K432" s="11"/>
      <c r="L432" s="11"/>
    </row>
    <row r="433" spans="4:12" hidden="1" x14ac:dyDescent="0.25">
      <c r="D433" s="11"/>
      <c r="E433" s="11"/>
      <c r="F433" s="11"/>
      <c r="G433" s="11"/>
      <c r="H433" s="11"/>
      <c r="I433" s="11"/>
      <c r="J433" s="11"/>
      <c r="K433" s="11"/>
      <c r="L433" s="11"/>
    </row>
    <row r="434" spans="4:12" hidden="1" x14ac:dyDescent="0.25">
      <c r="D434" s="11"/>
      <c r="E434" s="11"/>
      <c r="F434" s="11"/>
      <c r="G434" s="11"/>
      <c r="H434" s="11"/>
      <c r="I434" s="11"/>
      <c r="J434" s="11"/>
      <c r="K434" s="11"/>
      <c r="L434" s="11"/>
    </row>
    <row r="435" spans="4:12" hidden="1" x14ac:dyDescent="0.25">
      <c r="D435" s="11"/>
      <c r="E435" s="11"/>
      <c r="F435" s="11"/>
      <c r="G435" s="11"/>
      <c r="H435" s="11"/>
      <c r="I435" s="11"/>
      <c r="J435" s="11"/>
      <c r="K435" s="11"/>
      <c r="L435" s="11"/>
    </row>
    <row r="436" spans="4:12" hidden="1" x14ac:dyDescent="0.25">
      <c r="D436" s="11"/>
      <c r="E436" s="11"/>
      <c r="F436" s="11"/>
      <c r="G436" s="11"/>
      <c r="H436" s="11"/>
      <c r="I436" s="11"/>
      <c r="J436" s="11"/>
      <c r="K436" s="11"/>
      <c r="L436" s="11"/>
    </row>
    <row r="437" spans="4:12" hidden="1" x14ac:dyDescent="0.25">
      <c r="D437" s="11"/>
      <c r="E437" s="11"/>
      <c r="F437" s="11"/>
      <c r="G437" s="11"/>
      <c r="H437" s="11"/>
      <c r="I437" s="11"/>
      <c r="J437" s="11"/>
      <c r="K437" s="11"/>
      <c r="L437" s="11"/>
    </row>
    <row r="438" spans="4:12" hidden="1" x14ac:dyDescent="0.25">
      <c r="D438" s="11"/>
      <c r="E438" s="11"/>
      <c r="F438" s="11"/>
      <c r="G438" s="11"/>
      <c r="H438" s="11"/>
      <c r="I438" s="11"/>
      <c r="J438" s="11"/>
      <c r="K438" s="11"/>
      <c r="L438" s="11"/>
    </row>
    <row r="439" spans="4:12" hidden="1" x14ac:dyDescent="0.25">
      <c r="D439" s="11"/>
      <c r="E439" s="11"/>
      <c r="F439" s="11"/>
      <c r="G439" s="11"/>
      <c r="H439" s="11"/>
      <c r="I439" s="11"/>
      <c r="J439" s="11"/>
      <c r="K439" s="11"/>
      <c r="L439" s="11"/>
    </row>
    <row r="440" spans="4:12" hidden="1" x14ac:dyDescent="0.25">
      <c r="D440" s="11"/>
      <c r="E440" s="11"/>
      <c r="F440" s="11"/>
      <c r="G440" s="11"/>
      <c r="H440" s="11"/>
      <c r="I440" s="11"/>
      <c r="J440" s="11"/>
      <c r="K440" s="11"/>
      <c r="L440" s="11"/>
    </row>
    <row r="441" spans="4:12" hidden="1" x14ac:dyDescent="0.25">
      <c r="D441" s="11"/>
      <c r="E441" s="11"/>
      <c r="F441" s="11"/>
      <c r="G441" s="11"/>
      <c r="H441" s="11"/>
      <c r="I441" s="11"/>
      <c r="J441" s="11"/>
      <c r="K441" s="11"/>
      <c r="L441" s="11"/>
    </row>
    <row r="442" spans="4:12" hidden="1" x14ac:dyDescent="0.25">
      <c r="D442" s="11"/>
      <c r="E442" s="11"/>
      <c r="F442" s="11"/>
      <c r="G442" s="11"/>
      <c r="H442" s="11"/>
      <c r="I442" s="11"/>
      <c r="J442" s="11"/>
      <c r="K442" s="11"/>
      <c r="L442" s="11"/>
    </row>
    <row r="443" spans="4:12" hidden="1" x14ac:dyDescent="0.25">
      <c r="D443" s="11"/>
      <c r="E443" s="11"/>
      <c r="F443" s="11"/>
      <c r="G443" s="11"/>
      <c r="H443" s="11"/>
      <c r="I443" s="11"/>
      <c r="J443" s="11"/>
      <c r="K443" s="11"/>
      <c r="L443" s="11"/>
    </row>
    <row r="444" spans="4:12" hidden="1" x14ac:dyDescent="0.25">
      <c r="D444" s="11"/>
      <c r="E444" s="11"/>
      <c r="F444" s="11"/>
      <c r="G444" s="11"/>
      <c r="H444" s="11"/>
      <c r="I444" s="11"/>
      <c r="J444" s="11"/>
      <c r="K444" s="11"/>
      <c r="L444" s="11"/>
    </row>
    <row r="445" spans="4:12" hidden="1" x14ac:dyDescent="0.25">
      <c r="D445" s="11"/>
      <c r="E445" s="11"/>
      <c r="F445" s="11"/>
      <c r="G445" s="11"/>
      <c r="H445" s="11"/>
      <c r="I445" s="11"/>
      <c r="J445" s="11"/>
      <c r="K445" s="11"/>
      <c r="L445" s="11"/>
    </row>
    <row r="446" spans="4:12" hidden="1" x14ac:dyDescent="0.25">
      <c r="D446" s="11"/>
      <c r="E446" s="11"/>
      <c r="F446" s="11"/>
      <c r="G446" s="11"/>
      <c r="H446" s="11"/>
      <c r="I446" s="11"/>
      <c r="J446" s="11"/>
      <c r="K446" s="11"/>
      <c r="L446" s="11"/>
    </row>
    <row r="447" spans="4:12" hidden="1" x14ac:dyDescent="0.25">
      <c r="D447" s="11"/>
      <c r="E447" s="11"/>
      <c r="F447" s="11"/>
      <c r="G447" s="11"/>
      <c r="H447" s="11"/>
      <c r="I447" s="11"/>
      <c r="J447" s="11"/>
      <c r="K447" s="11"/>
      <c r="L447" s="11"/>
    </row>
    <row r="448" spans="4:12" hidden="1" x14ac:dyDescent="0.25">
      <c r="D448" s="11"/>
      <c r="E448" s="11"/>
      <c r="F448" s="11"/>
      <c r="G448" s="11"/>
      <c r="H448" s="11"/>
      <c r="I448" s="11"/>
      <c r="J448" s="11"/>
      <c r="K448" s="11"/>
      <c r="L448" s="11"/>
    </row>
    <row r="449" spans="4:12" hidden="1" x14ac:dyDescent="0.25">
      <c r="D449" s="11"/>
      <c r="E449" s="11"/>
      <c r="F449" s="11"/>
      <c r="G449" s="11"/>
      <c r="H449" s="11"/>
      <c r="I449" s="11"/>
      <c r="J449" s="11"/>
      <c r="K449" s="11"/>
      <c r="L449" s="11"/>
    </row>
    <row r="450" spans="4:12" hidden="1" x14ac:dyDescent="0.25">
      <c r="D450" s="11"/>
      <c r="E450" s="11"/>
      <c r="F450" s="11"/>
      <c r="G450" s="11"/>
      <c r="H450" s="11"/>
      <c r="I450" s="11"/>
      <c r="J450" s="11"/>
      <c r="K450" s="11"/>
      <c r="L450" s="11"/>
    </row>
    <row r="451" spans="4:12" hidden="1" x14ac:dyDescent="0.25">
      <c r="D451" s="11"/>
      <c r="E451" s="11"/>
      <c r="F451" s="11"/>
      <c r="G451" s="11"/>
      <c r="H451" s="11"/>
      <c r="I451" s="11"/>
      <c r="J451" s="11"/>
      <c r="K451" s="11"/>
      <c r="L451" s="11"/>
    </row>
    <row r="452" spans="4:12" hidden="1" x14ac:dyDescent="0.25">
      <c r="D452" s="11"/>
      <c r="E452" s="11"/>
      <c r="F452" s="11"/>
      <c r="G452" s="11"/>
      <c r="H452" s="11"/>
      <c r="I452" s="11"/>
      <c r="J452" s="11"/>
      <c r="K452" s="11"/>
      <c r="L452" s="11"/>
    </row>
    <row r="453" spans="4:12" hidden="1" x14ac:dyDescent="0.25">
      <c r="D453" s="11"/>
      <c r="E453" s="11"/>
      <c r="F453" s="11"/>
      <c r="G453" s="11"/>
      <c r="H453" s="11"/>
      <c r="I453" s="11"/>
      <c r="J453" s="11"/>
      <c r="K453" s="11"/>
      <c r="L453" s="11"/>
    </row>
    <row r="454" spans="4:12" hidden="1" x14ac:dyDescent="0.25">
      <c r="D454" s="11"/>
      <c r="E454" s="11"/>
      <c r="F454" s="11"/>
      <c r="G454" s="11"/>
      <c r="H454" s="11"/>
      <c r="I454" s="11"/>
      <c r="J454" s="11"/>
      <c r="K454" s="11"/>
      <c r="L454" s="11"/>
    </row>
    <row r="455" spans="4:12" hidden="1" x14ac:dyDescent="0.25">
      <c r="D455" s="11"/>
      <c r="E455" s="11"/>
      <c r="F455" s="11"/>
      <c r="G455" s="11"/>
      <c r="H455" s="11"/>
      <c r="I455" s="11"/>
      <c r="J455" s="11"/>
      <c r="K455" s="11"/>
      <c r="L455" s="11"/>
    </row>
    <row r="456" spans="4:12" hidden="1" x14ac:dyDescent="0.25">
      <c r="D456" s="11"/>
      <c r="E456" s="11"/>
      <c r="F456" s="11"/>
      <c r="G456" s="11"/>
      <c r="H456" s="11"/>
      <c r="I456" s="11"/>
      <c r="J456" s="11"/>
      <c r="K456" s="11"/>
      <c r="L456" s="11"/>
    </row>
    <row r="457" spans="4:12" hidden="1" x14ac:dyDescent="0.25">
      <c r="D457" s="11"/>
      <c r="E457" s="11"/>
      <c r="F457" s="11"/>
      <c r="G457" s="11"/>
      <c r="H457" s="11"/>
      <c r="I457" s="11"/>
      <c r="J457" s="11"/>
      <c r="K457" s="11"/>
      <c r="L457" s="11"/>
    </row>
    <row r="458" spans="4:12" hidden="1" x14ac:dyDescent="0.25">
      <c r="D458" s="11"/>
      <c r="E458" s="11"/>
      <c r="F458" s="11"/>
      <c r="G458" s="11"/>
      <c r="H458" s="11"/>
      <c r="I458" s="11"/>
      <c r="J458" s="11"/>
      <c r="K458" s="11"/>
      <c r="L458" s="11"/>
    </row>
    <row r="459" spans="4:12" hidden="1" x14ac:dyDescent="0.25">
      <c r="D459" s="11"/>
      <c r="E459" s="11"/>
      <c r="F459" s="11"/>
      <c r="G459" s="11"/>
      <c r="H459" s="11"/>
      <c r="I459" s="11"/>
      <c r="J459" s="11"/>
      <c r="K459" s="11"/>
      <c r="L459" s="11"/>
    </row>
    <row r="460" spans="4:12" hidden="1" x14ac:dyDescent="0.25">
      <c r="D460" s="11"/>
      <c r="E460" s="11"/>
      <c r="F460" s="11"/>
      <c r="G460" s="11"/>
      <c r="H460" s="11"/>
      <c r="I460" s="11"/>
      <c r="J460" s="11"/>
      <c r="K460" s="11"/>
      <c r="L460" s="11"/>
    </row>
    <row r="461" spans="4:12" hidden="1" x14ac:dyDescent="0.25">
      <c r="D461" s="11"/>
      <c r="E461" s="11"/>
      <c r="F461" s="11"/>
      <c r="G461" s="11"/>
      <c r="H461" s="11"/>
      <c r="I461" s="11"/>
      <c r="J461" s="11"/>
      <c r="K461" s="11"/>
      <c r="L461" s="11"/>
    </row>
    <row r="462" spans="4:12" hidden="1" x14ac:dyDescent="0.25">
      <c r="D462" s="11"/>
      <c r="E462" s="11"/>
      <c r="F462" s="11"/>
      <c r="G462" s="11"/>
      <c r="H462" s="11"/>
      <c r="I462" s="11"/>
      <c r="J462" s="11"/>
      <c r="K462" s="11"/>
      <c r="L462" s="11"/>
    </row>
    <row r="463" spans="4:12" hidden="1" x14ac:dyDescent="0.25">
      <c r="D463" s="11"/>
      <c r="E463" s="11"/>
      <c r="F463" s="11"/>
      <c r="G463" s="11"/>
      <c r="H463" s="11"/>
      <c r="I463" s="11"/>
      <c r="J463" s="11"/>
      <c r="K463" s="11"/>
      <c r="L463" s="11"/>
    </row>
    <row r="464" spans="4:12" hidden="1" x14ac:dyDescent="0.25">
      <c r="D464" s="11"/>
      <c r="E464" s="11"/>
      <c r="F464" s="11"/>
      <c r="G464" s="11"/>
      <c r="H464" s="11"/>
      <c r="I464" s="11"/>
      <c r="J464" s="11"/>
      <c r="K464" s="11"/>
      <c r="L464" s="11"/>
    </row>
    <row r="465" spans="4:12" hidden="1" x14ac:dyDescent="0.25">
      <c r="D465" s="11"/>
      <c r="E465" s="11"/>
      <c r="F465" s="11"/>
      <c r="G465" s="11"/>
      <c r="H465" s="11"/>
      <c r="I465" s="11"/>
      <c r="J465" s="11"/>
      <c r="K465" s="11"/>
      <c r="L465" s="11"/>
    </row>
    <row r="466" spans="4:12" hidden="1" x14ac:dyDescent="0.25">
      <c r="D466" s="11"/>
      <c r="E466" s="11"/>
      <c r="F466" s="11"/>
      <c r="G466" s="11"/>
      <c r="H466" s="11"/>
      <c r="I466" s="11"/>
      <c r="J466" s="11"/>
      <c r="K466" s="11"/>
      <c r="L466" s="11"/>
    </row>
    <row r="467" spans="4:12" hidden="1" x14ac:dyDescent="0.25">
      <c r="D467" s="11"/>
      <c r="E467" s="11"/>
      <c r="F467" s="11"/>
      <c r="G467" s="11"/>
      <c r="H467" s="11"/>
      <c r="I467" s="11"/>
      <c r="J467" s="11"/>
      <c r="K467" s="11"/>
      <c r="L467" s="11"/>
    </row>
    <row r="468" spans="4:12" hidden="1" x14ac:dyDescent="0.25">
      <c r="D468" s="11"/>
      <c r="E468" s="11"/>
      <c r="F468" s="11"/>
      <c r="G468" s="11"/>
      <c r="H468" s="11"/>
      <c r="I468" s="11"/>
      <c r="J468" s="11"/>
      <c r="K468" s="11"/>
      <c r="L468" s="11"/>
    </row>
    <row r="469" spans="4:12" hidden="1" x14ac:dyDescent="0.25">
      <c r="D469" s="11"/>
      <c r="E469" s="11"/>
      <c r="F469" s="11"/>
      <c r="G469" s="11"/>
      <c r="H469" s="11"/>
      <c r="I469" s="11"/>
      <c r="J469" s="11"/>
      <c r="K469" s="11"/>
      <c r="L469" s="11"/>
    </row>
    <row r="470" spans="4:12" hidden="1" x14ac:dyDescent="0.25">
      <c r="D470" s="11"/>
      <c r="E470" s="11"/>
      <c r="F470" s="11"/>
      <c r="G470" s="11"/>
      <c r="H470" s="11"/>
      <c r="I470" s="11"/>
      <c r="J470" s="11"/>
      <c r="K470" s="11"/>
      <c r="L470" s="11"/>
    </row>
    <row r="471" spans="4:12" hidden="1" x14ac:dyDescent="0.25">
      <c r="D471" s="11"/>
      <c r="E471" s="11"/>
      <c r="F471" s="11"/>
      <c r="G471" s="11"/>
      <c r="H471" s="11"/>
      <c r="I471" s="11"/>
      <c r="J471" s="11"/>
      <c r="K471" s="11"/>
      <c r="L471" s="11"/>
    </row>
    <row r="472" spans="4:12" hidden="1" x14ac:dyDescent="0.25">
      <c r="D472" s="11"/>
      <c r="E472" s="11"/>
      <c r="F472" s="11"/>
      <c r="G472" s="11"/>
      <c r="H472" s="11"/>
      <c r="I472" s="11"/>
      <c r="J472" s="11"/>
      <c r="K472" s="11"/>
      <c r="L472" s="11"/>
    </row>
    <row r="473" spans="4:12" hidden="1" x14ac:dyDescent="0.25">
      <c r="D473" s="11"/>
      <c r="E473" s="11"/>
      <c r="F473" s="11"/>
      <c r="G473" s="11"/>
      <c r="H473" s="11"/>
      <c r="I473" s="11"/>
      <c r="J473" s="11"/>
      <c r="K473" s="11"/>
      <c r="L473" s="11"/>
    </row>
    <row r="474" spans="4:12" hidden="1" x14ac:dyDescent="0.25">
      <c r="D474" s="11"/>
      <c r="E474" s="11"/>
      <c r="F474" s="11"/>
      <c r="G474" s="11"/>
      <c r="H474" s="11"/>
      <c r="I474" s="11"/>
      <c r="J474" s="11"/>
      <c r="K474" s="11"/>
      <c r="L474" s="11"/>
    </row>
    <row r="475" spans="4:12" hidden="1" x14ac:dyDescent="0.25">
      <c r="D475" s="11"/>
      <c r="E475" s="11"/>
      <c r="F475" s="11"/>
      <c r="G475" s="11"/>
      <c r="H475" s="11"/>
      <c r="I475" s="11"/>
      <c r="J475" s="11"/>
      <c r="K475" s="11"/>
      <c r="L475" s="11"/>
    </row>
    <row r="476" spans="4:12" hidden="1" x14ac:dyDescent="0.25">
      <c r="D476" s="11"/>
      <c r="E476" s="11"/>
      <c r="F476" s="11"/>
      <c r="G476" s="11"/>
      <c r="H476" s="11"/>
      <c r="I476" s="11"/>
      <c r="J476" s="11"/>
      <c r="K476" s="11"/>
      <c r="L476" s="11"/>
    </row>
    <row r="477" spans="4:12" hidden="1" x14ac:dyDescent="0.25">
      <c r="D477" s="11"/>
      <c r="E477" s="11"/>
      <c r="F477" s="11"/>
      <c r="G477" s="11"/>
      <c r="H477" s="11"/>
      <c r="I477" s="11"/>
      <c r="J477" s="11"/>
      <c r="K477" s="11"/>
      <c r="L477" s="11"/>
    </row>
    <row r="478" spans="4:12" hidden="1" x14ac:dyDescent="0.25">
      <c r="D478" s="11"/>
      <c r="E478" s="11"/>
      <c r="F478" s="11"/>
      <c r="G478" s="11"/>
      <c r="H478" s="11"/>
      <c r="I478" s="11"/>
      <c r="J478" s="11"/>
      <c r="K478" s="11"/>
      <c r="L478" s="11"/>
    </row>
    <row r="479" spans="4:12" hidden="1" x14ac:dyDescent="0.25">
      <c r="D479" s="11"/>
      <c r="E479" s="11"/>
      <c r="F479" s="11"/>
      <c r="G479" s="11"/>
      <c r="H479" s="11"/>
      <c r="I479" s="11"/>
      <c r="J479" s="11"/>
      <c r="K479" s="11"/>
      <c r="L479" s="11"/>
    </row>
    <row r="480" spans="4:12" hidden="1" x14ac:dyDescent="0.25">
      <c r="D480" s="11"/>
      <c r="E480" s="11"/>
      <c r="F480" s="11"/>
      <c r="G480" s="11"/>
      <c r="H480" s="11"/>
      <c r="I480" s="11"/>
      <c r="J480" s="11"/>
      <c r="K480" s="11"/>
      <c r="L480" s="11"/>
    </row>
    <row r="481" spans="4:12" hidden="1" x14ac:dyDescent="0.25">
      <c r="D481" s="11"/>
      <c r="E481" s="11"/>
      <c r="F481" s="11"/>
      <c r="G481" s="11"/>
      <c r="H481" s="11"/>
      <c r="I481" s="11"/>
      <c r="J481" s="11"/>
      <c r="K481" s="11"/>
      <c r="L481" s="11"/>
    </row>
    <row r="482" spans="4:12" hidden="1" x14ac:dyDescent="0.25">
      <c r="D482" s="11"/>
      <c r="E482" s="11"/>
      <c r="F482" s="11"/>
      <c r="G482" s="11"/>
      <c r="H482" s="11"/>
      <c r="I482" s="11"/>
      <c r="J482" s="11"/>
      <c r="K482" s="11"/>
      <c r="L482" s="11"/>
    </row>
    <row r="483" spans="4:12" hidden="1" x14ac:dyDescent="0.25">
      <c r="D483" s="11"/>
      <c r="E483" s="11"/>
      <c r="F483" s="11"/>
      <c r="G483" s="11"/>
      <c r="H483" s="11"/>
      <c r="I483" s="11"/>
      <c r="J483" s="11"/>
      <c r="K483" s="11"/>
      <c r="L483" s="11"/>
    </row>
    <row r="484" spans="4:12" hidden="1" x14ac:dyDescent="0.25">
      <c r="D484" s="11"/>
      <c r="E484" s="11"/>
      <c r="F484" s="11"/>
      <c r="G484" s="11"/>
      <c r="H484" s="11"/>
      <c r="I484" s="11"/>
      <c r="J484" s="11"/>
      <c r="K484" s="11"/>
      <c r="L484" s="11"/>
    </row>
    <row r="485" spans="4:12" hidden="1" x14ac:dyDescent="0.25">
      <c r="D485" s="11"/>
      <c r="E485" s="11"/>
      <c r="F485" s="11"/>
      <c r="G485" s="11"/>
      <c r="H485" s="11"/>
      <c r="I485" s="11"/>
      <c r="J485" s="11"/>
      <c r="K485" s="11"/>
      <c r="L485" s="11"/>
    </row>
    <row r="486" spans="4:12" hidden="1" x14ac:dyDescent="0.25">
      <c r="D486" s="11"/>
      <c r="E486" s="11"/>
      <c r="F486" s="11"/>
      <c r="G486" s="11"/>
      <c r="H486" s="11"/>
      <c r="I486" s="11"/>
      <c r="J486" s="11"/>
      <c r="K486" s="11"/>
      <c r="L486" s="11"/>
    </row>
    <row r="487" spans="4:12" hidden="1" x14ac:dyDescent="0.25">
      <c r="D487" s="11"/>
      <c r="E487" s="11"/>
      <c r="F487" s="11"/>
      <c r="G487" s="11"/>
      <c r="H487" s="11"/>
      <c r="I487" s="11"/>
      <c r="J487" s="11"/>
      <c r="K487" s="11"/>
      <c r="L487" s="11"/>
    </row>
    <row r="488" spans="4:12" hidden="1" x14ac:dyDescent="0.25">
      <c r="D488" s="11"/>
      <c r="E488" s="11"/>
      <c r="F488" s="11"/>
      <c r="G488" s="11"/>
      <c r="H488" s="11"/>
      <c r="I488" s="11"/>
      <c r="J488" s="11"/>
      <c r="K488" s="11"/>
      <c r="L488" s="11"/>
    </row>
    <row r="489" spans="4:12" hidden="1" x14ac:dyDescent="0.25">
      <c r="D489" s="11"/>
      <c r="E489" s="11"/>
      <c r="F489" s="11"/>
      <c r="G489" s="11"/>
      <c r="H489" s="11"/>
      <c r="I489" s="11"/>
      <c r="J489" s="11"/>
      <c r="K489" s="11"/>
      <c r="L489" s="11"/>
    </row>
    <row r="490" spans="4:12" hidden="1" x14ac:dyDescent="0.25">
      <c r="D490" s="11"/>
      <c r="E490" s="11"/>
      <c r="F490" s="11"/>
      <c r="G490" s="11"/>
      <c r="H490" s="11"/>
      <c r="I490" s="11"/>
      <c r="J490" s="11"/>
      <c r="K490" s="11"/>
      <c r="L490" s="11"/>
    </row>
    <row r="491" spans="4:12" hidden="1" x14ac:dyDescent="0.25">
      <c r="D491" s="11"/>
      <c r="E491" s="11"/>
      <c r="F491" s="11"/>
      <c r="G491" s="11"/>
      <c r="H491" s="11"/>
      <c r="I491" s="11"/>
      <c r="J491" s="11"/>
      <c r="K491" s="11"/>
      <c r="L491" s="11"/>
    </row>
    <row r="492" spans="4:12" hidden="1" x14ac:dyDescent="0.25">
      <c r="D492" s="11"/>
      <c r="E492" s="11"/>
      <c r="F492" s="11"/>
      <c r="G492" s="11"/>
      <c r="H492" s="11"/>
      <c r="I492" s="11"/>
      <c r="J492" s="11"/>
      <c r="K492" s="11"/>
      <c r="L492" s="11"/>
    </row>
    <row r="493" spans="4:12" hidden="1" x14ac:dyDescent="0.25">
      <c r="D493" s="11"/>
      <c r="E493" s="11"/>
      <c r="F493" s="11"/>
      <c r="G493" s="11"/>
      <c r="H493" s="11"/>
      <c r="I493" s="11"/>
      <c r="J493" s="11"/>
      <c r="K493" s="11"/>
      <c r="L493" s="11"/>
    </row>
    <row r="494" spans="4:12" hidden="1" x14ac:dyDescent="0.25">
      <c r="D494" s="11"/>
      <c r="E494" s="11"/>
      <c r="F494" s="11"/>
      <c r="G494" s="11"/>
      <c r="H494" s="11"/>
      <c r="I494" s="11"/>
      <c r="J494" s="11"/>
      <c r="K494" s="11"/>
      <c r="L494" s="11"/>
    </row>
    <row r="495" spans="4:12" hidden="1" x14ac:dyDescent="0.25">
      <c r="D495" s="11"/>
      <c r="E495" s="11"/>
      <c r="F495" s="11"/>
      <c r="G495" s="11"/>
      <c r="H495" s="11"/>
      <c r="I495" s="11"/>
      <c r="J495" s="11"/>
      <c r="K495" s="11"/>
      <c r="L495" s="11"/>
    </row>
    <row r="496" spans="4:12" hidden="1" x14ac:dyDescent="0.25">
      <c r="D496" s="11"/>
      <c r="E496" s="11"/>
      <c r="F496" s="11"/>
      <c r="G496" s="11"/>
      <c r="H496" s="11"/>
      <c r="I496" s="11"/>
      <c r="J496" s="11"/>
      <c r="K496" s="11"/>
      <c r="L496" s="11"/>
    </row>
    <row r="497" spans="4:12" hidden="1" x14ac:dyDescent="0.25">
      <c r="D497" s="11"/>
      <c r="E497" s="11"/>
      <c r="F497" s="11"/>
      <c r="G497" s="11"/>
      <c r="H497" s="11"/>
      <c r="I497" s="11"/>
      <c r="J497" s="11"/>
      <c r="K497" s="11"/>
      <c r="L497" s="11"/>
    </row>
    <row r="498" spans="4:12" hidden="1" x14ac:dyDescent="0.25">
      <c r="D498" s="11"/>
      <c r="E498" s="11"/>
      <c r="F498" s="11"/>
      <c r="G498" s="11"/>
      <c r="H498" s="11"/>
      <c r="I498" s="11"/>
      <c r="J498" s="11"/>
      <c r="K498" s="11"/>
      <c r="L498" s="11"/>
    </row>
    <row r="499" spans="4:12" hidden="1" x14ac:dyDescent="0.25">
      <c r="D499" s="11"/>
      <c r="E499" s="11"/>
      <c r="F499" s="11"/>
      <c r="G499" s="11"/>
      <c r="H499" s="11"/>
      <c r="I499" s="11"/>
      <c r="J499" s="11"/>
      <c r="K499" s="11"/>
      <c r="L499" s="11"/>
    </row>
    <row r="500" spans="4:12" hidden="1" x14ac:dyDescent="0.25">
      <c r="D500" s="11"/>
      <c r="E500" s="11"/>
      <c r="F500" s="11"/>
      <c r="G500" s="11"/>
      <c r="H500" s="11"/>
      <c r="I500" s="11"/>
      <c r="J500" s="11"/>
      <c r="K500" s="11"/>
      <c r="L500" s="11"/>
    </row>
    <row r="501" spans="4:12" hidden="1" x14ac:dyDescent="0.25">
      <c r="D501" s="11"/>
      <c r="E501" s="11"/>
      <c r="F501" s="11"/>
      <c r="G501" s="11"/>
      <c r="H501" s="11"/>
      <c r="I501" s="11"/>
      <c r="J501" s="11"/>
      <c r="K501" s="11"/>
      <c r="L501" s="11"/>
    </row>
    <row r="502" spans="4:12" hidden="1" x14ac:dyDescent="0.25">
      <c r="D502" s="11"/>
      <c r="E502" s="11"/>
      <c r="F502" s="11"/>
      <c r="G502" s="11"/>
      <c r="H502" s="11"/>
      <c r="I502" s="11"/>
      <c r="J502" s="11"/>
      <c r="K502" s="11"/>
      <c r="L502" s="11"/>
    </row>
    <row r="503" spans="4:12" hidden="1" x14ac:dyDescent="0.25">
      <c r="D503" s="11"/>
      <c r="E503" s="11"/>
      <c r="F503" s="11"/>
      <c r="G503" s="11"/>
      <c r="H503" s="11"/>
      <c r="I503" s="11"/>
      <c r="J503" s="11"/>
      <c r="K503" s="11"/>
      <c r="L503" s="11"/>
    </row>
    <row r="504" spans="4:12" hidden="1" x14ac:dyDescent="0.25">
      <c r="D504" s="11"/>
      <c r="E504" s="11"/>
      <c r="F504" s="11"/>
      <c r="G504" s="11"/>
      <c r="H504" s="11"/>
      <c r="I504" s="11"/>
      <c r="J504" s="11"/>
      <c r="K504" s="11"/>
      <c r="L504" s="11"/>
    </row>
    <row r="505" spans="4:12" hidden="1" x14ac:dyDescent="0.25">
      <c r="D505" s="11"/>
      <c r="E505" s="11"/>
      <c r="F505" s="11"/>
      <c r="G505" s="11"/>
      <c r="H505" s="11"/>
      <c r="I505" s="11"/>
      <c r="J505" s="11"/>
      <c r="K505" s="11"/>
      <c r="L505" s="11"/>
    </row>
    <row r="506" spans="4:12" hidden="1" x14ac:dyDescent="0.25">
      <c r="D506" s="11"/>
      <c r="E506" s="11"/>
      <c r="F506" s="11"/>
      <c r="G506" s="11"/>
      <c r="H506" s="11"/>
      <c r="I506" s="11"/>
      <c r="J506" s="11"/>
      <c r="K506" s="11"/>
      <c r="L506" s="11"/>
    </row>
    <row r="507" spans="4:12" hidden="1" x14ac:dyDescent="0.25">
      <c r="D507" s="11"/>
      <c r="E507" s="11"/>
      <c r="F507" s="11"/>
      <c r="G507" s="11"/>
      <c r="H507" s="11"/>
      <c r="I507" s="11"/>
      <c r="J507" s="11"/>
      <c r="K507" s="11"/>
      <c r="L507" s="11"/>
    </row>
    <row r="508" spans="4:12" hidden="1" x14ac:dyDescent="0.25">
      <c r="D508" s="11"/>
      <c r="E508" s="11"/>
      <c r="F508" s="11"/>
      <c r="G508" s="11"/>
      <c r="H508" s="11"/>
      <c r="I508" s="11"/>
      <c r="J508" s="11"/>
      <c r="K508" s="11"/>
      <c r="L508" s="11"/>
    </row>
    <row r="509" spans="4:12" hidden="1" x14ac:dyDescent="0.25">
      <c r="D509" s="11"/>
      <c r="E509" s="11"/>
      <c r="F509" s="11"/>
      <c r="G509" s="11"/>
      <c r="H509" s="11"/>
      <c r="I509" s="11"/>
      <c r="J509" s="11"/>
      <c r="K509" s="11"/>
      <c r="L509" s="11"/>
    </row>
    <row r="510" spans="4:12" hidden="1" x14ac:dyDescent="0.25">
      <c r="D510" s="11"/>
      <c r="E510" s="11"/>
      <c r="F510" s="11"/>
      <c r="G510" s="11"/>
      <c r="H510" s="11"/>
      <c r="I510" s="11"/>
      <c r="J510" s="11"/>
      <c r="K510" s="11"/>
      <c r="L510" s="11"/>
    </row>
    <row r="511" spans="4:12" hidden="1" x14ac:dyDescent="0.25">
      <c r="D511" s="11"/>
      <c r="E511" s="11"/>
      <c r="F511" s="11"/>
      <c r="G511" s="11"/>
      <c r="H511" s="11"/>
      <c r="I511" s="11"/>
      <c r="J511" s="11"/>
      <c r="K511" s="11"/>
      <c r="L511" s="11"/>
    </row>
    <row r="512" spans="4:12" hidden="1" x14ac:dyDescent="0.25">
      <c r="D512" s="11"/>
      <c r="E512" s="11"/>
      <c r="F512" s="11"/>
      <c r="G512" s="11"/>
      <c r="H512" s="11"/>
      <c r="I512" s="11"/>
      <c r="J512" s="11"/>
      <c r="K512" s="11"/>
      <c r="L512" s="11"/>
    </row>
    <row r="513" spans="4:12" hidden="1" x14ac:dyDescent="0.25">
      <c r="D513" s="11"/>
      <c r="E513" s="11"/>
      <c r="F513" s="11"/>
      <c r="G513" s="11"/>
      <c r="H513" s="11"/>
      <c r="I513" s="11"/>
      <c r="J513" s="11"/>
      <c r="K513" s="11"/>
      <c r="L513" s="11"/>
    </row>
    <row r="514" spans="4:12" hidden="1" x14ac:dyDescent="0.25">
      <c r="D514" s="11"/>
      <c r="E514" s="11"/>
      <c r="F514" s="11"/>
      <c r="G514" s="11"/>
      <c r="H514" s="11"/>
      <c r="I514" s="11"/>
      <c r="J514" s="11"/>
      <c r="K514" s="11"/>
      <c r="L514" s="11"/>
    </row>
    <row r="515" spans="4:12" hidden="1" x14ac:dyDescent="0.25">
      <c r="D515" s="11"/>
      <c r="E515" s="11"/>
      <c r="F515" s="11"/>
      <c r="G515" s="11"/>
      <c r="H515" s="11"/>
      <c r="I515" s="11"/>
      <c r="J515" s="11"/>
      <c r="K515" s="11"/>
      <c r="L515" s="11"/>
    </row>
    <row r="516" spans="4:12" hidden="1" x14ac:dyDescent="0.25">
      <c r="D516" s="11"/>
      <c r="E516" s="11"/>
      <c r="F516" s="11"/>
      <c r="G516" s="11"/>
      <c r="H516" s="11"/>
      <c r="I516" s="11"/>
      <c r="J516" s="11"/>
      <c r="K516" s="11"/>
      <c r="L516" s="11"/>
    </row>
    <row r="517" spans="4:12" hidden="1" x14ac:dyDescent="0.25">
      <c r="D517" s="11"/>
      <c r="E517" s="11"/>
      <c r="F517" s="11"/>
      <c r="G517" s="11"/>
      <c r="H517" s="11"/>
      <c r="I517" s="11"/>
      <c r="J517" s="11"/>
      <c r="K517" s="11"/>
      <c r="L517" s="11"/>
    </row>
    <row r="518" spans="4:12" hidden="1" x14ac:dyDescent="0.25">
      <c r="D518" s="11"/>
      <c r="E518" s="11"/>
      <c r="F518" s="11"/>
      <c r="G518" s="11"/>
      <c r="H518" s="11"/>
      <c r="I518" s="11"/>
      <c r="J518" s="11"/>
      <c r="K518" s="11"/>
      <c r="L518" s="11"/>
    </row>
    <row r="519" spans="4:12" hidden="1" x14ac:dyDescent="0.25">
      <c r="D519" s="11"/>
      <c r="E519" s="11"/>
      <c r="F519" s="11"/>
      <c r="G519" s="11"/>
      <c r="H519" s="11"/>
      <c r="I519" s="11"/>
      <c r="J519" s="11"/>
      <c r="K519" s="11"/>
      <c r="L519" s="11"/>
    </row>
    <row r="520" spans="4:12" hidden="1" x14ac:dyDescent="0.25">
      <c r="D520" s="11"/>
      <c r="E520" s="11"/>
      <c r="F520" s="11"/>
      <c r="G520" s="11"/>
      <c r="H520" s="11"/>
      <c r="I520" s="11"/>
      <c r="J520" s="11"/>
      <c r="K520" s="11"/>
      <c r="L520" s="11"/>
    </row>
    <row r="521" spans="4:12" hidden="1" x14ac:dyDescent="0.25">
      <c r="D521" s="11"/>
      <c r="E521" s="11"/>
      <c r="F521" s="11"/>
      <c r="G521" s="11"/>
      <c r="H521" s="11"/>
      <c r="I521" s="11"/>
      <c r="J521" s="11"/>
      <c r="K521" s="11"/>
      <c r="L521" s="11"/>
    </row>
    <row r="522" spans="4:12" hidden="1" x14ac:dyDescent="0.25">
      <c r="D522" s="11"/>
      <c r="E522" s="11"/>
      <c r="F522" s="11"/>
      <c r="G522" s="11"/>
      <c r="H522" s="11"/>
      <c r="I522" s="11"/>
      <c r="J522" s="11"/>
      <c r="K522" s="11"/>
      <c r="L522" s="11"/>
    </row>
    <row r="523" spans="4:12" hidden="1" x14ac:dyDescent="0.25">
      <c r="D523" s="11"/>
      <c r="E523" s="11"/>
      <c r="F523" s="11"/>
      <c r="G523" s="11"/>
      <c r="H523" s="11"/>
      <c r="I523" s="11"/>
      <c r="J523" s="11"/>
      <c r="K523" s="11"/>
      <c r="L523" s="11"/>
    </row>
    <row r="524" spans="4:12" hidden="1" x14ac:dyDescent="0.25">
      <c r="D524" s="11"/>
      <c r="E524" s="11"/>
      <c r="F524" s="11"/>
      <c r="G524" s="11"/>
      <c r="H524" s="11"/>
      <c r="I524" s="11"/>
      <c r="J524" s="11"/>
      <c r="K524" s="11"/>
      <c r="L524" s="11"/>
    </row>
    <row r="525" spans="4:12" hidden="1" x14ac:dyDescent="0.25">
      <c r="D525" s="11"/>
      <c r="E525" s="11"/>
      <c r="F525" s="11"/>
      <c r="G525" s="11"/>
      <c r="H525" s="11"/>
      <c r="I525" s="11"/>
      <c r="J525" s="11"/>
      <c r="K525" s="11"/>
      <c r="L525" s="11"/>
    </row>
    <row r="526" spans="4:12" hidden="1" x14ac:dyDescent="0.25">
      <c r="D526" s="11"/>
      <c r="E526" s="11"/>
      <c r="F526" s="11"/>
      <c r="G526" s="11"/>
      <c r="H526" s="11"/>
      <c r="I526" s="11"/>
      <c r="J526" s="11"/>
      <c r="K526" s="11"/>
      <c r="L526" s="11"/>
    </row>
    <row r="527" spans="4:12" hidden="1" x14ac:dyDescent="0.25">
      <c r="D527" s="11"/>
      <c r="E527" s="11"/>
      <c r="F527" s="11"/>
      <c r="G527" s="11"/>
      <c r="H527" s="11"/>
      <c r="I527" s="11"/>
      <c r="J527" s="11"/>
      <c r="K527" s="11"/>
      <c r="L527" s="11"/>
    </row>
    <row r="528" spans="4:12" hidden="1" x14ac:dyDescent="0.25">
      <c r="D528" s="11"/>
      <c r="E528" s="11"/>
      <c r="F528" s="11"/>
      <c r="G528" s="11"/>
      <c r="H528" s="11"/>
      <c r="I528" s="11"/>
      <c r="J528" s="11"/>
      <c r="K528" s="11"/>
      <c r="L528" s="11"/>
    </row>
    <row r="529" spans="4:12" hidden="1" x14ac:dyDescent="0.25">
      <c r="D529" s="11"/>
      <c r="E529" s="11"/>
      <c r="F529" s="11"/>
      <c r="G529" s="11"/>
      <c r="H529" s="11"/>
      <c r="I529" s="11"/>
      <c r="J529" s="11"/>
      <c r="K529" s="11"/>
      <c r="L529" s="11"/>
    </row>
    <row r="530" spans="4:12" hidden="1" x14ac:dyDescent="0.25">
      <c r="D530" s="11"/>
      <c r="E530" s="11"/>
      <c r="F530" s="11"/>
      <c r="G530" s="11"/>
      <c r="H530" s="11"/>
      <c r="I530" s="11"/>
      <c r="J530" s="11"/>
      <c r="K530" s="11"/>
      <c r="L530" s="11"/>
    </row>
    <row r="531" spans="4:12" hidden="1" x14ac:dyDescent="0.25">
      <c r="D531" s="11"/>
      <c r="E531" s="11"/>
      <c r="F531" s="11"/>
      <c r="G531" s="11"/>
      <c r="H531" s="11"/>
      <c r="I531" s="11"/>
      <c r="J531" s="11"/>
      <c r="K531" s="11"/>
      <c r="L531" s="11"/>
    </row>
    <row r="532" spans="4:12" hidden="1" x14ac:dyDescent="0.25">
      <c r="D532" s="11"/>
      <c r="E532" s="11"/>
      <c r="F532" s="11"/>
      <c r="G532" s="11"/>
      <c r="H532" s="11"/>
      <c r="I532" s="11"/>
      <c r="J532" s="11"/>
      <c r="K532" s="11"/>
      <c r="L532" s="11"/>
    </row>
    <row r="533" spans="4:12" hidden="1" x14ac:dyDescent="0.25">
      <c r="D533" s="11"/>
      <c r="E533" s="11"/>
      <c r="F533" s="11"/>
      <c r="G533" s="11"/>
      <c r="H533" s="11"/>
      <c r="I533" s="11"/>
      <c r="J533" s="11"/>
      <c r="K533" s="11"/>
      <c r="L533" s="11"/>
    </row>
    <row r="534" spans="4:12" hidden="1" x14ac:dyDescent="0.25">
      <c r="D534" s="11"/>
      <c r="E534" s="11"/>
      <c r="F534" s="11"/>
      <c r="G534" s="11"/>
      <c r="H534" s="11"/>
      <c r="I534" s="11"/>
      <c r="J534" s="11"/>
      <c r="K534" s="11"/>
      <c r="L534" s="11"/>
    </row>
    <row r="535" spans="4:12" hidden="1" x14ac:dyDescent="0.25">
      <c r="D535" s="11"/>
      <c r="E535" s="11"/>
      <c r="F535" s="11"/>
      <c r="G535" s="11"/>
      <c r="H535" s="11"/>
      <c r="I535" s="11"/>
      <c r="J535" s="11"/>
      <c r="K535" s="11"/>
      <c r="L535" s="11"/>
    </row>
    <row r="536" spans="4:12" hidden="1" x14ac:dyDescent="0.25">
      <c r="D536" s="11"/>
      <c r="E536" s="11"/>
      <c r="F536" s="11"/>
      <c r="G536" s="11"/>
      <c r="H536" s="11"/>
      <c r="I536" s="11"/>
      <c r="J536" s="11"/>
      <c r="K536" s="11"/>
      <c r="L536" s="11"/>
    </row>
    <row r="537" spans="4:12" hidden="1" x14ac:dyDescent="0.25">
      <c r="D537" s="11"/>
      <c r="E537" s="11"/>
      <c r="F537" s="11"/>
      <c r="G537" s="11"/>
      <c r="H537" s="11"/>
      <c r="I537" s="11"/>
      <c r="J537" s="11"/>
      <c r="K537" s="11"/>
      <c r="L537" s="11"/>
    </row>
    <row r="538" spans="4:12" hidden="1" x14ac:dyDescent="0.25">
      <c r="D538" s="11"/>
      <c r="E538" s="11"/>
      <c r="F538" s="11"/>
      <c r="G538" s="11"/>
      <c r="H538" s="11"/>
      <c r="I538" s="11"/>
      <c r="J538" s="11"/>
      <c r="K538" s="11"/>
      <c r="L538" s="11"/>
    </row>
    <row r="539" spans="4:12" hidden="1" x14ac:dyDescent="0.25">
      <c r="D539" s="11"/>
      <c r="E539" s="11"/>
      <c r="F539" s="11"/>
      <c r="G539" s="11"/>
      <c r="H539" s="11"/>
      <c r="I539" s="11"/>
      <c r="J539" s="11"/>
      <c r="K539" s="11"/>
      <c r="L539" s="11"/>
    </row>
    <row r="540" spans="4:12" hidden="1" x14ac:dyDescent="0.25">
      <c r="D540" s="11"/>
      <c r="E540" s="11"/>
      <c r="F540" s="11"/>
      <c r="G540" s="11"/>
      <c r="H540" s="11"/>
      <c r="I540" s="11"/>
      <c r="J540" s="11"/>
      <c r="K540" s="11"/>
      <c r="L540" s="11"/>
    </row>
    <row r="541" spans="4:12" hidden="1" x14ac:dyDescent="0.25">
      <c r="D541" s="11"/>
      <c r="E541" s="11"/>
      <c r="F541" s="11"/>
      <c r="G541" s="11"/>
      <c r="H541" s="11"/>
      <c r="I541" s="11"/>
      <c r="J541" s="11"/>
      <c r="K541" s="11"/>
      <c r="L541" s="11"/>
    </row>
    <row r="542" spans="4:12" hidden="1" x14ac:dyDescent="0.25">
      <c r="D542" s="11"/>
      <c r="E542" s="11"/>
      <c r="F542" s="11"/>
      <c r="G542" s="11"/>
      <c r="H542" s="11"/>
      <c r="I542" s="11"/>
      <c r="J542" s="11"/>
      <c r="K542" s="11"/>
      <c r="L542" s="11"/>
    </row>
    <row r="543" spans="4:12" hidden="1" x14ac:dyDescent="0.25">
      <c r="D543" s="11"/>
      <c r="E543" s="11"/>
      <c r="F543" s="11"/>
      <c r="G543" s="11"/>
      <c r="H543" s="11"/>
      <c r="I543" s="11"/>
      <c r="J543" s="11"/>
      <c r="K543" s="11"/>
      <c r="L543" s="11"/>
    </row>
    <row r="544" spans="4:12" hidden="1" x14ac:dyDescent="0.25">
      <c r="D544" s="11"/>
      <c r="E544" s="11"/>
      <c r="F544" s="11"/>
      <c r="G544" s="11"/>
      <c r="H544" s="11"/>
      <c r="I544" s="11"/>
      <c r="J544" s="11"/>
      <c r="K544" s="11"/>
      <c r="L544" s="11"/>
    </row>
    <row r="545" spans="4:12" hidden="1" x14ac:dyDescent="0.25">
      <c r="D545" s="11"/>
      <c r="E545" s="11"/>
      <c r="F545" s="11"/>
      <c r="G545" s="11"/>
      <c r="H545" s="11"/>
      <c r="I545" s="11"/>
      <c r="J545" s="11"/>
      <c r="K545" s="11"/>
      <c r="L545" s="11"/>
    </row>
    <row r="546" spans="4:12" hidden="1" x14ac:dyDescent="0.25">
      <c r="D546" s="11"/>
      <c r="E546" s="11"/>
      <c r="F546" s="11"/>
      <c r="G546" s="11"/>
      <c r="H546" s="11"/>
      <c r="I546" s="11"/>
      <c r="J546" s="11"/>
      <c r="K546" s="11"/>
      <c r="L546" s="11"/>
    </row>
    <row r="547" spans="4:12" hidden="1" x14ac:dyDescent="0.25">
      <c r="D547" s="11"/>
      <c r="E547" s="11"/>
      <c r="F547" s="11"/>
      <c r="G547" s="11"/>
      <c r="H547" s="11"/>
      <c r="I547" s="11"/>
      <c r="J547" s="11"/>
      <c r="K547" s="11"/>
      <c r="L547" s="11"/>
    </row>
    <row r="548" spans="4:12" hidden="1" x14ac:dyDescent="0.25">
      <c r="D548" s="11"/>
      <c r="E548" s="11"/>
      <c r="F548" s="11"/>
      <c r="G548" s="11"/>
      <c r="H548" s="11"/>
      <c r="I548" s="11"/>
      <c r="J548" s="11"/>
      <c r="K548" s="11"/>
      <c r="L548" s="11"/>
    </row>
    <row r="549" spans="4:12" hidden="1" x14ac:dyDescent="0.25">
      <c r="D549" s="11"/>
      <c r="E549" s="11"/>
      <c r="F549" s="11"/>
      <c r="G549" s="11"/>
      <c r="H549" s="11"/>
      <c r="I549" s="11"/>
      <c r="J549" s="11"/>
      <c r="K549" s="11"/>
      <c r="L549" s="11"/>
    </row>
    <row r="550" spans="4:12" hidden="1" x14ac:dyDescent="0.25">
      <c r="D550" s="11"/>
      <c r="E550" s="11"/>
      <c r="F550" s="11"/>
      <c r="G550" s="11"/>
      <c r="H550" s="11"/>
      <c r="I550" s="11"/>
      <c r="J550" s="11"/>
      <c r="K550" s="11"/>
      <c r="L550" s="11"/>
    </row>
    <row r="551" spans="4:12" hidden="1" x14ac:dyDescent="0.25">
      <c r="D551" s="11"/>
      <c r="E551" s="11"/>
      <c r="F551" s="11"/>
      <c r="G551" s="11"/>
      <c r="H551" s="11"/>
      <c r="I551" s="11"/>
      <c r="J551" s="11"/>
      <c r="K551" s="11"/>
      <c r="L551" s="11"/>
    </row>
    <row r="552" spans="4:12" hidden="1" x14ac:dyDescent="0.25">
      <c r="D552" s="11"/>
      <c r="E552" s="11"/>
      <c r="F552" s="11"/>
      <c r="G552" s="11"/>
      <c r="H552" s="11"/>
      <c r="I552" s="11"/>
      <c r="J552" s="11"/>
      <c r="K552" s="11"/>
      <c r="L552" s="11"/>
    </row>
    <row r="553" spans="4:12" hidden="1" x14ac:dyDescent="0.25">
      <c r="D553" s="11"/>
      <c r="E553" s="11"/>
      <c r="F553" s="11"/>
      <c r="G553" s="11"/>
      <c r="H553" s="11"/>
      <c r="I553" s="11"/>
      <c r="J553" s="11"/>
      <c r="K553" s="11"/>
      <c r="L553" s="11"/>
    </row>
    <row r="554" spans="4:12" hidden="1" x14ac:dyDescent="0.25">
      <c r="D554" s="11"/>
      <c r="E554" s="11"/>
      <c r="F554" s="11"/>
      <c r="G554" s="11"/>
      <c r="H554" s="11"/>
      <c r="I554" s="11"/>
      <c r="J554" s="11"/>
      <c r="K554" s="11"/>
      <c r="L554" s="11"/>
    </row>
    <row r="555" spans="4:12" hidden="1" x14ac:dyDescent="0.25">
      <c r="D555" s="11"/>
      <c r="E555" s="11"/>
      <c r="F555" s="11"/>
      <c r="G555" s="11"/>
      <c r="H555" s="11"/>
      <c r="I555" s="11"/>
      <c r="J555" s="11"/>
      <c r="K555" s="11"/>
      <c r="L555" s="11"/>
    </row>
    <row r="556" spans="4:12" hidden="1" x14ac:dyDescent="0.25">
      <c r="D556" s="11"/>
      <c r="E556" s="11"/>
      <c r="F556" s="11"/>
      <c r="G556" s="11"/>
      <c r="H556" s="11"/>
      <c r="I556" s="11"/>
      <c r="J556" s="11"/>
      <c r="K556" s="11"/>
      <c r="L556" s="11"/>
    </row>
    <row r="557" spans="4:12" hidden="1" x14ac:dyDescent="0.25">
      <c r="D557" s="11"/>
      <c r="E557" s="11"/>
      <c r="F557" s="11"/>
      <c r="G557" s="11"/>
      <c r="H557" s="11"/>
      <c r="I557" s="11"/>
      <c r="J557" s="11"/>
      <c r="K557" s="11"/>
      <c r="L557" s="11"/>
    </row>
    <row r="558" spans="4:12" hidden="1" x14ac:dyDescent="0.25">
      <c r="D558" s="11"/>
      <c r="E558" s="11"/>
      <c r="F558" s="11"/>
      <c r="G558" s="11"/>
      <c r="H558" s="11"/>
      <c r="I558" s="11"/>
      <c r="J558" s="11"/>
      <c r="K558" s="11"/>
      <c r="L558" s="11"/>
    </row>
    <row r="559" spans="4:12" hidden="1" x14ac:dyDescent="0.25">
      <c r="D559" s="11"/>
      <c r="E559" s="11"/>
      <c r="F559" s="11"/>
      <c r="G559" s="11"/>
      <c r="H559" s="11"/>
      <c r="I559" s="11"/>
      <c r="J559" s="11"/>
      <c r="K559" s="11"/>
      <c r="L559" s="11"/>
    </row>
    <row r="560" spans="4:12" hidden="1" x14ac:dyDescent="0.25">
      <c r="D560" s="11"/>
      <c r="E560" s="11"/>
      <c r="F560" s="11"/>
      <c r="G560" s="11"/>
      <c r="H560" s="11"/>
      <c r="I560" s="11"/>
      <c r="J560" s="11"/>
      <c r="K560" s="11"/>
      <c r="L560" s="11"/>
    </row>
    <row r="561" spans="4:12" hidden="1" x14ac:dyDescent="0.25">
      <c r="D561" s="11"/>
      <c r="E561" s="11"/>
      <c r="F561" s="11"/>
      <c r="G561" s="11"/>
      <c r="H561" s="11"/>
      <c r="I561" s="11"/>
      <c r="J561" s="11"/>
      <c r="K561" s="11"/>
      <c r="L561" s="11"/>
    </row>
    <row r="562" spans="4:12" hidden="1" x14ac:dyDescent="0.25">
      <c r="D562" s="11"/>
      <c r="E562" s="11"/>
      <c r="F562" s="11"/>
      <c r="G562" s="11"/>
      <c r="H562" s="11"/>
      <c r="I562" s="11"/>
      <c r="J562" s="11"/>
      <c r="K562" s="11"/>
      <c r="L562" s="11"/>
    </row>
    <row r="563" spans="4:12" hidden="1" x14ac:dyDescent="0.25">
      <c r="D563" s="11"/>
      <c r="E563" s="11"/>
      <c r="F563" s="11"/>
      <c r="G563" s="11"/>
      <c r="H563" s="11"/>
      <c r="I563" s="11"/>
      <c r="J563" s="11"/>
      <c r="K563" s="11"/>
      <c r="L563" s="11"/>
    </row>
    <row r="564" spans="4:12" hidden="1" x14ac:dyDescent="0.25">
      <c r="D564" s="11"/>
      <c r="E564" s="11"/>
      <c r="F564" s="11"/>
      <c r="G564" s="11"/>
      <c r="H564" s="11"/>
      <c r="I564" s="11"/>
      <c r="J564" s="11"/>
      <c r="K564" s="11"/>
      <c r="L564" s="11"/>
    </row>
    <row r="565" spans="4:12" hidden="1" x14ac:dyDescent="0.25">
      <c r="D565" s="11"/>
      <c r="E565" s="11"/>
      <c r="F565" s="11"/>
      <c r="G565" s="11"/>
      <c r="H565" s="11"/>
      <c r="I565" s="11"/>
      <c r="J565" s="11"/>
      <c r="K565" s="11"/>
      <c r="L565" s="11"/>
    </row>
    <row r="566" spans="4:12" hidden="1" x14ac:dyDescent="0.25">
      <c r="D566" s="11"/>
      <c r="E566" s="11"/>
      <c r="F566" s="11"/>
      <c r="G566" s="11"/>
      <c r="H566" s="11"/>
      <c r="I566" s="11"/>
      <c r="J566" s="11"/>
      <c r="K566" s="11"/>
      <c r="L566" s="11"/>
    </row>
    <row r="567" spans="4:12" hidden="1" x14ac:dyDescent="0.25">
      <c r="D567" s="11"/>
      <c r="E567" s="11"/>
      <c r="F567" s="11"/>
      <c r="G567" s="11"/>
      <c r="H567" s="11"/>
      <c r="I567" s="11"/>
      <c r="J567" s="11"/>
      <c r="K567" s="11"/>
      <c r="L567" s="11"/>
    </row>
    <row r="568" spans="4:12" hidden="1" x14ac:dyDescent="0.25">
      <c r="D568" s="11"/>
      <c r="E568" s="11"/>
      <c r="F568" s="11"/>
      <c r="G568" s="11"/>
      <c r="H568" s="11"/>
      <c r="I568" s="11"/>
      <c r="J568" s="11"/>
      <c r="K568" s="11"/>
      <c r="L568" s="11"/>
    </row>
    <row r="569" spans="4:12" hidden="1" x14ac:dyDescent="0.25">
      <c r="D569" s="11"/>
      <c r="E569" s="11"/>
      <c r="F569" s="11"/>
      <c r="G569" s="11"/>
      <c r="H569" s="11"/>
      <c r="I569" s="11"/>
      <c r="J569" s="11"/>
      <c r="K569" s="11"/>
      <c r="L569" s="11"/>
    </row>
    <row r="570" spans="4:12" hidden="1" x14ac:dyDescent="0.25">
      <c r="D570" s="11"/>
      <c r="E570" s="11"/>
      <c r="F570" s="11"/>
      <c r="G570" s="11"/>
      <c r="H570" s="11"/>
      <c r="I570" s="11"/>
      <c r="J570" s="11"/>
      <c r="K570" s="11"/>
      <c r="L570" s="11"/>
    </row>
    <row r="571" spans="4:12" hidden="1" x14ac:dyDescent="0.25">
      <c r="D571" s="11"/>
      <c r="E571" s="11"/>
      <c r="F571" s="11"/>
      <c r="G571" s="11"/>
      <c r="H571" s="11"/>
      <c r="I571" s="11"/>
      <c r="J571" s="11"/>
      <c r="K571" s="11"/>
      <c r="L571" s="11"/>
    </row>
    <row r="572" spans="4:12" hidden="1" x14ac:dyDescent="0.25">
      <c r="D572" s="11"/>
      <c r="E572" s="11"/>
      <c r="F572" s="11"/>
      <c r="G572" s="11"/>
      <c r="H572" s="11"/>
      <c r="I572" s="11"/>
      <c r="J572" s="11"/>
      <c r="K572" s="11"/>
      <c r="L572" s="11"/>
    </row>
    <row r="573" spans="4:12" hidden="1" x14ac:dyDescent="0.25">
      <c r="D573" s="11"/>
      <c r="E573" s="11"/>
      <c r="F573" s="11"/>
      <c r="G573" s="11"/>
      <c r="H573" s="11"/>
      <c r="I573" s="11"/>
      <c r="J573" s="11"/>
      <c r="K573" s="11"/>
      <c r="L573" s="11"/>
    </row>
    <row r="574" spans="4:12" hidden="1" x14ac:dyDescent="0.25">
      <c r="D574" s="11"/>
      <c r="E574" s="11"/>
      <c r="F574" s="11"/>
      <c r="G574" s="11"/>
      <c r="H574" s="11"/>
      <c r="I574" s="11"/>
      <c r="J574" s="11"/>
      <c r="K574" s="11"/>
      <c r="L574" s="11"/>
    </row>
    <row r="575" spans="4:12" hidden="1" x14ac:dyDescent="0.25">
      <c r="D575" s="11"/>
      <c r="E575" s="11"/>
      <c r="F575" s="11"/>
      <c r="G575" s="11"/>
      <c r="H575" s="11"/>
      <c r="I575" s="11"/>
      <c r="J575" s="11"/>
      <c r="K575" s="11"/>
      <c r="L575" s="11"/>
    </row>
    <row r="576" spans="4:12" hidden="1" x14ac:dyDescent="0.25">
      <c r="D576" s="11"/>
      <c r="E576" s="11"/>
      <c r="F576" s="11"/>
      <c r="G576" s="11"/>
      <c r="H576" s="11"/>
      <c r="I576" s="11"/>
      <c r="J576" s="11"/>
      <c r="K576" s="11"/>
      <c r="L576" s="11"/>
    </row>
    <row r="577" spans="4:12" hidden="1" x14ac:dyDescent="0.25">
      <c r="D577" s="11"/>
      <c r="E577" s="11"/>
      <c r="F577" s="11"/>
      <c r="G577" s="11"/>
      <c r="H577" s="11"/>
      <c r="I577" s="11"/>
      <c r="J577" s="11"/>
      <c r="K577" s="11"/>
      <c r="L577" s="11"/>
    </row>
    <row r="578" spans="4:12" hidden="1" x14ac:dyDescent="0.25">
      <c r="D578" s="11"/>
      <c r="E578" s="11"/>
      <c r="F578" s="11"/>
      <c r="G578" s="11"/>
      <c r="H578" s="11"/>
      <c r="I578" s="11"/>
      <c r="J578" s="11"/>
      <c r="K578" s="11"/>
      <c r="L578" s="11"/>
    </row>
    <row r="579" spans="4:12" hidden="1" x14ac:dyDescent="0.25">
      <c r="D579" s="11"/>
      <c r="E579" s="11"/>
      <c r="F579" s="11"/>
      <c r="G579" s="11"/>
      <c r="H579" s="11"/>
      <c r="I579" s="11"/>
      <c r="J579" s="11"/>
      <c r="K579" s="11"/>
      <c r="L579" s="11"/>
    </row>
    <row r="580" spans="4:12" hidden="1" x14ac:dyDescent="0.25">
      <c r="D580" s="11"/>
      <c r="E580" s="11"/>
      <c r="F580" s="11"/>
      <c r="G580" s="11"/>
      <c r="H580" s="11"/>
      <c r="I580" s="11"/>
      <c r="J580" s="11"/>
      <c r="K580" s="11"/>
      <c r="L580" s="11"/>
    </row>
    <row r="581" spans="4:12" hidden="1" x14ac:dyDescent="0.25">
      <c r="D581" s="11"/>
      <c r="E581" s="11"/>
      <c r="F581" s="11"/>
      <c r="G581" s="11"/>
      <c r="H581" s="11"/>
      <c r="I581" s="11"/>
      <c r="J581" s="11"/>
      <c r="K581" s="11"/>
      <c r="L581" s="11"/>
    </row>
    <row r="582" spans="4:12" hidden="1" x14ac:dyDescent="0.25">
      <c r="D582" s="11"/>
      <c r="E582" s="11"/>
      <c r="F582" s="11"/>
      <c r="G582" s="11"/>
      <c r="H582" s="11"/>
      <c r="I582" s="11"/>
      <c r="J582" s="11"/>
      <c r="K582" s="11"/>
      <c r="L582" s="11"/>
    </row>
    <row r="583" spans="4:12" hidden="1" x14ac:dyDescent="0.25">
      <c r="D583" s="11"/>
      <c r="E583" s="11"/>
      <c r="F583" s="11"/>
      <c r="G583" s="11"/>
      <c r="H583" s="11"/>
      <c r="I583" s="11"/>
      <c r="J583" s="11"/>
      <c r="K583" s="11"/>
      <c r="L583" s="11"/>
    </row>
    <row r="584" spans="4:12" hidden="1" x14ac:dyDescent="0.25">
      <c r="D584" s="11"/>
      <c r="E584" s="11"/>
      <c r="F584" s="11"/>
      <c r="G584" s="11"/>
      <c r="H584" s="11"/>
      <c r="I584" s="11"/>
      <c r="J584" s="11"/>
      <c r="K584" s="11"/>
      <c r="L584" s="11"/>
    </row>
    <row r="585" spans="4:12" hidden="1" x14ac:dyDescent="0.25">
      <c r="D585" s="11"/>
      <c r="E585" s="11"/>
      <c r="F585" s="11"/>
      <c r="G585" s="11"/>
      <c r="H585" s="11"/>
      <c r="I585" s="11"/>
      <c r="J585" s="11"/>
      <c r="K585" s="11"/>
      <c r="L585" s="11"/>
    </row>
    <row r="586" spans="4:12" hidden="1" x14ac:dyDescent="0.25">
      <c r="D586" s="11"/>
      <c r="E586" s="11"/>
      <c r="F586" s="11"/>
      <c r="G586" s="11"/>
      <c r="H586" s="11"/>
      <c r="I586" s="11"/>
      <c r="J586" s="11"/>
      <c r="K586" s="11"/>
      <c r="L586" s="11"/>
    </row>
    <row r="587" spans="4:12" hidden="1" x14ac:dyDescent="0.25">
      <c r="D587" s="11"/>
      <c r="E587" s="11"/>
      <c r="F587" s="11"/>
      <c r="G587" s="11"/>
      <c r="H587" s="11"/>
      <c r="I587" s="11"/>
      <c r="J587" s="11"/>
      <c r="K587" s="11"/>
      <c r="L587" s="11"/>
    </row>
    <row r="588" spans="4:12" hidden="1" x14ac:dyDescent="0.25">
      <c r="D588" s="11"/>
      <c r="E588" s="11"/>
      <c r="F588" s="11"/>
      <c r="G588" s="11"/>
      <c r="H588" s="11"/>
      <c r="I588" s="11"/>
      <c r="J588" s="11"/>
      <c r="K588" s="11"/>
      <c r="L588" s="11"/>
    </row>
    <row r="589" spans="4:12" hidden="1" x14ac:dyDescent="0.25">
      <c r="D589" s="11"/>
      <c r="E589" s="11"/>
      <c r="F589" s="11"/>
      <c r="G589" s="11"/>
      <c r="H589" s="11"/>
      <c r="I589" s="11"/>
      <c r="J589" s="11"/>
      <c r="K589" s="11"/>
      <c r="L589" s="11"/>
    </row>
    <row r="590" spans="4:12" hidden="1" x14ac:dyDescent="0.25">
      <c r="D590" s="11"/>
      <c r="E590" s="11"/>
      <c r="F590" s="11"/>
      <c r="G590" s="11"/>
      <c r="H590" s="11"/>
      <c r="I590" s="11"/>
      <c r="J590" s="11"/>
      <c r="K590" s="11"/>
      <c r="L590" s="11"/>
    </row>
    <row r="591" spans="4:12" hidden="1" x14ac:dyDescent="0.25">
      <c r="D591" s="11"/>
      <c r="E591" s="11"/>
      <c r="F591" s="11"/>
      <c r="G591" s="11"/>
      <c r="H591" s="11"/>
      <c r="I591" s="11"/>
      <c r="J591" s="11"/>
      <c r="K591" s="11"/>
      <c r="L591" s="11"/>
    </row>
    <row r="592" spans="4:12" hidden="1" x14ac:dyDescent="0.25">
      <c r="D592" s="11"/>
      <c r="E592" s="11"/>
      <c r="F592" s="11"/>
      <c r="G592" s="11"/>
      <c r="H592" s="11"/>
      <c r="I592" s="11"/>
      <c r="J592" s="11"/>
      <c r="K592" s="11"/>
      <c r="L592" s="11"/>
    </row>
    <row r="593" spans="4:12" hidden="1" x14ac:dyDescent="0.25">
      <c r="D593" s="11"/>
      <c r="E593" s="11"/>
      <c r="F593" s="11"/>
      <c r="G593" s="11"/>
      <c r="H593" s="11"/>
      <c r="I593" s="11"/>
      <c r="J593" s="11"/>
      <c r="K593" s="11"/>
      <c r="L593" s="11"/>
    </row>
    <row r="594" spans="4:12" hidden="1" x14ac:dyDescent="0.25">
      <c r="D594" s="11"/>
      <c r="E594" s="11"/>
      <c r="F594" s="11"/>
      <c r="G594" s="11"/>
      <c r="H594" s="11"/>
      <c r="I594" s="11"/>
      <c r="J594" s="11"/>
      <c r="K594" s="11"/>
      <c r="L594" s="11"/>
    </row>
    <row r="595" spans="4:12" hidden="1" x14ac:dyDescent="0.25">
      <c r="D595" s="11"/>
      <c r="E595" s="11"/>
      <c r="F595" s="11"/>
      <c r="G595" s="11"/>
      <c r="H595" s="11"/>
      <c r="I595" s="11"/>
      <c r="J595" s="11"/>
      <c r="K595" s="11"/>
      <c r="L595" s="11"/>
    </row>
    <row r="596" spans="4:12" hidden="1" x14ac:dyDescent="0.25">
      <c r="D596" s="11"/>
      <c r="E596" s="11"/>
      <c r="F596" s="11"/>
      <c r="G596" s="11"/>
      <c r="H596" s="11"/>
      <c r="I596" s="11"/>
      <c r="J596" s="11"/>
      <c r="K596" s="11"/>
      <c r="L596" s="11"/>
    </row>
    <row r="597" spans="4:12" hidden="1" x14ac:dyDescent="0.25">
      <c r="D597" s="11"/>
      <c r="E597" s="11"/>
      <c r="F597" s="11"/>
      <c r="G597" s="11"/>
      <c r="H597" s="11"/>
      <c r="I597" s="11"/>
      <c r="J597" s="11"/>
      <c r="K597" s="11"/>
      <c r="L597" s="11"/>
    </row>
    <row r="598" spans="4:12" hidden="1" x14ac:dyDescent="0.25">
      <c r="D598" s="11"/>
      <c r="E598" s="11"/>
      <c r="F598" s="11"/>
      <c r="G598" s="11"/>
      <c r="H598" s="11"/>
      <c r="I598" s="11"/>
      <c r="J598" s="11"/>
      <c r="K598" s="11"/>
      <c r="L598" s="11"/>
    </row>
    <row r="599" spans="4:12" hidden="1" x14ac:dyDescent="0.25">
      <c r="D599" s="11"/>
      <c r="E599" s="11"/>
      <c r="F599" s="11"/>
      <c r="G599" s="11"/>
      <c r="H599" s="11"/>
      <c r="I599" s="11"/>
      <c r="J599" s="11"/>
      <c r="K599" s="11"/>
      <c r="L599" s="11"/>
    </row>
    <row r="600" spans="4:12" hidden="1" x14ac:dyDescent="0.25">
      <c r="D600" s="11"/>
      <c r="E600" s="11"/>
      <c r="F600" s="11"/>
      <c r="G600" s="11"/>
      <c r="H600" s="11"/>
      <c r="I600" s="11"/>
      <c r="J600" s="11"/>
      <c r="K600" s="11"/>
      <c r="L600" s="11"/>
    </row>
    <row r="601" spans="4:12" hidden="1" x14ac:dyDescent="0.25">
      <c r="D601" s="11"/>
      <c r="E601" s="11"/>
      <c r="F601" s="11"/>
      <c r="G601" s="11"/>
      <c r="H601" s="11"/>
      <c r="I601" s="11"/>
      <c r="J601" s="11"/>
      <c r="K601" s="11"/>
      <c r="L601" s="11"/>
    </row>
    <row r="602" spans="4:12" hidden="1" x14ac:dyDescent="0.25">
      <c r="D602" s="11"/>
      <c r="E602" s="11"/>
      <c r="F602" s="11"/>
      <c r="G602" s="11"/>
      <c r="H602" s="11"/>
      <c r="I602" s="11"/>
      <c r="J602" s="11"/>
      <c r="K602" s="11"/>
      <c r="L602" s="11"/>
    </row>
    <row r="603" spans="4:12" hidden="1" x14ac:dyDescent="0.25">
      <c r="D603" s="11"/>
      <c r="E603" s="11"/>
      <c r="F603" s="11"/>
      <c r="G603" s="11"/>
      <c r="H603" s="11"/>
      <c r="I603" s="11"/>
      <c r="J603" s="11"/>
      <c r="K603" s="11"/>
      <c r="L603" s="11"/>
    </row>
    <row r="604" spans="4:12" hidden="1" x14ac:dyDescent="0.25">
      <c r="D604" s="11"/>
      <c r="E604" s="11"/>
      <c r="F604" s="11"/>
      <c r="G604" s="11"/>
      <c r="H604" s="11"/>
      <c r="I604" s="11"/>
      <c r="J604" s="11"/>
      <c r="K604" s="11"/>
      <c r="L604" s="11"/>
    </row>
    <row r="605" spans="4:12" hidden="1" x14ac:dyDescent="0.25">
      <c r="D605" s="11"/>
      <c r="E605" s="11"/>
      <c r="F605" s="11"/>
      <c r="G605" s="11"/>
      <c r="H605" s="11"/>
      <c r="I605" s="11"/>
      <c r="J605" s="11"/>
      <c r="K605" s="11"/>
      <c r="L605" s="11"/>
    </row>
    <row r="606" spans="4:12" hidden="1" x14ac:dyDescent="0.25">
      <c r="D606" s="11"/>
      <c r="E606" s="11"/>
      <c r="F606" s="11"/>
      <c r="G606" s="11"/>
      <c r="H606" s="11"/>
      <c r="I606" s="11"/>
      <c r="J606" s="11"/>
      <c r="K606" s="11"/>
      <c r="L606" s="11"/>
    </row>
    <row r="607" spans="4:12" hidden="1" x14ac:dyDescent="0.25">
      <c r="D607" s="11"/>
      <c r="E607" s="11"/>
      <c r="F607" s="11"/>
      <c r="G607" s="11"/>
      <c r="H607" s="11"/>
      <c r="I607" s="11"/>
      <c r="J607" s="11"/>
      <c r="K607" s="11"/>
      <c r="L607" s="11"/>
    </row>
    <row r="608" spans="4:12" hidden="1" x14ac:dyDescent="0.25">
      <c r="D608" s="11"/>
      <c r="E608" s="11"/>
      <c r="F608" s="11"/>
      <c r="G608" s="11"/>
      <c r="H608" s="11"/>
      <c r="I608" s="11"/>
      <c r="J608" s="11"/>
      <c r="K608" s="11"/>
      <c r="L608" s="11"/>
    </row>
    <row r="609" spans="4:12" hidden="1" x14ac:dyDescent="0.25">
      <c r="D609" s="11"/>
      <c r="E609" s="11"/>
      <c r="F609" s="11"/>
      <c r="G609" s="11"/>
      <c r="H609" s="11"/>
      <c r="I609" s="11"/>
      <c r="J609" s="11"/>
      <c r="K609" s="11"/>
      <c r="L609" s="11"/>
    </row>
    <row r="610" spans="4:12" hidden="1" x14ac:dyDescent="0.25">
      <c r="D610" s="11"/>
      <c r="E610" s="11"/>
      <c r="F610" s="11"/>
      <c r="G610" s="11"/>
      <c r="H610" s="11"/>
      <c r="I610" s="11"/>
      <c r="J610" s="11"/>
      <c r="K610" s="11"/>
      <c r="L610" s="11"/>
    </row>
    <row r="611" spans="4:12" hidden="1" x14ac:dyDescent="0.25">
      <c r="D611" s="11"/>
      <c r="E611" s="11"/>
      <c r="F611" s="11"/>
      <c r="G611" s="11"/>
      <c r="H611" s="11"/>
      <c r="I611" s="11"/>
      <c r="J611" s="11"/>
      <c r="K611" s="11"/>
      <c r="L611" s="11"/>
    </row>
    <row r="612" spans="4:12" hidden="1" x14ac:dyDescent="0.25">
      <c r="D612" s="11"/>
      <c r="E612" s="11"/>
      <c r="F612" s="11"/>
      <c r="G612" s="11"/>
      <c r="H612" s="11"/>
      <c r="I612" s="11"/>
      <c r="J612" s="11"/>
      <c r="K612" s="11"/>
      <c r="L612" s="11"/>
    </row>
    <row r="613" spans="4:12" hidden="1" x14ac:dyDescent="0.25">
      <c r="D613" s="11"/>
      <c r="E613" s="11"/>
      <c r="F613" s="11"/>
      <c r="G613" s="11"/>
      <c r="H613" s="11"/>
      <c r="I613" s="11"/>
      <c r="J613" s="11"/>
      <c r="K613" s="11"/>
      <c r="L613" s="11"/>
    </row>
    <row r="614" spans="4:12" hidden="1" x14ac:dyDescent="0.25">
      <c r="D614" s="11"/>
      <c r="E614" s="11"/>
      <c r="F614" s="11"/>
      <c r="G614" s="11"/>
      <c r="H614" s="11"/>
      <c r="I614" s="11"/>
      <c r="J614" s="11"/>
      <c r="K614" s="11"/>
      <c r="L614" s="11"/>
    </row>
    <row r="615" spans="4:12" hidden="1" x14ac:dyDescent="0.25">
      <c r="D615" s="11"/>
      <c r="E615" s="11"/>
      <c r="F615" s="11"/>
      <c r="G615" s="11"/>
      <c r="H615" s="11"/>
      <c r="I615" s="11"/>
      <c r="J615" s="11"/>
      <c r="K615" s="11"/>
      <c r="L615" s="11"/>
    </row>
    <row r="616" spans="4:12" hidden="1" x14ac:dyDescent="0.25">
      <c r="D616" s="11"/>
      <c r="E616" s="11"/>
      <c r="F616" s="11"/>
      <c r="G616" s="11"/>
      <c r="H616" s="11"/>
      <c r="I616" s="11"/>
      <c r="J616" s="11"/>
      <c r="K616" s="11"/>
      <c r="L616" s="11"/>
    </row>
    <row r="617" spans="4:12" hidden="1" x14ac:dyDescent="0.25">
      <c r="D617" s="11"/>
      <c r="E617" s="11"/>
      <c r="F617" s="11"/>
      <c r="G617" s="11"/>
      <c r="H617" s="11"/>
      <c r="I617" s="11"/>
      <c r="J617" s="11"/>
      <c r="K617" s="11"/>
      <c r="L617" s="11"/>
    </row>
    <row r="618" spans="4:12" hidden="1" x14ac:dyDescent="0.25">
      <c r="D618" s="11"/>
      <c r="E618" s="11"/>
      <c r="F618" s="11"/>
      <c r="G618" s="11"/>
      <c r="H618" s="11"/>
      <c r="I618" s="11"/>
      <c r="J618" s="11"/>
      <c r="K618" s="11"/>
      <c r="L618" s="11"/>
    </row>
    <row r="619" spans="4:12" hidden="1" x14ac:dyDescent="0.25">
      <c r="D619" s="11"/>
      <c r="E619" s="11"/>
      <c r="F619" s="11"/>
      <c r="G619" s="11"/>
      <c r="H619" s="11"/>
      <c r="I619" s="11"/>
      <c r="J619" s="11"/>
      <c r="K619" s="11"/>
      <c r="L619" s="11"/>
    </row>
    <row r="620" spans="4:12" hidden="1" x14ac:dyDescent="0.25">
      <c r="D620" s="11"/>
      <c r="E620" s="11"/>
      <c r="F620" s="11"/>
      <c r="G620" s="11"/>
      <c r="H620" s="11"/>
      <c r="I620" s="11"/>
      <c r="J620" s="11"/>
      <c r="K620" s="11"/>
      <c r="L620" s="11"/>
    </row>
    <row r="621" spans="4:12" hidden="1" x14ac:dyDescent="0.25">
      <c r="D621" s="11"/>
      <c r="E621" s="11"/>
      <c r="F621" s="11"/>
      <c r="G621" s="11"/>
      <c r="H621" s="11"/>
      <c r="I621" s="11"/>
      <c r="J621" s="11"/>
      <c r="K621" s="11"/>
      <c r="L621" s="11"/>
    </row>
    <row r="622" spans="4:12" hidden="1" x14ac:dyDescent="0.25">
      <c r="D622" s="11"/>
      <c r="E622" s="11"/>
      <c r="F622" s="11"/>
      <c r="G622" s="11"/>
      <c r="H622" s="11"/>
      <c r="I622" s="11"/>
      <c r="J622" s="11"/>
      <c r="K622" s="11"/>
      <c r="L622" s="11"/>
    </row>
    <row r="623" spans="4:12" hidden="1" x14ac:dyDescent="0.25">
      <c r="D623" s="11"/>
      <c r="E623" s="11"/>
      <c r="F623" s="11"/>
      <c r="G623" s="11"/>
      <c r="H623" s="11"/>
      <c r="I623" s="11"/>
      <c r="J623" s="11"/>
      <c r="K623" s="11"/>
      <c r="L623" s="11"/>
    </row>
    <row r="624" spans="4:12" hidden="1" x14ac:dyDescent="0.25">
      <c r="D624" s="11"/>
      <c r="E624" s="11"/>
      <c r="F624" s="11"/>
      <c r="G624" s="11"/>
      <c r="H624" s="11"/>
      <c r="I624" s="11"/>
      <c r="J624" s="11"/>
      <c r="K624" s="11"/>
      <c r="L624" s="11"/>
    </row>
    <row r="625" spans="4:12" hidden="1" x14ac:dyDescent="0.25">
      <c r="D625" s="11"/>
      <c r="E625" s="11"/>
      <c r="F625" s="11"/>
      <c r="G625" s="11"/>
      <c r="H625" s="11"/>
      <c r="I625" s="11"/>
      <c r="J625" s="11"/>
      <c r="K625" s="11"/>
      <c r="L625" s="11"/>
    </row>
    <row r="626" spans="4:12" hidden="1" x14ac:dyDescent="0.25">
      <c r="D626" s="11"/>
      <c r="E626" s="11"/>
      <c r="F626" s="11"/>
      <c r="G626" s="11"/>
      <c r="H626" s="11"/>
      <c r="I626" s="11"/>
      <c r="J626" s="11"/>
      <c r="K626" s="11"/>
      <c r="L626" s="11"/>
    </row>
    <row r="627" spans="4:12" hidden="1" x14ac:dyDescent="0.25">
      <c r="D627" s="11"/>
      <c r="E627" s="11"/>
      <c r="F627" s="11"/>
      <c r="G627" s="11"/>
      <c r="H627" s="11"/>
      <c r="I627" s="11"/>
      <c r="J627" s="11"/>
      <c r="K627" s="11"/>
      <c r="L627" s="11"/>
    </row>
    <row r="628" spans="4:12" hidden="1" x14ac:dyDescent="0.25">
      <c r="D628" s="11"/>
      <c r="E628" s="11"/>
      <c r="F628" s="11"/>
      <c r="G628" s="11"/>
      <c r="H628" s="11"/>
      <c r="I628" s="11"/>
      <c r="J628" s="11"/>
      <c r="K628" s="11"/>
      <c r="L628" s="11"/>
    </row>
    <row r="629" spans="4:12" hidden="1" x14ac:dyDescent="0.25">
      <c r="D629" s="11"/>
      <c r="E629" s="11"/>
      <c r="F629" s="11"/>
      <c r="G629" s="11"/>
      <c r="H629" s="11"/>
      <c r="I629" s="11"/>
      <c r="J629" s="11"/>
      <c r="K629" s="11"/>
      <c r="L629" s="11"/>
    </row>
    <row r="630" spans="4:12" hidden="1" x14ac:dyDescent="0.25">
      <c r="D630" s="11"/>
      <c r="E630" s="11"/>
      <c r="F630" s="11"/>
      <c r="G630" s="11"/>
      <c r="H630" s="11"/>
      <c r="I630" s="11"/>
      <c r="J630" s="11"/>
      <c r="K630" s="11"/>
      <c r="L630" s="11"/>
    </row>
    <row r="631" spans="4:12" hidden="1" x14ac:dyDescent="0.25">
      <c r="D631" s="11"/>
      <c r="E631" s="11"/>
      <c r="F631" s="11"/>
      <c r="G631" s="11"/>
      <c r="H631" s="11"/>
      <c r="I631" s="11"/>
      <c r="J631" s="11"/>
      <c r="K631" s="11"/>
      <c r="L631" s="11"/>
    </row>
    <row r="632" spans="4:12" hidden="1" x14ac:dyDescent="0.25">
      <c r="D632" s="11"/>
      <c r="E632" s="11"/>
      <c r="F632" s="11"/>
      <c r="G632" s="11"/>
      <c r="H632" s="11"/>
      <c r="I632" s="11"/>
      <c r="J632" s="11"/>
      <c r="K632" s="11"/>
      <c r="L632" s="11"/>
    </row>
    <row r="633" spans="4:12" hidden="1" x14ac:dyDescent="0.25">
      <c r="D633" s="11"/>
      <c r="E633" s="11"/>
      <c r="F633" s="11"/>
      <c r="G633" s="11"/>
      <c r="H633" s="11"/>
      <c r="I633" s="11"/>
      <c r="J633" s="11"/>
      <c r="K633" s="11"/>
      <c r="L633" s="11"/>
    </row>
    <row r="634" spans="4:12" hidden="1" x14ac:dyDescent="0.25">
      <c r="D634" s="11"/>
      <c r="E634" s="11"/>
      <c r="F634" s="11"/>
      <c r="G634" s="11"/>
      <c r="H634" s="11"/>
      <c r="I634" s="11"/>
      <c r="J634" s="11"/>
      <c r="K634" s="11"/>
      <c r="L634" s="11"/>
    </row>
    <row r="635" spans="4:12" hidden="1" x14ac:dyDescent="0.25">
      <c r="D635" s="11"/>
      <c r="E635" s="11"/>
      <c r="F635" s="11"/>
      <c r="G635" s="11"/>
      <c r="H635" s="11"/>
      <c r="I635" s="11"/>
      <c r="J635" s="11"/>
      <c r="K635" s="11"/>
      <c r="L635" s="11"/>
    </row>
    <row r="636" spans="4:12" hidden="1" x14ac:dyDescent="0.25">
      <c r="D636" s="11"/>
      <c r="E636" s="11"/>
      <c r="F636" s="11"/>
      <c r="G636" s="11"/>
      <c r="H636" s="11"/>
      <c r="I636" s="11"/>
      <c r="J636" s="11"/>
      <c r="K636" s="11"/>
      <c r="L636" s="11"/>
    </row>
    <row r="637" spans="4:12" hidden="1" x14ac:dyDescent="0.25">
      <c r="D637" s="11"/>
      <c r="E637" s="11"/>
      <c r="F637" s="11"/>
      <c r="G637" s="11"/>
      <c r="H637" s="11"/>
      <c r="I637" s="11"/>
      <c r="J637" s="11"/>
      <c r="K637" s="11"/>
      <c r="L637" s="11"/>
    </row>
    <row r="638" spans="4:12" hidden="1" x14ac:dyDescent="0.25">
      <c r="D638" s="11"/>
      <c r="E638" s="11"/>
      <c r="F638" s="11"/>
      <c r="G638" s="11"/>
      <c r="H638" s="11"/>
      <c r="I638" s="11"/>
      <c r="J638" s="11"/>
      <c r="K638" s="11"/>
      <c r="L638" s="11"/>
    </row>
    <row r="639" spans="4:12" hidden="1" x14ac:dyDescent="0.25">
      <c r="D639" s="11"/>
      <c r="E639" s="11"/>
      <c r="F639" s="11"/>
      <c r="G639" s="11"/>
      <c r="H639" s="11"/>
      <c r="I639" s="11"/>
      <c r="J639" s="11"/>
      <c r="K639" s="11"/>
      <c r="L639" s="11"/>
    </row>
    <row r="640" spans="4:12" hidden="1" x14ac:dyDescent="0.25">
      <c r="D640" s="11"/>
      <c r="E640" s="11"/>
      <c r="F640" s="11"/>
      <c r="G640" s="11"/>
      <c r="H640" s="11"/>
      <c r="I640" s="11"/>
      <c r="J640" s="11"/>
      <c r="K640" s="11"/>
      <c r="L640" s="11"/>
    </row>
    <row r="641" spans="4:12" hidden="1" x14ac:dyDescent="0.25">
      <c r="D641" s="11"/>
      <c r="E641" s="11"/>
      <c r="F641" s="11"/>
      <c r="G641" s="11"/>
      <c r="H641" s="11"/>
      <c r="I641" s="11"/>
      <c r="J641" s="11"/>
      <c r="K641" s="11"/>
      <c r="L641" s="11"/>
    </row>
    <row r="642" spans="4:12" hidden="1" x14ac:dyDescent="0.25">
      <c r="D642" s="11"/>
      <c r="E642" s="11"/>
      <c r="F642" s="11"/>
      <c r="G642" s="11"/>
      <c r="H642" s="11"/>
      <c r="I642" s="11"/>
      <c r="J642" s="11"/>
      <c r="K642" s="11"/>
      <c r="L642" s="11"/>
    </row>
    <row r="643" spans="4:12" hidden="1" x14ac:dyDescent="0.25">
      <c r="D643" s="11"/>
      <c r="E643" s="11"/>
      <c r="F643" s="11"/>
      <c r="G643" s="11"/>
      <c r="H643" s="11"/>
      <c r="I643" s="11"/>
      <c r="J643" s="11"/>
      <c r="K643" s="11"/>
      <c r="L643" s="11"/>
    </row>
    <row r="644" spans="4:12" hidden="1" x14ac:dyDescent="0.25">
      <c r="D644" s="11"/>
      <c r="E644" s="11"/>
      <c r="F644" s="11"/>
      <c r="G644" s="11"/>
      <c r="H644" s="11"/>
      <c r="I644" s="11"/>
      <c r="J644" s="11"/>
      <c r="K644" s="11"/>
      <c r="L644" s="11"/>
    </row>
    <row r="645" spans="4:12" hidden="1" x14ac:dyDescent="0.25">
      <c r="D645" s="11"/>
      <c r="E645" s="11"/>
      <c r="F645" s="11"/>
      <c r="G645" s="11"/>
      <c r="H645" s="11"/>
      <c r="I645" s="11"/>
      <c r="J645" s="11"/>
      <c r="K645" s="11"/>
      <c r="L645" s="11"/>
    </row>
    <row r="646" spans="4:12" hidden="1" x14ac:dyDescent="0.25">
      <c r="D646" s="11"/>
      <c r="E646" s="11"/>
      <c r="F646" s="11"/>
      <c r="G646" s="11"/>
      <c r="H646" s="11"/>
      <c r="I646" s="11"/>
      <c r="J646" s="11"/>
      <c r="K646" s="11"/>
      <c r="L646" s="11"/>
    </row>
    <row r="647" spans="4:12" hidden="1" x14ac:dyDescent="0.25">
      <c r="D647" s="11"/>
      <c r="E647" s="11"/>
      <c r="F647" s="11"/>
      <c r="G647" s="11"/>
      <c r="H647" s="11"/>
      <c r="I647" s="11"/>
      <c r="J647" s="11"/>
      <c r="K647" s="11"/>
      <c r="L647" s="11"/>
    </row>
    <row r="648" spans="4:12" hidden="1" x14ac:dyDescent="0.25">
      <c r="D648" s="11"/>
      <c r="E648" s="11"/>
      <c r="F648" s="11"/>
      <c r="G648" s="11"/>
      <c r="H648" s="11"/>
      <c r="I648" s="11"/>
      <c r="J648" s="11"/>
      <c r="K648" s="11"/>
      <c r="L648" s="11"/>
    </row>
    <row r="649" spans="4:12" hidden="1" x14ac:dyDescent="0.25">
      <c r="D649" s="11"/>
      <c r="E649" s="11"/>
      <c r="F649" s="11"/>
      <c r="G649" s="11"/>
      <c r="H649" s="11"/>
      <c r="I649" s="11"/>
      <c r="J649" s="11"/>
      <c r="K649" s="11"/>
      <c r="L649" s="11"/>
    </row>
    <row r="650" spans="4:12" hidden="1" x14ac:dyDescent="0.25">
      <c r="D650" s="11"/>
      <c r="E650" s="11"/>
      <c r="F650" s="11"/>
      <c r="G650" s="11"/>
      <c r="H650" s="11"/>
      <c r="I650" s="11"/>
      <c r="J650" s="11"/>
      <c r="K650" s="11"/>
      <c r="L650" s="11"/>
    </row>
    <row r="651" spans="4:12" hidden="1" x14ac:dyDescent="0.25">
      <c r="D651" s="11"/>
      <c r="E651" s="11"/>
      <c r="F651" s="11"/>
      <c r="G651" s="11"/>
      <c r="H651" s="11"/>
      <c r="I651" s="11"/>
      <c r="J651" s="11"/>
      <c r="K651" s="11"/>
      <c r="L651" s="11"/>
    </row>
    <row r="652" spans="4:12" hidden="1" x14ac:dyDescent="0.25">
      <c r="D652" s="11"/>
      <c r="E652" s="11"/>
      <c r="F652" s="11"/>
      <c r="G652" s="11"/>
      <c r="H652" s="11"/>
      <c r="I652" s="11"/>
      <c r="J652" s="11"/>
      <c r="K652" s="11"/>
      <c r="L652" s="11"/>
    </row>
    <row r="653" spans="4:12" hidden="1" x14ac:dyDescent="0.25">
      <c r="D653" s="11"/>
      <c r="E653" s="11"/>
      <c r="F653" s="11"/>
      <c r="G653" s="11"/>
      <c r="H653" s="11"/>
      <c r="I653" s="11"/>
      <c r="J653" s="11"/>
      <c r="K653" s="11"/>
      <c r="L653" s="11"/>
    </row>
    <row r="654" spans="4:12" hidden="1" x14ac:dyDescent="0.25">
      <c r="D654" s="11"/>
      <c r="E654" s="11"/>
      <c r="F654" s="11"/>
      <c r="G654" s="11"/>
      <c r="H654" s="11"/>
      <c r="I654" s="11"/>
      <c r="J654" s="11"/>
      <c r="K654" s="11"/>
      <c r="L654" s="11"/>
    </row>
    <row r="655" spans="4:12" hidden="1" x14ac:dyDescent="0.25">
      <c r="D655" s="11"/>
      <c r="E655" s="11"/>
      <c r="F655" s="11"/>
      <c r="G655" s="11"/>
      <c r="H655" s="11"/>
      <c r="I655" s="11"/>
      <c r="J655" s="11"/>
      <c r="K655" s="11"/>
      <c r="L655" s="11"/>
    </row>
    <row r="656" spans="4:12" hidden="1" x14ac:dyDescent="0.25">
      <c r="D656" s="11"/>
      <c r="E656" s="11"/>
      <c r="F656" s="11"/>
      <c r="G656" s="11"/>
      <c r="H656" s="11"/>
      <c r="I656" s="11"/>
      <c r="J656" s="11"/>
      <c r="K656" s="11"/>
      <c r="L656" s="11"/>
    </row>
    <row r="657" spans="4:12" hidden="1" x14ac:dyDescent="0.25">
      <c r="D657" s="11"/>
      <c r="E657" s="11"/>
      <c r="F657" s="11"/>
      <c r="G657" s="11"/>
      <c r="H657" s="11"/>
      <c r="I657" s="11"/>
      <c r="J657" s="11"/>
      <c r="K657" s="11"/>
      <c r="L657" s="11"/>
    </row>
    <row r="658" spans="4:12" hidden="1" x14ac:dyDescent="0.25">
      <c r="D658" s="11"/>
      <c r="E658" s="11"/>
      <c r="F658" s="11"/>
      <c r="G658" s="11"/>
      <c r="H658" s="11"/>
      <c r="I658" s="11"/>
      <c r="J658" s="11"/>
      <c r="K658" s="11"/>
      <c r="L658" s="11"/>
    </row>
    <row r="659" spans="4:12" hidden="1" x14ac:dyDescent="0.25">
      <c r="D659" s="11"/>
      <c r="E659" s="11"/>
      <c r="F659" s="11"/>
      <c r="G659" s="11"/>
      <c r="H659" s="11"/>
      <c r="I659" s="11"/>
      <c r="J659" s="11"/>
      <c r="K659" s="11"/>
      <c r="L659" s="11"/>
    </row>
    <row r="660" spans="4:12" hidden="1" x14ac:dyDescent="0.25">
      <c r="D660" s="11"/>
      <c r="E660" s="11"/>
      <c r="F660" s="11"/>
      <c r="G660" s="11"/>
      <c r="H660" s="11"/>
      <c r="I660" s="11"/>
      <c r="J660" s="11"/>
      <c r="K660" s="11"/>
      <c r="L660" s="11"/>
    </row>
    <row r="661" spans="4:12" hidden="1" x14ac:dyDescent="0.25">
      <c r="D661" s="11"/>
      <c r="E661" s="11"/>
      <c r="F661" s="11"/>
      <c r="G661" s="11"/>
      <c r="H661" s="11"/>
      <c r="I661" s="11"/>
      <c r="J661" s="11"/>
      <c r="K661" s="11"/>
      <c r="L661" s="11"/>
    </row>
    <row r="662" spans="4:12" hidden="1" x14ac:dyDescent="0.25">
      <c r="D662" s="11"/>
      <c r="E662" s="11"/>
      <c r="F662" s="11"/>
      <c r="G662" s="11"/>
      <c r="H662" s="11"/>
      <c r="I662" s="11"/>
      <c r="J662" s="11"/>
      <c r="K662" s="11"/>
      <c r="L662" s="11"/>
    </row>
    <row r="663" spans="4:12" hidden="1" x14ac:dyDescent="0.25">
      <c r="D663" s="11"/>
      <c r="E663" s="11"/>
      <c r="F663" s="11"/>
      <c r="G663" s="11"/>
      <c r="H663" s="11"/>
      <c r="I663" s="11"/>
      <c r="J663" s="11"/>
      <c r="K663" s="11"/>
      <c r="L663" s="11"/>
    </row>
    <row r="664" spans="4:12" hidden="1" x14ac:dyDescent="0.25">
      <c r="D664" s="11"/>
      <c r="E664" s="11"/>
      <c r="F664" s="11"/>
      <c r="G664" s="11"/>
      <c r="H664" s="11"/>
      <c r="I664" s="11"/>
      <c r="J664" s="11"/>
      <c r="K664" s="11"/>
      <c r="L664" s="11"/>
    </row>
    <row r="665" spans="4:12" hidden="1" x14ac:dyDescent="0.25">
      <c r="D665" s="11"/>
      <c r="E665" s="11"/>
      <c r="F665" s="11"/>
      <c r="G665" s="11"/>
      <c r="H665" s="11"/>
      <c r="I665" s="11"/>
      <c r="J665" s="11"/>
      <c r="K665" s="11"/>
      <c r="L665" s="11"/>
    </row>
    <row r="666" spans="4:12" hidden="1" x14ac:dyDescent="0.25">
      <c r="D666" s="11"/>
      <c r="E666" s="11"/>
      <c r="F666" s="11"/>
      <c r="G666" s="11"/>
      <c r="H666" s="11"/>
      <c r="I666" s="11"/>
      <c r="J666" s="11"/>
      <c r="K666" s="11"/>
      <c r="L666" s="11"/>
    </row>
    <row r="667" spans="4:12" hidden="1" x14ac:dyDescent="0.25">
      <c r="D667" s="11"/>
      <c r="E667" s="11"/>
      <c r="F667" s="11"/>
      <c r="G667" s="11"/>
      <c r="H667" s="11"/>
      <c r="I667" s="11"/>
      <c r="J667" s="11"/>
      <c r="K667" s="11"/>
      <c r="L667" s="11"/>
    </row>
    <row r="668" spans="4:12" hidden="1" x14ac:dyDescent="0.25">
      <c r="D668" s="11"/>
      <c r="E668" s="11"/>
      <c r="F668" s="11"/>
      <c r="G668" s="11"/>
      <c r="H668" s="11"/>
      <c r="I668" s="11"/>
      <c r="J668" s="11"/>
      <c r="K668" s="11"/>
      <c r="L668" s="11"/>
    </row>
    <row r="669" spans="4:12" hidden="1" x14ac:dyDescent="0.25">
      <c r="D669" s="11"/>
      <c r="E669" s="11"/>
      <c r="F669" s="11"/>
      <c r="G669" s="11"/>
      <c r="H669" s="11"/>
      <c r="I669" s="11"/>
      <c r="J669" s="11"/>
      <c r="K669" s="11"/>
      <c r="L669" s="11"/>
    </row>
    <row r="670" spans="4:12" hidden="1" x14ac:dyDescent="0.25">
      <c r="D670" s="11"/>
      <c r="E670" s="11"/>
      <c r="F670" s="11"/>
      <c r="G670" s="11"/>
      <c r="H670" s="11"/>
      <c r="I670" s="11"/>
      <c r="J670" s="11"/>
      <c r="K670" s="11"/>
      <c r="L670" s="11"/>
    </row>
    <row r="671" spans="4:12" hidden="1" x14ac:dyDescent="0.25">
      <c r="D671" s="11"/>
      <c r="E671" s="11"/>
      <c r="F671" s="11"/>
      <c r="G671" s="11"/>
      <c r="H671" s="11"/>
      <c r="I671" s="11"/>
      <c r="J671" s="11"/>
      <c r="K671" s="11"/>
      <c r="L671" s="11"/>
    </row>
    <row r="672" spans="4:12" hidden="1" x14ac:dyDescent="0.25">
      <c r="D672" s="11"/>
      <c r="E672" s="11"/>
      <c r="F672" s="11"/>
      <c r="G672" s="11"/>
      <c r="H672" s="11"/>
      <c r="I672" s="11"/>
      <c r="J672" s="11"/>
      <c r="K672" s="11"/>
      <c r="L672" s="11"/>
    </row>
    <row r="673" spans="4:12" hidden="1" x14ac:dyDescent="0.25">
      <c r="D673" s="11"/>
      <c r="E673" s="11"/>
      <c r="F673" s="11"/>
      <c r="G673" s="11"/>
      <c r="H673" s="11"/>
      <c r="I673" s="11"/>
      <c r="J673" s="11"/>
      <c r="K673" s="11"/>
      <c r="L673" s="11"/>
    </row>
    <row r="674" spans="4:12" hidden="1" x14ac:dyDescent="0.25">
      <c r="D674" s="11"/>
      <c r="E674" s="11"/>
      <c r="F674" s="11"/>
      <c r="G674" s="11"/>
      <c r="H674" s="11"/>
      <c r="I674" s="11"/>
      <c r="J674" s="11"/>
      <c r="K674" s="11"/>
      <c r="L674" s="11"/>
    </row>
    <row r="675" spans="4:12" hidden="1" x14ac:dyDescent="0.25">
      <c r="D675" s="11"/>
      <c r="E675" s="11"/>
      <c r="F675" s="11"/>
      <c r="G675" s="11"/>
      <c r="H675" s="11"/>
      <c r="I675" s="11"/>
      <c r="J675" s="11"/>
      <c r="K675" s="11"/>
      <c r="L675" s="11"/>
    </row>
    <row r="676" spans="4:12" hidden="1" x14ac:dyDescent="0.25">
      <c r="D676" s="11"/>
      <c r="E676" s="11"/>
      <c r="F676" s="11"/>
      <c r="G676" s="11"/>
      <c r="H676" s="11"/>
      <c r="I676" s="11"/>
      <c r="J676" s="11"/>
      <c r="K676" s="11"/>
      <c r="L676" s="11"/>
    </row>
    <row r="677" spans="4:12" hidden="1" x14ac:dyDescent="0.25">
      <c r="D677" s="11"/>
      <c r="E677" s="11"/>
      <c r="F677" s="11"/>
      <c r="G677" s="11"/>
      <c r="H677" s="11"/>
      <c r="I677" s="11"/>
      <c r="J677" s="11"/>
      <c r="K677" s="11"/>
      <c r="L677" s="11"/>
    </row>
    <row r="678" spans="4:12" hidden="1" x14ac:dyDescent="0.25">
      <c r="D678" s="11"/>
      <c r="E678" s="11"/>
      <c r="F678" s="11"/>
      <c r="G678" s="11"/>
      <c r="H678" s="11"/>
      <c r="I678" s="11"/>
      <c r="J678" s="11"/>
      <c r="K678" s="11"/>
      <c r="L678" s="11"/>
    </row>
    <row r="679" spans="4:12" hidden="1" x14ac:dyDescent="0.25">
      <c r="D679" s="11"/>
      <c r="E679" s="11"/>
      <c r="F679" s="11"/>
      <c r="G679" s="11"/>
      <c r="H679" s="11"/>
      <c r="I679" s="11"/>
      <c r="J679" s="11"/>
      <c r="K679" s="11"/>
      <c r="L679" s="11"/>
    </row>
    <row r="680" spans="4:12" hidden="1" x14ac:dyDescent="0.25">
      <c r="D680" s="11"/>
      <c r="E680" s="11"/>
      <c r="F680" s="11"/>
      <c r="G680" s="11"/>
      <c r="H680" s="11"/>
      <c r="I680" s="11"/>
      <c r="J680" s="11"/>
      <c r="K680" s="11"/>
      <c r="L680" s="11"/>
    </row>
    <row r="681" spans="4:12" hidden="1" x14ac:dyDescent="0.25">
      <c r="D681" s="11"/>
      <c r="E681" s="11"/>
      <c r="F681" s="11"/>
      <c r="G681" s="11"/>
      <c r="H681" s="11"/>
      <c r="I681" s="11"/>
      <c r="J681" s="11"/>
      <c r="K681" s="11"/>
      <c r="L681" s="11"/>
    </row>
    <row r="682" spans="4:12" hidden="1" x14ac:dyDescent="0.25">
      <c r="D682" s="11"/>
      <c r="E682" s="11"/>
      <c r="F682" s="11"/>
      <c r="G682" s="11"/>
      <c r="H682" s="11"/>
      <c r="I682" s="11"/>
      <c r="J682" s="11"/>
      <c r="K682" s="11"/>
      <c r="L682" s="11"/>
    </row>
    <row r="683" spans="4:12" hidden="1" x14ac:dyDescent="0.25">
      <c r="D683" s="11"/>
      <c r="E683" s="11"/>
      <c r="F683" s="11"/>
      <c r="G683" s="11"/>
      <c r="H683" s="11"/>
      <c r="I683" s="11"/>
      <c r="J683" s="11"/>
      <c r="K683" s="11"/>
      <c r="L683" s="11"/>
    </row>
    <row r="684" spans="4:12" hidden="1" x14ac:dyDescent="0.25">
      <c r="D684" s="11"/>
      <c r="E684" s="11"/>
      <c r="F684" s="11"/>
      <c r="G684" s="11"/>
      <c r="H684" s="11"/>
      <c r="I684" s="11"/>
      <c r="J684" s="11"/>
      <c r="K684" s="11"/>
      <c r="L684" s="11"/>
    </row>
    <row r="685" spans="4:12" hidden="1" x14ac:dyDescent="0.25">
      <c r="D685" s="11"/>
      <c r="E685" s="11"/>
      <c r="F685" s="11"/>
      <c r="G685" s="11"/>
      <c r="H685" s="11"/>
      <c r="I685" s="11"/>
      <c r="J685" s="11"/>
      <c r="K685" s="11"/>
      <c r="L685" s="11"/>
    </row>
    <row r="686" spans="4:12" hidden="1" x14ac:dyDescent="0.25">
      <c r="D686" s="11"/>
      <c r="E686" s="11"/>
      <c r="F686" s="11"/>
      <c r="G686" s="11"/>
      <c r="H686" s="11"/>
      <c r="I686" s="11"/>
      <c r="J686" s="11"/>
      <c r="K686" s="11"/>
      <c r="L686" s="11"/>
    </row>
    <row r="687" spans="4:12" hidden="1" x14ac:dyDescent="0.25">
      <c r="D687" s="11"/>
      <c r="E687" s="11"/>
      <c r="F687" s="11"/>
      <c r="G687" s="11"/>
      <c r="H687" s="11"/>
      <c r="I687" s="11"/>
      <c r="J687" s="11"/>
      <c r="K687" s="11"/>
      <c r="L687" s="11"/>
    </row>
    <row r="688" spans="4:12" hidden="1" x14ac:dyDescent="0.25">
      <c r="D688" s="11"/>
      <c r="E688" s="11"/>
      <c r="F688" s="11"/>
      <c r="G688" s="11"/>
      <c r="H688" s="11"/>
      <c r="I688" s="11"/>
      <c r="J688" s="11"/>
      <c r="K688" s="11"/>
      <c r="L688" s="11"/>
    </row>
    <row r="689" spans="4:12" hidden="1" x14ac:dyDescent="0.25">
      <c r="D689" s="11"/>
      <c r="E689" s="11"/>
      <c r="F689" s="11"/>
      <c r="G689" s="11"/>
      <c r="H689" s="11"/>
      <c r="I689" s="11"/>
      <c r="J689" s="11"/>
      <c r="K689" s="11"/>
      <c r="L689" s="11"/>
    </row>
    <row r="690" spans="4:12" hidden="1" x14ac:dyDescent="0.25">
      <c r="D690" s="11"/>
      <c r="E690" s="11"/>
      <c r="F690" s="11"/>
      <c r="G690" s="11"/>
      <c r="H690" s="11"/>
      <c r="I690" s="11"/>
      <c r="J690" s="11"/>
      <c r="K690" s="11"/>
      <c r="L690" s="11"/>
    </row>
    <row r="691" spans="4:12" hidden="1" x14ac:dyDescent="0.25">
      <c r="D691" s="11"/>
      <c r="E691" s="11"/>
      <c r="F691" s="11"/>
      <c r="G691" s="11"/>
      <c r="H691" s="11"/>
      <c r="I691" s="11"/>
      <c r="J691" s="11"/>
      <c r="K691" s="11"/>
      <c r="L691" s="11"/>
    </row>
    <row r="692" spans="4:12" hidden="1" x14ac:dyDescent="0.25">
      <c r="D692" s="11"/>
      <c r="E692" s="11"/>
      <c r="F692" s="11"/>
      <c r="G692" s="11"/>
      <c r="H692" s="11"/>
      <c r="I692" s="11"/>
      <c r="J692" s="11"/>
      <c r="K692" s="11"/>
      <c r="L692" s="11"/>
    </row>
    <row r="693" spans="4:12" hidden="1" x14ac:dyDescent="0.25">
      <c r="D693" s="11"/>
      <c r="E693" s="11"/>
      <c r="F693" s="11"/>
      <c r="G693" s="11"/>
      <c r="H693" s="11"/>
      <c r="I693" s="11"/>
      <c r="J693" s="11"/>
      <c r="K693" s="11"/>
      <c r="L693" s="11"/>
    </row>
    <row r="694" spans="4:12" hidden="1" x14ac:dyDescent="0.25">
      <c r="D694" s="11"/>
      <c r="E694" s="11"/>
      <c r="F694" s="11"/>
      <c r="G694" s="11"/>
      <c r="H694" s="11"/>
      <c r="I694" s="11"/>
      <c r="J694" s="11"/>
      <c r="K694" s="11"/>
      <c r="L694" s="11"/>
    </row>
    <row r="695" spans="4:12" hidden="1" x14ac:dyDescent="0.25">
      <c r="D695" s="11"/>
      <c r="E695" s="11"/>
      <c r="F695" s="11"/>
      <c r="G695" s="11"/>
      <c r="H695" s="11"/>
      <c r="I695" s="11"/>
      <c r="J695" s="11"/>
      <c r="K695" s="11"/>
      <c r="L695" s="11"/>
    </row>
    <row r="696" spans="4:12" hidden="1" x14ac:dyDescent="0.25">
      <c r="D696" s="11"/>
      <c r="E696" s="11"/>
      <c r="F696" s="11"/>
      <c r="G696" s="11"/>
      <c r="H696" s="11"/>
      <c r="I696" s="11"/>
      <c r="J696" s="11"/>
      <c r="K696" s="11"/>
      <c r="L696" s="11"/>
    </row>
    <row r="697" spans="4:12" hidden="1" x14ac:dyDescent="0.25">
      <c r="D697" s="11"/>
      <c r="E697" s="11"/>
      <c r="F697" s="11"/>
      <c r="G697" s="11"/>
      <c r="H697" s="11"/>
      <c r="I697" s="11"/>
      <c r="J697" s="11"/>
      <c r="K697" s="11"/>
      <c r="L697" s="11"/>
    </row>
    <row r="698" spans="4:12" hidden="1" x14ac:dyDescent="0.25">
      <c r="D698" s="11"/>
      <c r="E698" s="11"/>
      <c r="F698" s="11"/>
      <c r="G698" s="11"/>
      <c r="H698" s="11"/>
      <c r="I698" s="11"/>
      <c r="J698" s="11"/>
      <c r="K698" s="11"/>
      <c r="L698" s="11"/>
    </row>
    <row r="699" spans="4:12" hidden="1" x14ac:dyDescent="0.25">
      <c r="D699" s="11"/>
      <c r="E699" s="11"/>
      <c r="F699" s="11"/>
      <c r="G699" s="11"/>
      <c r="H699" s="11"/>
      <c r="I699" s="11"/>
      <c r="J699" s="11"/>
      <c r="K699" s="11"/>
      <c r="L699" s="11"/>
    </row>
    <row r="700" spans="4:12" hidden="1" x14ac:dyDescent="0.25">
      <c r="D700" s="11"/>
      <c r="E700" s="11"/>
      <c r="F700" s="11"/>
      <c r="G700" s="11"/>
      <c r="H700" s="11"/>
      <c r="I700" s="11"/>
      <c r="J700" s="11"/>
      <c r="K700" s="11"/>
      <c r="L700" s="11"/>
    </row>
    <row r="701" spans="4:12" hidden="1" x14ac:dyDescent="0.25">
      <c r="D701" s="11"/>
      <c r="E701" s="11"/>
      <c r="F701" s="11"/>
      <c r="G701" s="11"/>
      <c r="H701" s="11"/>
      <c r="I701" s="11"/>
      <c r="J701" s="11"/>
      <c r="K701" s="11"/>
      <c r="L701" s="11"/>
    </row>
    <row r="702" spans="4:12" hidden="1" x14ac:dyDescent="0.25">
      <c r="D702" s="11"/>
      <c r="E702" s="11"/>
      <c r="F702" s="11"/>
      <c r="G702" s="11"/>
      <c r="H702" s="11"/>
      <c r="I702" s="11"/>
      <c r="J702" s="11"/>
      <c r="K702" s="11"/>
      <c r="L702" s="11"/>
    </row>
    <row r="703" spans="4:12" hidden="1" x14ac:dyDescent="0.25">
      <c r="D703" s="11"/>
      <c r="E703" s="11"/>
      <c r="F703" s="11"/>
      <c r="G703" s="11"/>
      <c r="H703" s="11"/>
      <c r="I703" s="11"/>
      <c r="J703" s="11"/>
      <c r="K703" s="11"/>
      <c r="L703" s="11"/>
    </row>
    <row r="704" spans="4:12" hidden="1" x14ac:dyDescent="0.25">
      <c r="D704" s="11"/>
      <c r="E704" s="11"/>
      <c r="F704" s="11"/>
      <c r="G704" s="11"/>
      <c r="H704" s="11"/>
      <c r="I704" s="11"/>
      <c r="J704" s="11"/>
      <c r="K704" s="11"/>
      <c r="L704" s="11"/>
    </row>
    <row r="705" spans="4:12" hidden="1" x14ac:dyDescent="0.25">
      <c r="D705" s="11"/>
      <c r="E705" s="11"/>
      <c r="F705" s="11"/>
      <c r="G705" s="11"/>
      <c r="H705" s="11"/>
      <c r="I705" s="11"/>
      <c r="J705" s="11"/>
      <c r="K705" s="11"/>
      <c r="L705" s="11"/>
    </row>
    <row r="706" spans="4:12" hidden="1" x14ac:dyDescent="0.25">
      <c r="D706" s="11"/>
      <c r="E706" s="11"/>
      <c r="F706" s="11"/>
      <c r="G706" s="11"/>
      <c r="H706" s="11"/>
      <c r="I706" s="11"/>
      <c r="J706" s="11"/>
      <c r="K706" s="11"/>
      <c r="L706" s="11"/>
    </row>
    <row r="707" spans="4:12" hidden="1" x14ac:dyDescent="0.25">
      <c r="D707" s="11"/>
      <c r="E707" s="11"/>
      <c r="F707" s="11"/>
      <c r="G707" s="11"/>
      <c r="H707" s="11"/>
      <c r="I707" s="11"/>
      <c r="J707" s="11"/>
      <c r="K707" s="11"/>
      <c r="L707" s="11"/>
    </row>
    <row r="708" spans="4:12" hidden="1" x14ac:dyDescent="0.25">
      <c r="D708" s="11"/>
      <c r="E708" s="11"/>
      <c r="F708" s="11"/>
      <c r="G708" s="11"/>
      <c r="H708" s="11"/>
      <c r="I708" s="11"/>
      <c r="J708" s="11"/>
      <c r="K708" s="11"/>
      <c r="L708" s="11"/>
    </row>
    <row r="709" spans="4:12" hidden="1" x14ac:dyDescent="0.25">
      <c r="D709" s="11"/>
      <c r="E709" s="11"/>
      <c r="F709" s="11"/>
      <c r="G709" s="11"/>
      <c r="H709" s="11"/>
      <c r="I709" s="11"/>
      <c r="J709" s="11"/>
      <c r="K709" s="11"/>
      <c r="L709" s="11"/>
    </row>
    <row r="710" spans="4:12" hidden="1" x14ac:dyDescent="0.25">
      <c r="D710" s="11"/>
      <c r="E710" s="11"/>
      <c r="F710" s="11"/>
      <c r="G710" s="11"/>
      <c r="H710" s="11"/>
      <c r="I710" s="11"/>
      <c r="J710" s="11"/>
      <c r="K710" s="11"/>
      <c r="L710" s="11"/>
    </row>
    <row r="711" spans="4:12" hidden="1" x14ac:dyDescent="0.25">
      <c r="D711" s="11"/>
      <c r="E711" s="11"/>
      <c r="F711" s="11"/>
      <c r="G711" s="11"/>
      <c r="H711" s="11"/>
      <c r="I711" s="11"/>
      <c r="J711" s="11"/>
      <c r="K711" s="11"/>
      <c r="L711" s="11"/>
    </row>
    <row r="712" spans="4:12" hidden="1" x14ac:dyDescent="0.25">
      <c r="D712" s="11"/>
      <c r="E712" s="11"/>
      <c r="F712" s="11"/>
      <c r="G712" s="11"/>
      <c r="H712" s="11"/>
      <c r="I712" s="11"/>
      <c r="J712" s="11"/>
      <c r="K712" s="11"/>
      <c r="L712" s="11"/>
    </row>
    <row r="713" spans="4:12" hidden="1" x14ac:dyDescent="0.25">
      <c r="D713" s="11"/>
      <c r="E713" s="11"/>
      <c r="F713" s="11"/>
      <c r="G713" s="11"/>
      <c r="H713" s="11"/>
      <c r="I713" s="11"/>
      <c r="J713" s="11"/>
      <c r="K713" s="11"/>
      <c r="L713" s="11"/>
    </row>
    <row r="714" spans="4:12" hidden="1" x14ac:dyDescent="0.25">
      <c r="D714" s="11"/>
      <c r="E714" s="11"/>
      <c r="F714" s="11"/>
      <c r="G714" s="11"/>
      <c r="H714" s="11"/>
      <c r="I714" s="11"/>
      <c r="J714" s="11"/>
      <c r="K714" s="11"/>
      <c r="L714" s="11"/>
    </row>
    <row r="715" spans="4:12" hidden="1" x14ac:dyDescent="0.25">
      <c r="D715" s="11"/>
      <c r="E715" s="11"/>
      <c r="F715" s="11"/>
      <c r="G715" s="11"/>
      <c r="H715" s="11"/>
      <c r="I715" s="11"/>
      <c r="J715" s="11"/>
      <c r="K715" s="11"/>
      <c r="L715" s="11"/>
    </row>
    <row r="716" spans="4:12" hidden="1" x14ac:dyDescent="0.25">
      <c r="D716" s="11"/>
      <c r="E716" s="11"/>
      <c r="F716" s="11"/>
      <c r="G716" s="11"/>
      <c r="H716" s="11"/>
      <c r="I716" s="11"/>
      <c r="J716" s="11"/>
      <c r="K716" s="11"/>
      <c r="L716" s="11"/>
    </row>
    <row r="717" spans="4:12" hidden="1" x14ac:dyDescent="0.25">
      <c r="D717" s="11"/>
      <c r="E717" s="11"/>
      <c r="F717" s="11"/>
      <c r="G717" s="11"/>
      <c r="H717" s="11"/>
      <c r="I717" s="11"/>
      <c r="J717" s="11"/>
      <c r="K717" s="11"/>
      <c r="L717" s="11"/>
    </row>
    <row r="718" spans="4:12" hidden="1" x14ac:dyDescent="0.25">
      <c r="D718" s="11"/>
      <c r="E718" s="11"/>
      <c r="F718" s="11"/>
      <c r="G718" s="11"/>
      <c r="H718" s="11"/>
      <c r="I718" s="11"/>
      <c r="J718" s="11"/>
      <c r="K718" s="11"/>
      <c r="L718" s="11"/>
    </row>
    <row r="719" spans="4:12" hidden="1" x14ac:dyDescent="0.25">
      <c r="D719" s="11"/>
      <c r="E719" s="11"/>
      <c r="F719" s="11"/>
      <c r="G719" s="11"/>
      <c r="H719" s="11"/>
      <c r="I719" s="11"/>
      <c r="J719" s="11"/>
      <c r="K719" s="11"/>
      <c r="L719" s="11"/>
    </row>
    <row r="720" spans="4:12" hidden="1" x14ac:dyDescent="0.25">
      <c r="D720" s="11"/>
      <c r="E720" s="11"/>
      <c r="F720" s="11"/>
      <c r="G720" s="11"/>
      <c r="H720" s="11"/>
      <c r="I720" s="11"/>
      <c r="J720" s="11"/>
      <c r="K720" s="11"/>
      <c r="L720" s="11"/>
    </row>
    <row r="721" spans="4:12" hidden="1" x14ac:dyDescent="0.25">
      <c r="D721" s="11"/>
      <c r="E721" s="11"/>
      <c r="F721" s="11"/>
      <c r="G721" s="11"/>
      <c r="H721" s="11"/>
      <c r="I721" s="11"/>
      <c r="J721" s="11"/>
      <c r="K721" s="11"/>
      <c r="L721" s="11"/>
    </row>
    <row r="722" spans="4:12" hidden="1" x14ac:dyDescent="0.25">
      <c r="D722" s="11"/>
      <c r="E722" s="11"/>
      <c r="F722" s="11"/>
      <c r="G722" s="11"/>
      <c r="H722" s="11"/>
      <c r="I722" s="11"/>
      <c r="J722" s="11"/>
      <c r="K722" s="11"/>
      <c r="L722" s="11"/>
    </row>
    <row r="723" spans="4:12" hidden="1" x14ac:dyDescent="0.25">
      <c r="D723" s="11"/>
      <c r="E723" s="11"/>
      <c r="F723" s="11"/>
      <c r="G723" s="11"/>
      <c r="H723" s="11"/>
      <c r="I723" s="11"/>
      <c r="J723" s="11"/>
      <c r="K723" s="11"/>
      <c r="L723" s="11"/>
    </row>
    <row r="724" spans="4:12" hidden="1" x14ac:dyDescent="0.25">
      <c r="D724" s="11"/>
      <c r="E724" s="11"/>
      <c r="F724" s="11"/>
      <c r="G724" s="11"/>
      <c r="H724" s="11"/>
      <c r="I724" s="11"/>
      <c r="J724" s="11"/>
      <c r="K724" s="11"/>
      <c r="L724" s="11"/>
    </row>
    <row r="725" spans="4:12" hidden="1" x14ac:dyDescent="0.25">
      <c r="D725" s="11"/>
      <c r="E725" s="11"/>
      <c r="F725" s="11"/>
      <c r="G725" s="11"/>
      <c r="H725" s="11"/>
      <c r="I725" s="11"/>
      <c r="J725" s="11"/>
      <c r="K725" s="11"/>
      <c r="L725" s="11"/>
    </row>
    <row r="726" spans="4:12" hidden="1" x14ac:dyDescent="0.25">
      <c r="D726" s="11"/>
      <c r="E726" s="11"/>
      <c r="F726" s="11"/>
      <c r="G726" s="11"/>
      <c r="H726" s="11"/>
      <c r="I726" s="11"/>
      <c r="J726" s="11"/>
      <c r="K726" s="11"/>
      <c r="L726" s="11"/>
    </row>
    <row r="727" spans="4:12" hidden="1" x14ac:dyDescent="0.25">
      <c r="D727" s="11"/>
      <c r="E727" s="11"/>
      <c r="F727" s="11"/>
      <c r="G727" s="11"/>
      <c r="H727" s="11"/>
      <c r="I727" s="11"/>
      <c r="J727" s="11"/>
      <c r="K727" s="11"/>
      <c r="L727" s="11"/>
    </row>
    <row r="728" spans="4:12" hidden="1" x14ac:dyDescent="0.25">
      <c r="D728" s="11"/>
      <c r="E728" s="11"/>
      <c r="F728" s="11"/>
      <c r="G728" s="11"/>
      <c r="H728" s="11"/>
      <c r="I728" s="11"/>
      <c r="J728" s="11"/>
      <c r="K728" s="11"/>
      <c r="L728" s="11"/>
    </row>
    <row r="729" spans="4:12" hidden="1" x14ac:dyDescent="0.25">
      <c r="D729" s="11"/>
      <c r="E729" s="11"/>
      <c r="F729" s="11"/>
      <c r="G729" s="11"/>
      <c r="H729" s="11"/>
      <c r="I729" s="11"/>
      <c r="J729" s="11"/>
      <c r="K729" s="11"/>
      <c r="L729" s="11"/>
    </row>
    <row r="730" spans="4:12" hidden="1" x14ac:dyDescent="0.25">
      <c r="D730" s="11"/>
      <c r="E730" s="11"/>
      <c r="F730" s="11"/>
      <c r="G730" s="11"/>
      <c r="H730" s="11"/>
      <c r="I730" s="11"/>
      <c r="J730" s="11"/>
      <c r="K730" s="11"/>
      <c r="L730" s="11"/>
    </row>
    <row r="731" spans="4:12" hidden="1" x14ac:dyDescent="0.25">
      <c r="D731" s="11"/>
      <c r="E731" s="11"/>
      <c r="F731" s="11"/>
      <c r="G731" s="11"/>
      <c r="H731" s="11"/>
      <c r="I731" s="11"/>
      <c r="J731" s="11"/>
      <c r="K731" s="11"/>
      <c r="L731" s="11"/>
    </row>
    <row r="732" spans="4:12" hidden="1" x14ac:dyDescent="0.25">
      <c r="D732" s="11"/>
      <c r="E732" s="11"/>
      <c r="F732" s="11"/>
      <c r="G732" s="11"/>
      <c r="H732" s="11"/>
      <c r="I732" s="11"/>
      <c r="J732" s="11"/>
      <c r="K732" s="11"/>
      <c r="L732" s="11"/>
    </row>
    <row r="733" spans="4:12" hidden="1" x14ac:dyDescent="0.25">
      <c r="D733" s="11"/>
      <c r="E733" s="11"/>
      <c r="F733" s="11"/>
      <c r="G733" s="11"/>
      <c r="H733" s="11"/>
      <c r="I733" s="11"/>
      <c r="J733" s="11"/>
      <c r="K733" s="11"/>
      <c r="L733" s="11"/>
    </row>
    <row r="734" spans="4:12" hidden="1" x14ac:dyDescent="0.25">
      <c r="D734" s="11"/>
      <c r="E734" s="11"/>
      <c r="F734" s="11"/>
      <c r="G734" s="11"/>
      <c r="H734" s="11"/>
      <c r="I734" s="11"/>
      <c r="J734" s="11"/>
      <c r="K734" s="11"/>
      <c r="L734" s="11"/>
    </row>
    <row r="735" spans="4:12" hidden="1" x14ac:dyDescent="0.25">
      <c r="D735" s="11"/>
      <c r="E735" s="11"/>
      <c r="F735" s="11"/>
      <c r="G735" s="11"/>
      <c r="H735" s="11"/>
      <c r="I735" s="11"/>
      <c r="J735" s="11"/>
      <c r="K735" s="11"/>
      <c r="L735" s="11"/>
    </row>
    <row r="736" spans="4:12" hidden="1" x14ac:dyDescent="0.25">
      <c r="D736" s="11"/>
      <c r="E736" s="11"/>
      <c r="F736" s="11"/>
      <c r="G736" s="11"/>
      <c r="H736" s="11"/>
      <c r="I736" s="11"/>
      <c r="J736" s="11"/>
      <c r="K736" s="11"/>
      <c r="L736" s="11"/>
    </row>
    <row r="737" spans="4:12" hidden="1" x14ac:dyDescent="0.25">
      <c r="D737" s="11"/>
      <c r="E737" s="11"/>
      <c r="F737" s="11"/>
      <c r="G737" s="11"/>
      <c r="H737" s="11"/>
      <c r="I737" s="11"/>
      <c r="J737" s="11"/>
      <c r="K737" s="11"/>
      <c r="L737" s="11"/>
    </row>
    <row r="738" spans="4:12" hidden="1" x14ac:dyDescent="0.25">
      <c r="D738" s="11"/>
      <c r="E738" s="11"/>
      <c r="F738" s="11"/>
      <c r="G738" s="11"/>
      <c r="H738" s="11"/>
      <c r="I738" s="11"/>
      <c r="J738" s="11"/>
      <c r="K738" s="11"/>
      <c r="L738" s="11"/>
    </row>
    <row r="739" spans="4:12" hidden="1" x14ac:dyDescent="0.25">
      <c r="D739" s="11"/>
      <c r="E739" s="11"/>
      <c r="F739" s="11"/>
      <c r="G739" s="11"/>
      <c r="H739" s="11"/>
      <c r="I739" s="11"/>
      <c r="J739" s="11"/>
      <c r="K739" s="11"/>
      <c r="L739" s="11"/>
    </row>
    <row r="740" spans="4:12" hidden="1" x14ac:dyDescent="0.25">
      <c r="D740" s="11"/>
      <c r="E740" s="11"/>
      <c r="F740" s="11"/>
      <c r="G740" s="11"/>
      <c r="H740" s="11"/>
      <c r="I740" s="11"/>
      <c r="J740" s="11"/>
      <c r="K740" s="11"/>
      <c r="L740" s="11"/>
    </row>
    <row r="741" spans="4:12" hidden="1" x14ac:dyDescent="0.25">
      <c r="D741" s="11"/>
      <c r="E741" s="11"/>
      <c r="F741" s="11"/>
      <c r="G741" s="11"/>
      <c r="H741" s="11"/>
      <c r="I741" s="11"/>
      <c r="J741" s="11"/>
      <c r="K741" s="11"/>
      <c r="L741" s="11"/>
    </row>
    <row r="742" spans="4:12" hidden="1" x14ac:dyDescent="0.25">
      <c r="D742" s="11"/>
      <c r="E742" s="11"/>
      <c r="F742" s="11"/>
      <c r="G742" s="11"/>
      <c r="H742" s="11"/>
      <c r="I742" s="11"/>
      <c r="J742" s="11"/>
      <c r="K742" s="11"/>
      <c r="L742" s="11"/>
    </row>
    <row r="743" spans="4:12" hidden="1" x14ac:dyDescent="0.25">
      <c r="D743" s="11"/>
      <c r="E743" s="11"/>
      <c r="F743" s="11"/>
      <c r="G743" s="11"/>
      <c r="H743" s="11"/>
      <c r="I743" s="11"/>
      <c r="J743" s="11"/>
      <c r="K743" s="11"/>
      <c r="L743" s="11"/>
    </row>
    <row r="744" spans="4:12" hidden="1" x14ac:dyDescent="0.25">
      <c r="D744" s="11"/>
      <c r="E744" s="11"/>
      <c r="F744" s="11"/>
      <c r="G744" s="11"/>
      <c r="H744" s="11"/>
      <c r="I744" s="11"/>
      <c r="J744" s="11"/>
      <c r="K744" s="11"/>
      <c r="L744" s="11"/>
    </row>
    <row r="745" spans="4:12" hidden="1" x14ac:dyDescent="0.25">
      <c r="D745" s="11"/>
      <c r="E745" s="11"/>
      <c r="F745" s="11"/>
      <c r="G745" s="11"/>
      <c r="H745" s="11"/>
      <c r="I745" s="11"/>
      <c r="J745" s="11"/>
      <c r="K745" s="11"/>
      <c r="L745" s="11"/>
    </row>
    <row r="746" spans="4:12" hidden="1" x14ac:dyDescent="0.25">
      <c r="D746" s="11"/>
      <c r="E746" s="11"/>
      <c r="F746" s="11"/>
      <c r="G746" s="11"/>
      <c r="H746" s="11"/>
      <c r="I746" s="11"/>
      <c r="J746" s="11"/>
      <c r="K746" s="11"/>
      <c r="L746" s="11"/>
    </row>
    <row r="747" spans="4:12" hidden="1" x14ac:dyDescent="0.25">
      <c r="D747" s="11"/>
      <c r="E747" s="11"/>
      <c r="F747" s="11"/>
      <c r="G747" s="11"/>
      <c r="H747" s="11"/>
      <c r="I747" s="11"/>
      <c r="J747" s="11"/>
      <c r="K747" s="11"/>
      <c r="L747" s="11"/>
    </row>
    <row r="748" spans="4:12" hidden="1" x14ac:dyDescent="0.25">
      <c r="D748" s="11"/>
      <c r="E748" s="11"/>
      <c r="F748" s="11"/>
      <c r="G748" s="11"/>
      <c r="H748" s="11"/>
      <c r="I748" s="11"/>
      <c r="J748" s="11"/>
      <c r="K748" s="11"/>
      <c r="L748" s="11"/>
    </row>
    <row r="749" spans="4:12" hidden="1" x14ac:dyDescent="0.25">
      <c r="D749" s="11"/>
      <c r="E749" s="11"/>
      <c r="F749" s="11"/>
      <c r="G749" s="11"/>
      <c r="H749" s="11"/>
      <c r="I749" s="11"/>
      <c r="J749" s="11"/>
      <c r="K749" s="11"/>
      <c r="L749" s="11"/>
    </row>
    <row r="750" spans="4:12" hidden="1" x14ac:dyDescent="0.25">
      <c r="D750" s="11"/>
      <c r="E750" s="11"/>
      <c r="F750" s="11"/>
      <c r="G750" s="11"/>
      <c r="H750" s="11"/>
      <c r="I750" s="11"/>
      <c r="J750" s="11"/>
      <c r="K750" s="11"/>
      <c r="L750" s="11"/>
    </row>
    <row r="751" spans="4:12" hidden="1" x14ac:dyDescent="0.25">
      <c r="D751" s="11"/>
      <c r="E751" s="11"/>
      <c r="F751" s="11"/>
      <c r="G751" s="11"/>
      <c r="H751" s="11"/>
      <c r="I751" s="11"/>
      <c r="J751" s="11"/>
      <c r="K751" s="11"/>
      <c r="L751" s="11"/>
    </row>
    <row r="752" spans="4:12" hidden="1" x14ac:dyDescent="0.25">
      <c r="D752" s="11"/>
      <c r="E752" s="11"/>
      <c r="F752" s="11"/>
      <c r="G752" s="11"/>
      <c r="H752" s="11"/>
      <c r="I752" s="11"/>
      <c r="J752" s="11"/>
      <c r="K752" s="11"/>
      <c r="L752" s="11"/>
    </row>
    <row r="753" spans="4:12" hidden="1" x14ac:dyDescent="0.25">
      <c r="D753" s="11"/>
      <c r="E753" s="11"/>
      <c r="F753" s="11"/>
      <c r="G753" s="11"/>
      <c r="H753" s="11"/>
      <c r="I753" s="11"/>
      <c r="J753" s="11"/>
      <c r="K753" s="11"/>
      <c r="L753" s="11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H277 H284:H1048576">
    <cfRule type="cellIs" dxfId="19" priority="1" operator="lessThan">
      <formula>-0.1</formula>
    </cfRule>
    <cfRule type="cellIs" dxfId="18" priority="2" operator="greaterThan">
      <formula>0.1</formula>
    </cfRule>
  </conditionalFormatting>
  <conditionalFormatting sqref="K277 K284:K1048576">
    <cfRule type="cellIs" dxfId="17" priority="3" operator="lessThan">
      <formula>-0.1</formula>
    </cfRule>
    <cfRule type="cellIs" dxfId="16" priority="4" operator="greaterThan">
      <formula>0.1</formula>
    </cfRule>
  </conditionalFormatting>
  <pageMargins left="0.2" right="0.2" top="0.75" bottom="0.5" header="0.3" footer="0.3"/>
  <pageSetup paperSize="3" scale="88" fitToHeight="0" orientation="landscape" r:id="rId1"/>
  <headerFooter>
    <oddHeader>&amp;C&amp;"-,Bold"&amp;14FY26 OPERATING BUDGET - PARKING ENFORCEMENT - FIRST DRAFT - 12.11.24</oddHeader>
    <oddFooter>&amp;R&amp;P of &amp;N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649374-1C3F-4504-A54A-0581724204D4}">
  <sheetPr>
    <pageSetUpPr fitToPage="1"/>
  </sheetPr>
  <dimension ref="A1:M753"/>
  <sheetViews>
    <sheetView workbookViewId="0"/>
  </sheetViews>
  <sheetFormatPr defaultRowHeight="15" x14ac:dyDescent="0.25"/>
  <cols>
    <col min="1" max="1" width="22" style="4" bestFit="1" customWidth="1"/>
    <col min="2" max="2" width="70.42578125" style="4" bestFit="1" customWidth="1"/>
    <col min="3" max="3" width="14.5703125" style="4" bestFit="1" customWidth="1"/>
    <col min="4" max="7" width="14.5703125" style="4" customWidth="1"/>
    <col min="8" max="8" width="2.7109375" style="4" customWidth="1"/>
    <col min="9" max="9" width="16.42578125" style="4" bestFit="1" customWidth="1"/>
    <col min="10" max="10" width="20" style="4" customWidth="1"/>
    <col min="11" max="11" width="2.7109375" style="4" customWidth="1"/>
    <col min="12" max="12" width="16.42578125" style="37" bestFit="1" customWidth="1"/>
    <col min="13" max="13" width="17.42578125" style="38" customWidth="1"/>
  </cols>
  <sheetData>
    <row r="1" spans="1:13" x14ac:dyDescent="0.25">
      <c r="A1" s="1" t="s">
        <v>0</v>
      </c>
      <c r="B1" s="2" t="s">
        <v>1</v>
      </c>
      <c r="C1" s="52" t="s">
        <v>327</v>
      </c>
      <c r="D1" s="52" t="s">
        <v>328</v>
      </c>
      <c r="E1" s="52" t="s">
        <v>329</v>
      </c>
      <c r="F1" s="52" t="s">
        <v>330</v>
      </c>
      <c r="G1" s="52" t="s">
        <v>331</v>
      </c>
      <c r="H1" s="3"/>
      <c r="I1" s="52" t="s">
        <v>2</v>
      </c>
      <c r="J1" s="52" t="s">
        <v>332</v>
      </c>
      <c r="K1" s="3"/>
      <c r="L1" s="55" t="s">
        <v>3</v>
      </c>
      <c r="M1" s="54" t="s">
        <v>333</v>
      </c>
    </row>
    <row r="2" spans="1:13" x14ac:dyDescent="0.25">
      <c r="A2" s="5"/>
      <c r="B2" s="6"/>
      <c r="C2" s="52"/>
      <c r="D2" s="52"/>
      <c r="E2" s="52"/>
      <c r="F2" s="52"/>
      <c r="G2" s="52"/>
      <c r="H2" s="3"/>
      <c r="I2" s="52"/>
      <c r="J2" s="52"/>
      <c r="K2" s="3"/>
      <c r="L2" s="55"/>
      <c r="M2" s="54"/>
    </row>
    <row r="3" spans="1:13" hidden="1" x14ac:dyDescent="0.25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3" hidden="1" x14ac:dyDescent="0.25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3" hidden="1" x14ac:dyDescent="0.25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3" hidden="1" x14ac:dyDescent="0.25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450000</v>
      </c>
      <c r="M6" s="38">
        <f>+L6/J6</f>
        <v>0.6428571428571429</v>
      </c>
    </row>
    <row r="7" spans="1:13" hidden="1" x14ac:dyDescent="0.25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800000</v>
      </c>
      <c r="M7" s="38">
        <f>+L7/J7</f>
        <v>0.96969696969696972</v>
      </c>
    </row>
    <row r="8" spans="1:13" hidden="1" x14ac:dyDescent="0.25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>+L8/J8</f>
        <v>1</v>
      </c>
    </row>
    <row r="9" spans="1:13" hidden="1" x14ac:dyDescent="0.25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>+L9/J9</f>
        <v>1</v>
      </c>
    </row>
    <row r="10" spans="1:13" hidden="1" x14ac:dyDescent="0.25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>+L10/J10</f>
        <v>1</v>
      </c>
    </row>
    <row r="11" spans="1:13" hidden="1" x14ac:dyDescent="0.25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3" hidden="1" x14ac:dyDescent="0.25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1860000</v>
      </c>
      <c r="M12" s="38">
        <f>+L12/J12</f>
        <v>0.87119437939110067</v>
      </c>
    </row>
    <row r="13" spans="1:13" hidden="1" x14ac:dyDescent="0.25">
      <c r="D13" s="11"/>
      <c r="E13" s="11"/>
      <c r="F13" s="11"/>
      <c r="G13" s="11"/>
      <c r="H13" s="3"/>
      <c r="I13" s="11"/>
      <c r="J13" s="11"/>
      <c r="K13" s="3"/>
      <c r="L13" s="11"/>
    </row>
    <row r="14" spans="1:13" hidden="1" x14ac:dyDescent="0.25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3" hidden="1" x14ac:dyDescent="0.25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3" hidden="1" x14ac:dyDescent="0.25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3" hidden="1" x14ac:dyDescent="0.25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>+L17/J17</f>
        <v>1</v>
      </c>
    </row>
    <row r="18" spans="1:13" hidden="1" x14ac:dyDescent="0.25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3" hidden="1" x14ac:dyDescent="0.25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ref="M19:M26" si="0">+L19/J19</f>
        <v>1.0317460317460319</v>
      </c>
    </row>
    <row r="20" spans="1:13" hidden="1" x14ac:dyDescent="0.25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0"/>
        <v>0.99580712788259962</v>
      </c>
    </row>
    <row r="21" spans="1:13" hidden="1" x14ac:dyDescent="0.25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361053.5</v>
      </c>
      <c r="H21" s="3"/>
      <c r="I21" s="11">
        <v>880085</v>
      </c>
      <c r="J21" s="11">
        <v>361000</v>
      </c>
      <c r="K21" s="3"/>
      <c r="L21" s="11">
        <v>350000</v>
      </c>
      <c r="M21" s="38">
        <f t="shared" si="0"/>
        <v>0.96952908587257614</v>
      </c>
    </row>
    <row r="22" spans="1:13" hidden="1" x14ac:dyDescent="0.25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1173685.8799999999</v>
      </c>
      <c r="H22" s="3"/>
      <c r="I22" s="11">
        <f>411257+128000</f>
        <v>539257</v>
      </c>
      <c r="J22" s="11">
        <v>1173000</v>
      </c>
      <c r="K22" s="3"/>
      <c r="L22" s="11">
        <v>1175000</v>
      </c>
      <c r="M22" s="38">
        <f t="shared" si="0"/>
        <v>1.0017050298380221</v>
      </c>
    </row>
    <row r="23" spans="1:13" hidden="1" x14ac:dyDescent="0.25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0"/>
        <v>1</v>
      </c>
    </row>
    <row r="24" spans="1:13" hidden="1" x14ac:dyDescent="0.25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0"/>
        <v>1</v>
      </c>
    </row>
    <row r="25" spans="1:13" hidden="1" x14ac:dyDescent="0.25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0"/>
        <v>0.7</v>
      </c>
    </row>
    <row r="26" spans="1:13" hidden="1" x14ac:dyDescent="0.25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0"/>
        <v>1</v>
      </c>
    </row>
    <row r="27" spans="1:13" hidden="1" x14ac:dyDescent="0.25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3" hidden="1" x14ac:dyDescent="0.25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3090060.2399999998</v>
      </c>
      <c r="H28" s="3"/>
      <c r="I28" s="11">
        <f>SUM(I16:I27)</f>
        <v>3144505</v>
      </c>
      <c r="J28" s="11">
        <f>SUM(J16:J27)</f>
        <v>3181000</v>
      </c>
      <c r="K28" s="3"/>
      <c r="L28" s="11">
        <f>SUM(L16:L27)</f>
        <v>3165000</v>
      </c>
      <c r="M28" s="38">
        <f>+L28/J28</f>
        <v>0.99497013517761712</v>
      </c>
    </row>
    <row r="29" spans="1:13" hidden="1" x14ac:dyDescent="0.25">
      <c r="D29" s="11"/>
      <c r="E29" s="11"/>
      <c r="F29" s="11"/>
      <c r="G29" s="11"/>
      <c r="H29" s="3"/>
      <c r="I29" s="11"/>
      <c r="J29" s="11"/>
      <c r="K29" s="3"/>
      <c r="L29" s="11"/>
    </row>
    <row r="30" spans="1:13" hidden="1" x14ac:dyDescent="0.25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3" hidden="1" x14ac:dyDescent="0.25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3" hidden="1" x14ac:dyDescent="0.25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>+L32/J32</f>
        <v>1</v>
      </c>
    </row>
    <row r="33" spans="1:13" hidden="1" x14ac:dyDescent="0.25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>+L33/J33</f>
        <v>1</v>
      </c>
    </row>
    <row r="34" spans="1:13" hidden="1" x14ac:dyDescent="0.25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>+L34/J34</f>
        <v>1</v>
      </c>
    </row>
    <row r="35" spans="1:13" hidden="1" x14ac:dyDescent="0.25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>+L35/J35</f>
        <v>1</v>
      </c>
    </row>
    <row r="36" spans="1:13" hidden="1" x14ac:dyDescent="0.25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hidden="1" x14ac:dyDescent="0.25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</f>
        <v>1</v>
      </c>
    </row>
    <row r="38" spans="1:13" hidden="1" x14ac:dyDescent="0.25">
      <c r="D38" s="11"/>
      <c r="E38" s="11"/>
      <c r="F38" s="11"/>
      <c r="G38" s="11"/>
      <c r="H38" s="3"/>
      <c r="I38" s="11"/>
      <c r="J38" s="11"/>
      <c r="K38" s="3"/>
      <c r="L38" s="11"/>
    </row>
    <row r="39" spans="1:13" hidden="1" x14ac:dyDescent="0.25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hidden="1" x14ac:dyDescent="0.25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hidden="1" x14ac:dyDescent="0.25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hidden="1" x14ac:dyDescent="0.25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>+L42/J42</f>
        <v>1</v>
      </c>
    </row>
    <row r="43" spans="1:13" hidden="1" x14ac:dyDescent="0.25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>+L43/J43</f>
        <v>0.23809523809523808</v>
      </c>
    </row>
    <row r="44" spans="1:13" hidden="1" x14ac:dyDescent="0.25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>+L44/J44</f>
        <v>1</v>
      </c>
    </row>
    <row r="45" spans="1:13" hidden="1" x14ac:dyDescent="0.25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hidden="1" x14ac:dyDescent="0.25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</f>
        <v>0.64179104477611937</v>
      </c>
    </row>
    <row r="47" spans="1:13" hidden="1" x14ac:dyDescent="0.25">
      <c r="D47" s="11"/>
      <c r="E47" s="11"/>
      <c r="F47" s="11"/>
      <c r="G47" s="11"/>
      <c r="H47" s="3"/>
      <c r="I47" s="11"/>
      <c r="J47" s="11"/>
      <c r="K47" s="3"/>
      <c r="L47" s="11"/>
    </row>
    <row r="48" spans="1:13" hidden="1" x14ac:dyDescent="0.25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3" hidden="1" x14ac:dyDescent="0.25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</f>
        <v>0.7142857142857143</v>
      </c>
    </row>
    <row r="50" spans="1:13" hidden="1" x14ac:dyDescent="0.25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3" hidden="1" x14ac:dyDescent="0.25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</f>
        <v>0.7142857142857143</v>
      </c>
    </row>
    <row r="52" spans="1:13" hidden="1" x14ac:dyDescent="0.25">
      <c r="D52" s="11"/>
      <c r="E52" s="11"/>
      <c r="F52" s="11"/>
      <c r="G52" s="11"/>
      <c r="H52" s="3"/>
      <c r="I52" s="11"/>
      <c r="J52" s="11"/>
      <c r="K52" s="3"/>
      <c r="L52" s="11"/>
    </row>
    <row r="53" spans="1:13" hidden="1" x14ac:dyDescent="0.25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3" hidden="1" x14ac:dyDescent="0.25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3" hidden="1" x14ac:dyDescent="0.25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</f>
        <v>0.42857142857142855</v>
      </c>
    </row>
    <row r="56" spans="1:13" hidden="1" x14ac:dyDescent="0.25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3" hidden="1" x14ac:dyDescent="0.25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</f>
        <v>0.1</v>
      </c>
    </row>
    <row r="58" spans="1:13" hidden="1" x14ac:dyDescent="0.25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>
        <v>1500</v>
      </c>
      <c r="J58" s="11">
        <v>1500</v>
      </c>
      <c r="K58" s="3"/>
      <c r="L58" s="11">
        <v>1500</v>
      </c>
      <c r="M58" s="38">
        <f>+L58/J58</f>
        <v>1</v>
      </c>
    </row>
    <row r="59" spans="1:13" hidden="1" x14ac:dyDescent="0.25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</f>
        <v>1</v>
      </c>
    </row>
    <row r="60" spans="1:13" hidden="1" x14ac:dyDescent="0.25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3" hidden="1" x14ac:dyDescent="0.25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55500</v>
      </c>
      <c r="J61" s="11">
        <f>SUM(J55:J60)</f>
        <v>80000</v>
      </c>
      <c r="K61" s="3"/>
      <c r="L61" s="11">
        <f>SUM(L55:L60)</f>
        <v>55500</v>
      </c>
      <c r="M61" s="38">
        <f>+L61/J61</f>
        <v>0.69374999999999998</v>
      </c>
    </row>
    <row r="62" spans="1:13" hidden="1" x14ac:dyDescent="0.25">
      <c r="D62" s="11"/>
      <c r="E62" s="11"/>
      <c r="F62" s="11"/>
      <c r="G62" s="11"/>
      <c r="H62" s="3"/>
      <c r="I62" s="11"/>
      <c r="J62" s="11"/>
      <c r="K62" s="3"/>
      <c r="L62" s="11"/>
    </row>
    <row r="63" spans="1:13" hidden="1" x14ac:dyDescent="0.25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5771463.9800000004</v>
      </c>
      <c r="H63" s="3"/>
      <c r="I63" s="11" cm="1">
        <f t="array" ref="I63:I64">+I60:I61+I51+I46+I37+I28+I12</f>
        <v>5760005</v>
      </c>
      <c r="J63" s="11" cm="1">
        <f t="array" ref="J63:J64">+J60:J61+J51+J46+J37+J28+J12</f>
        <v>6178500</v>
      </c>
      <c r="K63" s="3"/>
      <c r="L63" s="11" cm="1">
        <f t="array" ref="L63:L64">+L60:L61+L51+L46+L37+L28+L12</f>
        <v>5739500</v>
      </c>
      <c r="M63" s="38">
        <f>+L63/J63</f>
        <v>0.92894715545844464</v>
      </c>
    </row>
    <row r="64" spans="1:13" hidden="1" x14ac:dyDescent="0.25">
      <c r="A64" s="27"/>
      <c r="B64" s="27"/>
      <c r="C64" s="26">
        <v>4276151</v>
      </c>
      <c r="D64" s="4">
        <v>6019921.370000001</v>
      </c>
      <c r="E64" s="4">
        <v>4860796.18</v>
      </c>
      <c r="F64" s="4">
        <v>5851407.4800000004</v>
      </c>
      <c r="G64" s="4">
        <v>5811859.7700000005</v>
      </c>
      <c r="H64" s="3"/>
      <c r="I64" s="4">
        <v>5815505</v>
      </c>
      <c r="J64" s="4">
        <v>6258500</v>
      </c>
      <c r="K64" s="3"/>
      <c r="L64" s="37">
        <v>5795000</v>
      </c>
    </row>
    <row r="65" spans="1:13" hidden="1" x14ac:dyDescent="0.25">
      <c r="A65" s="27"/>
      <c r="B65" s="27"/>
      <c r="C65" s="26"/>
      <c r="D65" s="11"/>
      <c r="E65" s="11"/>
      <c r="F65" s="11"/>
      <c r="G65" s="11"/>
      <c r="H65" s="3"/>
      <c r="I65" s="11"/>
      <c r="J65" s="11"/>
      <c r="K65" s="3"/>
      <c r="L65" s="11"/>
    </row>
    <row r="66" spans="1:13" hidden="1" x14ac:dyDescent="0.25">
      <c r="A66" s="9" t="s">
        <v>88</v>
      </c>
      <c r="B66" s="10" t="s">
        <v>89</v>
      </c>
      <c r="D66" s="11"/>
      <c r="E66" s="11"/>
      <c r="F66" s="11"/>
      <c r="G66" s="11"/>
      <c r="H66" s="3"/>
      <c r="I66" s="11"/>
      <c r="J66" s="11"/>
      <c r="K66" s="3"/>
      <c r="L66" s="11"/>
    </row>
    <row r="67" spans="1:13" hidden="1" x14ac:dyDescent="0.25">
      <c r="A67" s="12" t="s">
        <v>9</v>
      </c>
      <c r="B67" s="13" t="s">
        <v>10</v>
      </c>
      <c r="D67" s="11"/>
      <c r="E67" s="11"/>
      <c r="F67" s="11"/>
      <c r="G67" s="11"/>
      <c r="H67" s="3"/>
      <c r="I67" s="11"/>
      <c r="J67" s="11"/>
      <c r="K67" s="3"/>
      <c r="L67" s="11"/>
    </row>
    <row r="68" spans="1:13" hidden="1" x14ac:dyDescent="0.25">
      <c r="A68" s="14" t="s">
        <v>90</v>
      </c>
      <c r="B68" s="15" t="s">
        <v>91</v>
      </c>
      <c r="C68" s="16">
        <v>26237</v>
      </c>
      <c r="D68" s="11">
        <v>34249.040000000001</v>
      </c>
      <c r="E68" s="11">
        <v>36787.03</v>
      </c>
      <c r="F68" s="11">
        <v>65317.5</v>
      </c>
      <c r="G68" s="11">
        <v>180826.08</v>
      </c>
      <c r="H68" s="3"/>
      <c r="I68" s="11">
        <v>60000</v>
      </c>
      <c r="J68" s="11">
        <v>200000</v>
      </c>
      <c r="K68" s="3"/>
      <c r="L68" s="11">
        <v>200000</v>
      </c>
      <c r="M68" s="38">
        <f t="shared" ref="M68:M84" si="1">+L68/J68</f>
        <v>1</v>
      </c>
    </row>
    <row r="69" spans="1:13" hidden="1" x14ac:dyDescent="0.25">
      <c r="A69" s="14" t="s">
        <v>92</v>
      </c>
      <c r="B69" s="15" t="s">
        <v>93</v>
      </c>
      <c r="C69" s="16">
        <v>15987</v>
      </c>
      <c r="D69" s="11">
        <v>20126.57</v>
      </c>
      <c r="E69" s="11">
        <v>7018.92</v>
      </c>
      <c r="F69" s="11">
        <v>6942.57</v>
      </c>
      <c r="G69" s="11">
        <v>6245.62</v>
      </c>
      <c r="H69" s="3"/>
      <c r="I69" s="11">
        <f>+I6*0.01</f>
        <v>5000</v>
      </c>
      <c r="J69" s="11">
        <v>7000</v>
      </c>
      <c r="K69" s="3"/>
      <c r="L69" s="11">
        <f>0.01*L6</f>
        <v>4500</v>
      </c>
      <c r="M69" s="38">
        <f t="shared" si="1"/>
        <v>0.6428571428571429</v>
      </c>
    </row>
    <row r="70" spans="1:13" hidden="1" x14ac:dyDescent="0.25">
      <c r="A70" s="14" t="s">
        <v>94</v>
      </c>
      <c r="B70" s="15" t="s">
        <v>95</v>
      </c>
      <c r="C70" s="16">
        <v>373</v>
      </c>
      <c r="D70" s="11">
        <v>4546.7</v>
      </c>
      <c r="E70" s="11">
        <v>1736.1</v>
      </c>
      <c r="F70" s="11">
        <v>3225.47</v>
      </c>
      <c r="G70" s="11">
        <v>2965.18</v>
      </c>
      <c r="H70" s="3"/>
      <c r="I70" s="11">
        <v>3000</v>
      </c>
      <c r="J70" s="11">
        <v>3000</v>
      </c>
      <c r="K70" s="3"/>
      <c r="L70" s="11">
        <v>3000</v>
      </c>
      <c r="M70" s="38">
        <f t="shared" si="1"/>
        <v>1</v>
      </c>
    </row>
    <row r="71" spans="1:13" hidden="1" x14ac:dyDescent="0.25">
      <c r="A71" s="14" t="s">
        <v>96</v>
      </c>
      <c r="B71" s="15" t="s">
        <v>97</v>
      </c>
      <c r="C71" s="16">
        <v>6202</v>
      </c>
      <c r="D71" s="11">
        <v>2604.8200000000002</v>
      </c>
      <c r="E71" s="11">
        <v>3101.25</v>
      </c>
      <c r="F71" s="11">
        <v>232</v>
      </c>
      <c r="G71" s="11">
        <v>239</v>
      </c>
      <c r="H71" s="3"/>
      <c r="I71" s="11">
        <v>5000</v>
      </c>
      <c r="J71" s="11">
        <v>500</v>
      </c>
      <c r="K71" s="3"/>
      <c r="L71" s="11">
        <v>5000</v>
      </c>
      <c r="M71" s="38">
        <f t="shared" si="1"/>
        <v>10</v>
      </c>
    </row>
    <row r="72" spans="1:13" hidden="1" x14ac:dyDescent="0.25">
      <c r="A72" s="14" t="s">
        <v>98</v>
      </c>
      <c r="B72" s="15" t="s">
        <v>62</v>
      </c>
      <c r="C72" s="16">
        <v>0</v>
      </c>
      <c r="D72" s="11">
        <v>5600</v>
      </c>
      <c r="E72" s="11">
        <v>5474.97</v>
      </c>
      <c r="F72" s="11">
        <v>11265</v>
      </c>
      <c r="G72" s="11">
        <v>11700</v>
      </c>
      <c r="H72" s="3"/>
      <c r="I72" s="11">
        <v>5000</v>
      </c>
      <c r="J72" s="11">
        <v>12000</v>
      </c>
      <c r="K72" s="3"/>
      <c r="L72" s="11">
        <v>5000</v>
      </c>
      <c r="M72" s="38">
        <f t="shared" si="1"/>
        <v>0.41666666666666669</v>
      </c>
    </row>
    <row r="73" spans="1:13" hidden="1" x14ac:dyDescent="0.25">
      <c r="A73" s="14" t="s">
        <v>99</v>
      </c>
      <c r="B73" s="15" t="s">
        <v>100</v>
      </c>
      <c r="C73" s="16">
        <v>3410</v>
      </c>
      <c r="D73" s="11">
        <v>1195</v>
      </c>
      <c r="E73" s="11">
        <v>8127.02</v>
      </c>
      <c r="F73" s="11">
        <v>6156</v>
      </c>
      <c r="G73" s="11">
        <v>8940</v>
      </c>
      <c r="H73" s="3"/>
      <c r="I73" s="11">
        <v>5000</v>
      </c>
      <c r="J73" s="11">
        <v>10000</v>
      </c>
      <c r="K73" s="3"/>
      <c r="L73" s="11">
        <v>5000</v>
      </c>
      <c r="M73" s="38">
        <f t="shared" si="1"/>
        <v>0.5</v>
      </c>
    </row>
    <row r="74" spans="1:13" hidden="1" x14ac:dyDescent="0.25">
      <c r="A74" s="14" t="s">
        <v>101</v>
      </c>
      <c r="B74" s="15" t="s">
        <v>102</v>
      </c>
      <c r="C74" s="16">
        <f>57845+2373</f>
        <v>60218</v>
      </c>
      <c r="D74" s="11">
        <v>56921.25</v>
      </c>
      <c r="E74" s="11">
        <v>37022.5</v>
      </c>
      <c r="F74" s="11">
        <v>81058.55</v>
      </c>
      <c r="G74" s="11">
        <v>70914.41</v>
      </c>
      <c r="H74" s="3"/>
      <c r="I74" s="11">
        <v>100000</v>
      </c>
      <c r="J74" s="11">
        <v>100000</v>
      </c>
      <c r="K74" s="3"/>
      <c r="L74" s="11">
        <v>100000</v>
      </c>
      <c r="M74" s="38">
        <f t="shared" si="1"/>
        <v>1</v>
      </c>
    </row>
    <row r="75" spans="1:13" hidden="1" x14ac:dyDescent="0.25">
      <c r="A75" s="14" t="s">
        <v>103</v>
      </c>
      <c r="B75" s="15" t="s">
        <v>104</v>
      </c>
      <c r="C75" s="16">
        <v>21000</v>
      </c>
      <c r="D75" s="11">
        <v>24500</v>
      </c>
      <c r="E75" s="11">
        <v>31990</v>
      </c>
      <c r="F75" s="11">
        <v>55595</v>
      </c>
      <c r="G75" s="11">
        <v>67393</v>
      </c>
      <c r="H75" s="3"/>
      <c r="I75" s="11">
        <v>60000</v>
      </c>
      <c r="J75" s="11">
        <v>68000</v>
      </c>
      <c r="K75" s="3"/>
      <c r="L75" s="11">
        <v>65000</v>
      </c>
      <c r="M75" s="38">
        <f t="shared" si="1"/>
        <v>0.95588235294117652</v>
      </c>
    </row>
    <row r="76" spans="1:13" hidden="1" x14ac:dyDescent="0.25">
      <c r="A76" s="14" t="s">
        <v>105</v>
      </c>
      <c r="B76" s="15" t="s">
        <v>106</v>
      </c>
      <c r="C76" s="16">
        <v>0</v>
      </c>
      <c r="D76" s="11">
        <v>0</v>
      </c>
      <c r="E76" s="11">
        <v>0</v>
      </c>
      <c r="F76" s="11">
        <v>0</v>
      </c>
      <c r="G76" s="11">
        <v>0</v>
      </c>
      <c r="H76" s="3"/>
      <c r="I76" s="11">
        <v>2000</v>
      </c>
      <c r="J76" s="11">
        <v>2000</v>
      </c>
      <c r="K76" s="3"/>
      <c r="L76" s="11">
        <v>0</v>
      </c>
      <c r="M76" s="38">
        <f t="shared" si="1"/>
        <v>0</v>
      </c>
    </row>
    <row r="77" spans="1:13" hidden="1" x14ac:dyDescent="0.25">
      <c r="A77" s="14" t="s">
        <v>107</v>
      </c>
      <c r="B77" s="15" t="s">
        <v>108</v>
      </c>
      <c r="C77" s="16">
        <v>970</v>
      </c>
      <c r="D77" s="11">
        <v>280</v>
      </c>
      <c r="E77" s="11">
        <v>14559.11</v>
      </c>
      <c r="F77" s="11">
        <v>8440.1</v>
      </c>
      <c r="G77" s="11">
        <v>3170</v>
      </c>
      <c r="H77" s="3"/>
      <c r="I77" s="11">
        <v>3000</v>
      </c>
      <c r="J77" s="11">
        <v>3000</v>
      </c>
      <c r="K77" s="3"/>
      <c r="L77" s="11">
        <v>3000</v>
      </c>
      <c r="M77" s="38">
        <f t="shared" si="1"/>
        <v>1</v>
      </c>
    </row>
    <row r="78" spans="1:13" hidden="1" x14ac:dyDescent="0.25">
      <c r="A78" s="14" t="s">
        <v>109</v>
      </c>
      <c r="B78" s="15" t="s">
        <v>110</v>
      </c>
      <c r="C78" s="16">
        <v>79966</v>
      </c>
      <c r="D78" s="11">
        <v>105164.45</v>
      </c>
      <c r="E78" s="11">
        <v>88000.18</v>
      </c>
      <c r="F78" s="11">
        <v>134525.44</v>
      </c>
      <c r="G78" s="11">
        <v>60944.78</v>
      </c>
      <c r="H78" s="3"/>
      <c r="I78" s="11">
        <v>85000</v>
      </c>
      <c r="J78" s="11">
        <v>85000</v>
      </c>
      <c r="K78" s="3"/>
      <c r="L78" s="11">
        <v>85000</v>
      </c>
      <c r="M78" s="38">
        <f t="shared" si="1"/>
        <v>1</v>
      </c>
    </row>
    <row r="79" spans="1:13" hidden="1" x14ac:dyDescent="0.25">
      <c r="A79" s="14">
        <v>6010950</v>
      </c>
      <c r="B79" s="15" t="s">
        <v>111</v>
      </c>
      <c r="C79" s="16">
        <v>0</v>
      </c>
      <c r="D79" s="11"/>
      <c r="E79" s="11"/>
      <c r="F79" s="11">
        <v>12656.25</v>
      </c>
      <c r="G79" s="11">
        <v>18002.84</v>
      </c>
      <c r="H79" s="3"/>
      <c r="I79" s="11">
        <v>50000</v>
      </c>
      <c r="J79" s="11">
        <v>25000</v>
      </c>
      <c r="K79" s="3"/>
      <c r="L79" s="11">
        <v>50000</v>
      </c>
      <c r="M79" s="38">
        <f t="shared" si="1"/>
        <v>2</v>
      </c>
    </row>
    <row r="80" spans="1:13" hidden="1" x14ac:dyDescent="0.25">
      <c r="A80" s="14" t="s">
        <v>112</v>
      </c>
      <c r="B80" s="15" t="s">
        <v>113</v>
      </c>
      <c r="C80" s="16">
        <v>8750</v>
      </c>
      <c r="D80" s="11">
        <v>10250</v>
      </c>
      <c r="E80" s="11">
        <v>10200</v>
      </c>
      <c r="F80" s="11">
        <v>10650</v>
      </c>
      <c r="G80" s="11">
        <v>6400</v>
      </c>
      <c r="H80" s="3"/>
      <c r="I80" s="11">
        <v>15000</v>
      </c>
      <c r="J80" s="11">
        <v>15000</v>
      </c>
      <c r="K80" s="3"/>
      <c r="L80" s="11">
        <v>20000</v>
      </c>
      <c r="M80" s="38">
        <f t="shared" si="1"/>
        <v>1.3333333333333333</v>
      </c>
    </row>
    <row r="81" spans="1:13" hidden="1" x14ac:dyDescent="0.25">
      <c r="A81" s="14" t="s">
        <v>114</v>
      </c>
      <c r="B81" s="15" t="s">
        <v>115</v>
      </c>
      <c r="C81" s="16">
        <v>0</v>
      </c>
      <c r="D81" s="11">
        <v>27958.95</v>
      </c>
      <c r="E81" s="11">
        <v>6961.88</v>
      </c>
      <c r="F81" s="11">
        <v>26351.88</v>
      </c>
      <c r="G81" s="11">
        <v>10292.4</v>
      </c>
      <c r="H81" s="3"/>
      <c r="I81" s="11">
        <v>9000</v>
      </c>
      <c r="J81" s="11">
        <v>13000</v>
      </c>
      <c r="K81" s="3"/>
      <c r="L81" s="11">
        <v>15000</v>
      </c>
      <c r="M81" s="38">
        <f t="shared" si="1"/>
        <v>1.1538461538461537</v>
      </c>
    </row>
    <row r="82" spans="1:13" hidden="1" x14ac:dyDescent="0.25">
      <c r="A82" s="14" t="s">
        <v>116</v>
      </c>
      <c r="B82" s="15" t="s">
        <v>117</v>
      </c>
      <c r="C82" s="16">
        <v>5788</v>
      </c>
      <c r="D82" s="11">
        <v>4300</v>
      </c>
      <c r="E82" s="11">
        <v>4869</v>
      </c>
      <c r="F82" s="11">
        <v>4340</v>
      </c>
      <c r="G82" s="11">
        <v>2125</v>
      </c>
      <c r="H82" s="3"/>
      <c r="I82" s="11">
        <v>6500</v>
      </c>
      <c r="J82" s="11">
        <v>6500</v>
      </c>
      <c r="K82" s="3"/>
      <c r="L82" s="11">
        <v>5000</v>
      </c>
      <c r="M82" s="38">
        <f t="shared" si="1"/>
        <v>0.76923076923076927</v>
      </c>
    </row>
    <row r="83" spans="1:13" hidden="1" x14ac:dyDescent="0.25">
      <c r="A83" s="14" t="s">
        <v>118</v>
      </c>
      <c r="B83" s="15" t="s">
        <v>119</v>
      </c>
      <c r="C83" s="16">
        <v>18709</v>
      </c>
      <c r="D83" s="11">
        <v>13876.48</v>
      </c>
      <c r="E83" s="11">
        <v>18187.78</v>
      </c>
      <c r="F83" s="11">
        <v>15407.18</v>
      </c>
      <c r="G83" s="11">
        <v>110.43</v>
      </c>
      <c r="H83" s="3"/>
      <c r="I83" s="11">
        <v>7500</v>
      </c>
      <c r="J83" s="11">
        <v>7500</v>
      </c>
      <c r="K83" s="3"/>
      <c r="L83" s="11">
        <v>7500</v>
      </c>
      <c r="M83" s="38">
        <f t="shared" si="1"/>
        <v>1</v>
      </c>
    </row>
    <row r="84" spans="1:13" hidden="1" x14ac:dyDescent="0.25">
      <c r="A84" s="14" t="s">
        <v>120</v>
      </c>
      <c r="B84" s="15" t="s">
        <v>121</v>
      </c>
      <c r="C84" s="16">
        <v>61378</v>
      </c>
      <c r="D84" s="11">
        <v>40060.879999999997</v>
      </c>
      <c r="E84" s="11">
        <v>1266.28</v>
      </c>
      <c r="F84" s="11">
        <v>36224.44</v>
      </c>
      <c r="G84" s="11">
        <v>14761.21</v>
      </c>
      <c r="H84" s="3"/>
      <c r="I84" s="11">
        <v>35000</v>
      </c>
      <c r="J84" s="11">
        <v>35000</v>
      </c>
      <c r="K84" s="3"/>
      <c r="L84" s="11">
        <v>20000</v>
      </c>
      <c r="M84" s="38">
        <f t="shared" si="1"/>
        <v>0.5714285714285714</v>
      </c>
    </row>
    <row r="85" spans="1:13" hidden="1" x14ac:dyDescent="0.25">
      <c r="A85" s="14"/>
      <c r="B85" s="15"/>
      <c r="C85" s="16"/>
      <c r="D85" s="11"/>
      <c r="E85" s="11"/>
      <c r="F85" s="11"/>
      <c r="G85" s="11"/>
      <c r="H85" s="3"/>
      <c r="I85" s="11"/>
      <c r="J85" s="11"/>
      <c r="K85" s="3"/>
      <c r="L85" s="11"/>
    </row>
    <row r="86" spans="1:13" hidden="1" x14ac:dyDescent="0.25">
      <c r="A86" s="29"/>
      <c r="B86" s="30" t="s">
        <v>122</v>
      </c>
      <c r="C86" s="16">
        <f>SUM(C68:C84)</f>
        <v>308988</v>
      </c>
      <c r="D86" s="11">
        <f>SUM(D68:D84)</f>
        <v>351634.14</v>
      </c>
      <c r="E86" s="11">
        <f>SUM(E68:E84)</f>
        <v>275302.02</v>
      </c>
      <c r="F86" s="11">
        <f>SUM(F68:F84)</f>
        <v>478387.38</v>
      </c>
      <c r="G86" s="11">
        <f>SUM(G68:G84)</f>
        <v>465029.95</v>
      </c>
      <c r="H86" s="3"/>
      <c r="I86" s="11">
        <f>SUM(I68:I84)</f>
        <v>456000</v>
      </c>
      <c r="J86" s="11">
        <f>SUM(J68:J84)</f>
        <v>592500</v>
      </c>
      <c r="K86" s="3"/>
      <c r="L86" s="11">
        <f>SUM(L68:L84)</f>
        <v>593000</v>
      </c>
      <c r="M86" s="38">
        <f>+L86/J86</f>
        <v>1.0008438818565402</v>
      </c>
    </row>
    <row r="87" spans="1:13" hidden="1" x14ac:dyDescent="0.25">
      <c r="A87" s="29"/>
      <c r="B87" s="30"/>
      <c r="C87" s="16"/>
      <c r="D87" s="11"/>
      <c r="E87" s="11"/>
      <c r="F87" s="11"/>
      <c r="G87" s="11"/>
      <c r="H87" s="3"/>
      <c r="I87" s="11"/>
      <c r="J87" s="11"/>
      <c r="K87" s="3"/>
      <c r="L87" s="11"/>
    </row>
    <row r="88" spans="1:13" hidden="1" x14ac:dyDescent="0.25">
      <c r="A88" s="14" t="s">
        <v>123</v>
      </c>
      <c r="B88" s="15" t="s">
        <v>124</v>
      </c>
      <c r="C88" s="16">
        <v>238952</v>
      </c>
      <c r="D88" s="11">
        <v>299344.71999999997</v>
      </c>
      <c r="E88" s="11">
        <v>296161.17</v>
      </c>
      <c r="F88" s="11">
        <v>348848.89</v>
      </c>
      <c r="G88" s="11">
        <v>211577.23</v>
      </c>
      <c r="H88" s="3"/>
      <c r="I88" s="11">
        <v>381989</v>
      </c>
      <c r="J88" s="11">
        <v>381989</v>
      </c>
      <c r="K88" s="3"/>
      <c r="L88" s="11">
        <f>+'[1]Non-Union - 3.5%'!$I$13+'[1]Non-Union - 3.5%'!$V$13</f>
        <v>400796.10425099998</v>
      </c>
      <c r="M88" s="38">
        <f t="shared" ref="M88:M108" si="2">+L88/J88</f>
        <v>1.0492346749539907</v>
      </c>
    </row>
    <row r="89" spans="1:13" hidden="1" x14ac:dyDescent="0.25">
      <c r="A89" s="14" t="s">
        <v>125</v>
      </c>
      <c r="B89" s="15" t="s">
        <v>126</v>
      </c>
      <c r="C89" s="16">
        <v>19656</v>
      </c>
      <c r="D89" s="11">
        <v>24665.38</v>
      </c>
      <c r="E89" s="11">
        <v>23771.06</v>
      </c>
      <c r="F89" s="11">
        <v>25648.01</v>
      </c>
      <c r="G89" s="11">
        <v>18946.3</v>
      </c>
      <c r="H89" s="3"/>
      <c r="I89" s="11">
        <v>30559</v>
      </c>
      <c r="J89" s="11">
        <v>30559</v>
      </c>
      <c r="K89" s="3"/>
      <c r="L89" s="11">
        <f>+'[1]Non-Union - 3.5%'!$P$13+'[1]Non-Union - 3.5%'!$Z$13</f>
        <v>32063.68834008</v>
      </c>
      <c r="M89" s="38">
        <f t="shared" si="2"/>
        <v>1.0492387951202591</v>
      </c>
    </row>
    <row r="90" spans="1:13" hidden="1" x14ac:dyDescent="0.25">
      <c r="A90" s="14" t="s">
        <v>127</v>
      </c>
      <c r="B90" s="15" t="s">
        <v>128</v>
      </c>
      <c r="C90" s="16">
        <v>45927</v>
      </c>
      <c r="D90" s="11">
        <v>58698.76</v>
      </c>
      <c r="E90" s="11">
        <v>67570.789999999994</v>
      </c>
      <c r="F90" s="11">
        <v>64434.796000000002</v>
      </c>
      <c r="G90" s="11">
        <v>51089.38</v>
      </c>
      <c r="H90" s="3"/>
      <c r="I90" s="11">
        <f>67402+3616+1226+136</f>
        <v>72380</v>
      </c>
      <c r="J90" s="11">
        <v>72380</v>
      </c>
      <c r="K90" s="3"/>
      <c r="L90" s="11">
        <f>+SUM('[1]Non-Union - 3.5%'!$K$13:$M$13)</f>
        <v>85547.279999999984</v>
      </c>
      <c r="M90" s="38">
        <f t="shared" si="2"/>
        <v>1.1819187620889746</v>
      </c>
    </row>
    <row r="91" spans="1:13" hidden="1" x14ac:dyDescent="0.25">
      <c r="A91" s="14" t="s">
        <v>129</v>
      </c>
      <c r="B91" s="15" t="s">
        <v>130</v>
      </c>
      <c r="C91" s="16">
        <v>4516</v>
      </c>
      <c r="D91" s="11">
        <v>3310.13</v>
      </c>
      <c r="E91" s="11">
        <v>783.71</v>
      </c>
      <c r="F91" s="11">
        <v>3864.75</v>
      </c>
      <c r="G91" s="11">
        <v>2659.38</v>
      </c>
      <c r="H91" s="3"/>
      <c r="I91" s="11">
        <v>4112</v>
      </c>
      <c r="J91" s="11">
        <v>4112</v>
      </c>
      <c r="K91" s="3"/>
      <c r="L91" s="11">
        <f>+'[1]Non-Union - 3.5%'!$O$13+'[1]Non-Union - 3.5%'!$X$13</f>
        <v>4321.0660252799998</v>
      </c>
      <c r="M91" s="38">
        <f t="shared" si="2"/>
        <v>1.0508429049805448</v>
      </c>
    </row>
    <row r="92" spans="1:13" hidden="1" x14ac:dyDescent="0.25">
      <c r="A92" s="14" t="s">
        <v>131</v>
      </c>
      <c r="B92" s="15" t="s">
        <v>132</v>
      </c>
      <c r="C92" s="16">
        <v>2521</v>
      </c>
      <c r="D92" s="11">
        <v>2307.63</v>
      </c>
      <c r="E92" s="11">
        <v>3053.15</v>
      </c>
      <c r="F92" s="11">
        <v>3349.54</v>
      </c>
      <c r="G92" s="11">
        <v>6215.25</v>
      </c>
      <c r="H92" s="3"/>
      <c r="I92" s="11">
        <v>496</v>
      </c>
      <c r="J92" s="11">
        <v>496</v>
      </c>
      <c r="K92" s="3"/>
      <c r="L92" s="11">
        <f>+'[1]Non-Union - 3.5%'!$Y$13+'[1]Non-Union - 3.5%'!$R$13</f>
        <v>522.03493552630005</v>
      </c>
      <c r="M92" s="38">
        <f t="shared" si="2"/>
        <v>1.0524897893675405</v>
      </c>
    </row>
    <row r="93" spans="1:13" hidden="1" x14ac:dyDescent="0.25">
      <c r="A93" s="14" t="s">
        <v>133</v>
      </c>
      <c r="B93" s="15" t="s">
        <v>134</v>
      </c>
      <c r="C93" s="16">
        <v>0</v>
      </c>
      <c r="D93" s="11">
        <v>11442.46</v>
      </c>
      <c r="E93" s="11">
        <v>4424.22</v>
      </c>
      <c r="F93" s="11">
        <v>3650.56</v>
      </c>
      <c r="G93" s="11">
        <v>3376.96</v>
      </c>
      <c r="H93" s="3"/>
      <c r="I93" s="11">
        <v>5000</v>
      </c>
      <c r="J93" s="11">
        <v>5000</v>
      </c>
      <c r="K93" s="3"/>
      <c r="L93" s="11">
        <v>5000</v>
      </c>
      <c r="M93" s="38">
        <f t="shared" si="2"/>
        <v>1</v>
      </c>
    </row>
    <row r="94" spans="1:13" hidden="1" x14ac:dyDescent="0.25">
      <c r="A94" s="14" t="s">
        <v>135</v>
      </c>
      <c r="B94" s="15" t="s">
        <v>136</v>
      </c>
      <c r="C94" s="16">
        <v>0</v>
      </c>
      <c r="D94" s="11">
        <v>1059.43</v>
      </c>
      <c r="E94" s="11">
        <v>550.42999999999995</v>
      </c>
      <c r="F94" s="11">
        <v>323.07</v>
      </c>
      <c r="G94" s="11">
        <v>293.18</v>
      </c>
      <c r="H94" s="3"/>
      <c r="I94" s="11">
        <v>450</v>
      </c>
      <c r="J94" s="11">
        <v>450</v>
      </c>
      <c r="K94" s="3"/>
      <c r="L94" s="11">
        <v>450</v>
      </c>
      <c r="M94" s="38">
        <f t="shared" si="2"/>
        <v>1</v>
      </c>
    </row>
    <row r="95" spans="1:13" hidden="1" x14ac:dyDescent="0.25">
      <c r="A95" s="14" t="s">
        <v>137</v>
      </c>
      <c r="B95" s="15" t="s">
        <v>138</v>
      </c>
      <c r="C95" s="16">
        <v>12</v>
      </c>
      <c r="D95" s="11">
        <v>19.940000000000001</v>
      </c>
      <c r="E95" s="11">
        <v>117.15</v>
      </c>
      <c r="F95" s="11">
        <v>650.58000000000004</v>
      </c>
      <c r="G95" s="11">
        <v>-239.21</v>
      </c>
      <c r="H95" s="3"/>
      <c r="I95" s="11">
        <v>15</v>
      </c>
      <c r="J95" s="11">
        <v>15</v>
      </c>
      <c r="K95" s="3"/>
      <c r="L95" s="11">
        <v>15</v>
      </c>
      <c r="M95" s="38">
        <f t="shared" si="2"/>
        <v>1</v>
      </c>
    </row>
    <row r="96" spans="1:13" hidden="1" x14ac:dyDescent="0.25">
      <c r="A96" s="14" t="s">
        <v>139</v>
      </c>
      <c r="B96" s="15" t="s">
        <v>140</v>
      </c>
      <c r="C96" s="16">
        <v>15361</v>
      </c>
      <c r="D96" s="11">
        <v>19630.669999999998</v>
      </c>
      <c r="E96" s="11">
        <v>17868.97</v>
      </c>
      <c r="F96" s="11">
        <v>22859.69</v>
      </c>
      <c r="G96" s="11">
        <v>21956.58</v>
      </c>
      <c r="H96" s="3"/>
      <c r="I96" s="11">
        <v>30000</v>
      </c>
      <c r="J96" s="11">
        <v>30000</v>
      </c>
      <c r="K96" s="3"/>
      <c r="L96" s="11">
        <v>30000</v>
      </c>
      <c r="M96" s="38">
        <f t="shared" si="2"/>
        <v>1</v>
      </c>
    </row>
    <row r="97" spans="1:13" hidden="1" x14ac:dyDescent="0.25">
      <c r="A97" s="14" t="s">
        <v>141</v>
      </c>
      <c r="B97" s="15" t="s">
        <v>142</v>
      </c>
      <c r="C97" s="16">
        <v>2450</v>
      </c>
      <c r="D97" s="11">
        <v>2907.5</v>
      </c>
      <c r="E97" s="11">
        <v>2185</v>
      </c>
      <c r="F97" s="11">
        <v>3020</v>
      </c>
      <c r="G97" s="11">
        <v>3274</v>
      </c>
      <c r="H97" s="3"/>
      <c r="I97" s="11">
        <v>2900</v>
      </c>
      <c r="J97" s="11">
        <v>6000</v>
      </c>
      <c r="K97" s="3"/>
      <c r="L97" s="11">
        <v>9500</v>
      </c>
      <c r="M97" s="38">
        <f t="shared" si="2"/>
        <v>1.5833333333333333</v>
      </c>
    </row>
    <row r="98" spans="1:13" hidden="1" x14ac:dyDescent="0.25">
      <c r="A98" s="14" t="s">
        <v>143</v>
      </c>
      <c r="B98" s="15" t="s">
        <v>144</v>
      </c>
      <c r="C98" s="16">
        <v>212</v>
      </c>
      <c r="D98" s="11">
        <v>427.5</v>
      </c>
      <c r="E98" s="11">
        <v>432</v>
      </c>
      <c r="F98" s="11">
        <v>438</v>
      </c>
      <c r="G98" s="11">
        <v>441</v>
      </c>
      <c r="H98" s="3"/>
      <c r="I98" s="11">
        <v>500</v>
      </c>
      <c r="J98" s="11">
        <v>500</v>
      </c>
      <c r="K98" s="3"/>
      <c r="L98" s="11">
        <v>500</v>
      </c>
      <c r="M98" s="38">
        <f t="shared" si="2"/>
        <v>1</v>
      </c>
    </row>
    <row r="99" spans="1:13" hidden="1" x14ac:dyDescent="0.25">
      <c r="A99" s="14" t="s">
        <v>145</v>
      </c>
      <c r="B99" s="15" t="s">
        <v>146</v>
      </c>
      <c r="C99" s="16">
        <v>4463</v>
      </c>
      <c r="D99" s="11">
        <v>1800.73</v>
      </c>
      <c r="E99" s="11">
        <v>547.07000000000005</v>
      </c>
      <c r="F99" s="11">
        <v>8821.2900000000009</v>
      </c>
      <c r="G99" s="11">
        <v>3991.24</v>
      </c>
      <c r="H99" s="3"/>
      <c r="I99" s="11">
        <v>2500</v>
      </c>
      <c r="J99" s="11">
        <v>2500</v>
      </c>
      <c r="K99" s="3"/>
      <c r="L99" s="11">
        <v>4000</v>
      </c>
      <c r="M99" s="38">
        <f t="shared" si="2"/>
        <v>1.6</v>
      </c>
    </row>
    <row r="100" spans="1:13" hidden="1" x14ac:dyDescent="0.25">
      <c r="A100" s="14" t="s">
        <v>147</v>
      </c>
      <c r="B100" s="15" t="s">
        <v>148</v>
      </c>
      <c r="C100" s="16">
        <v>800</v>
      </c>
      <c r="D100" s="11">
        <v>5400</v>
      </c>
      <c r="E100" s="11">
        <v>4649.26</v>
      </c>
      <c r="F100" s="11">
        <f>27.75+5712.29</f>
        <v>5740.04</v>
      </c>
      <c r="G100" s="11">
        <v>3693.08</v>
      </c>
      <c r="H100" s="3"/>
      <c r="I100" s="11">
        <v>7000</v>
      </c>
      <c r="J100" s="11">
        <v>7000</v>
      </c>
      <c r="K100" s="3"/>
      <c r="L100" s="11">
        <v>7000</v>
      </c>
      <c r="M100" s="38">
        <f t="shared" si="2"/>
        <v>1</v>
      </c>
    </row>
    <row r="101" spans="1:13" hidden="1" x14ac:dyDescent="0.25">
      <c r="A101" s="14" t="s">
        <v>149</v>
      </c>
      <c r="B101" s="15" t="s">
        <v>150</v>
      </c>
      <c r="C101" s="16">
        <v>6393</v>
      </c>
      <c r="D101" s="11">
        <v>13331.78</v>
      </c>
      <c r="E101" s="11">
        <v>6194.78</v>
      </c>
      <c r="F101" s="11">
        <v>10546.53</v>
      </c>
      <c r="G101" s="11">
        <v>8908.3700000000008</v>
      </c>
      <c r="H101" s="3"/>
      <c r="I101" s="11">
        <v>12000</v>
      </c>
      <c r="J101" s="11">
        <v>12000</v>
      </c>
      <c r="K101" s="3"/>
      <c r="L101" s="11">
        <v>10000</v>
      </c>
      <c r="M101" s="38">
        <f t="shared" si="2"/>
        <v>0.83333333333333337</v>
      </c>
    </row>
    <row r="102" spans="1:13" hidden="1" x14ac:dyDescent="0.25">
      <c r="A102" s="14" t="s">
        <v>151</v>
      </c>
      <c r="B102" s="15" t="s">
        <v>152</v>
      </c>
      <c r="C102" s="16">
        <v>123595</v>
      </c>
      <c r="D102" s="11">
        <v>77893.25</v>
      </c>
      <c r="E102" s="11">
        <v>111072.12</v>
      </c>
      <c r="F102" s="11">
        <v>67595.73</v>
      </c>
      <c r="G102" s="11">
        <v>35353.14</v>
      </c>
      <c r="H102" s="3"/>
      <c r="I102" s="11">
        <v>150000</v>
      </c>
      <c r="J102" s="11">
        <v>150000</v>
      </c>
      <c r="K102" s="3"/>
      <c r="L102" s="11">
        <v>55000</v>
      </c>
      <c r="M102" s="38">
        <f t="shared" si="2"/>
        <v>0.36666666666666664</v>
      </c>
    </row>
    <row r="103" spans="1:13" hidden="1" x14ac:dyDescent="0.25">
      <c r="A103" s="14" t="s">
        <v>153</v>
      </c>
      <c r="B103" s="15" t="s">
        <v>154</v>
      </c>
      <c r="C103" s="16">
        <v>69989</v>
      </c>
      <c r="D103" s="11">
        <v>67934.31</v>
      </c>
      <c r="E103" s="11">
        <v>54600.33</v>
      </c>
      <c r="F103" s="11">
        <v>64303.13</v>
      </c>
      <c r="G103" s="11">
        <v>45856.43</v>
      </c>
      <c r="H103" s="3"/>
      <c r="I103" s="11">
        <v>70000</v>
      </c>
      <c r="J103" s="11">
        <v>70000</v>
      </c>
      <c r="K103" s="3"/>
      <c r="L103" s="11">
        <v>70000</v>
      </c>
      <c r="M103" s="38">
        <f t="shared" si="2"/>
        <v>1</v>
      </c>
    </row>
    <row r="104" spans="1:13" hidden="1" x14ac:dyDescent="0.25">
      <c r="A104" s="14" t="s">
        <v>155</v>
      </c>
      <c r="B104" s="15" t="s">
        <v>156</v>
      </c>
      <c r="C104" s="16">
        <v>273</v>
      </c>
      <c r="D104" s="11">
        <v>1021.46</v>
      </c>
      <c r="E104" s="11">
        <v>1050</v>
      </c>
      <c r="F104" s="11">
        <v>847.7</v>
      </c>
      <c r="G104" s="11">
        <v>2742</v>
      </c>
      <c r="H104" s="3"/>
      <c r="I104" s="11">
        <v>2500</v>
      </c>
      <c r="J104" s="11">
        <v>2500</v>
      </c>
      <c r="K104" s="3"/>
      <c r="L104" s="11">
        <v>1500</v>
      </c>
      <c r="M104" s="38">
        <f t="shared" si="2"/>
        <v>0.6</v>
      </c>
    </row>
    <row r="105" spans="1:13" hidden="1" x14ac:dyDescent="0.25">
      <c r="A105" s="14" t="s">
        <v>157</v>
      </c>
      <c r="B105" s="15" t="s">
        <v>158</v>
      </c>
      <c r="C105" s="16">
        <v>1090</v>
      </c>
      <c r="D105" s="11">
        <v>4187.83</v>
      </c>
      <c r="E105" s="11">
        <v>10491.92</v>
      </c>
      <c r="F105" s="11">
        <v>6520.29</v>
      </c>
      <c r="G105" s="11">
        <v>3149.6</v>
      </c>
      <c r="H105" s="3"/>
      <c r="I105" s="11">
        <v>7500</v>
      </c>
      <c r="J105" s="11">
        <v>7500</v>
      </c>
      <c r="K105" s="3"/>
      <c r="L105" s="11">
        <v>7500</v>
      </c>
      <c r="M105" s="38">
        <f t="shared" si="2"/>
        <v>1</v>
      </c>
    </row>
    <row r="106" spans="1:13" hidden="1" x14ac:dyDescent="0.25">
      <c r="A106" s="14" t="s">
        <v>159</v>
      </c>
      <c r="B106" s="15" t="s">
        <v>160</v>
      </c>
      <c r="C106" s="16">
        <v>13862</v>
      </c>
      <c r="D106" s="11">
        <v>15086.37</v>
      </c>
      <c r="E106" s="11">
        <v>14827.27</v>
      </c>
      <c r="F106" s="11">
        <v>14232.8</v>
      </c>
      <c r="G106" s="11">
        <v>9257</v>
      </c>
      <c r="H106" s="3"/>
      <c r="I106" s="11">
        <v>10000</v>
      </c>
      <c r="J106" s="11">
        <v>10000</v>
      </c>
      <c r="K106" s="3"/>
      <c r="L106" s="11">
        <v>10000</v>
      </c>
      <c r="M106" s="38">
        <f t="shared" si="2"/>
        <v>1</v>
      </c>
    </row>
    <row r="107" spans="1:13" hidden="1" x14ac:dyDescent="0.25">
      <c r="A107" s="14" t="s">
        <v>161</v>
      </c>
      <c r="B107" s="15" t="s">
        <v>162</v>
      </c>
      <c r="C107" s="16">
        <v>6413</v>
      </c>
      <c r="D107" s="11">
        <v>4831.68</v>
      </c>
      <c r="E107" s="11">
        <v>987.24</v>
      </c>
      <c r="F107" s="11">
        <v>1546</v>
      </c>
      <c r="G107" s="11">
        <v>0</v>
      </c>
      <c r="H107" s="3"/>
      <c r="I107" s="11">
        <v>2000</v>
      </c>
      <c r="J107" s="11">
        <v>2000</v>
      </c>
      <c r="K107" s="3"/>
      <c r="L107" s="11">
        <v>0</v>
      </c>
      <c r="M107" s="38">
        <f t="shared" si="2"/>
        <v>0</v>
      </c>
    </row>
    <row r="108" spans="1:13" hidden="1" x14ac:dyDescent="0.25">
      <c r="A108" s="14" t="s">
        <v>163</v>
      </c>
      <c r="B108" s="15" t="s">
        <v>80</v>
      </c>
      <c r="C108" s="16">
        <v>2119</v>
      </c>
      <c r="D108" s="11">
        <v>5919.82</v>
      </c>
      <c r="E108" s="11">
        <v>4906.71</v>
      </c>
      <c r="F108" s="11">
        <v>3419.16</v>
      </c>
      <c r="G108" s="11">
        <v>1490.69</v>
      </c>
      <c r="H108" s="3"/>
      <c r="I108" s="11">
        <v>5000</v>
      </c>
      <c r="J108" s="11">
        <v>5000</v>
      </c>
      <c r="K108" s="3"/>
      <c r="L108" s="11">
        <v>5000</v>
      </c>
      <c r="M108" s="38">
        <f t="shared" si="2"/>
        <v>1</v>
      </c>
    </row>
    <row r="109" spans="1:13" hidden="1" x14ac:dyDescent="0.25">
      <c r="A109" s="14">
        <v>6021800</v>
      </c>
      <c r="B109" s="15" t="s">
        <v>164</v>
      </c>
      <c r="C109" s="16"/>
      <c r="D109" s="11"/>
      <c r="E109" s="11"/>
      <c r="F109" s="11">
        <v>187.03</v>
      </c>
      <c r="G109" s="11"/>
      <c r="H109" s="3"/>
      <c r="I109" s="11"/>
      <c r="J109" s="11"/>
      <c r="K109" s="3"/>
      <c r="L109" s="11"/>
    </row>
    <row r="110" spans="1:13" hidden="1" x14ac:dyDescent="0.25">
      <c r="A110" s="14"/>
      <c r="B110" s="15"/>
      <c r="C110" s="16"/>
      <c r="D110" s="11"/>
      <c r="E110" s="11"/>
      <c r="F110" s="11"/>
      <c r="G110" s="11"/>
      <c r="H110" s="3"/>
      <c r="I110" s="11"/>
      <c r="J110" s="11"/>
      <c r="K110" s="3"/>
      <c r="L110" s="11"/>
    </row>
    <row r="111" spans="1:13" hidden="1" x14ac:dyDescent="0.25">
      <c r="A111" s="29"/>
      <c r="B111" s="30" t="s">
        <v>165</v>
      </c>
      <c r="C111" s="16">
        <f>SUM(C88:C109)</f>
        <v>558604</v>
      </c>
      <c r="D111" s="11">
        <f>SUM(D88:D109)</f>
        <v>621221.34999999986</v>
      </c>
      <c r="E111" s="11">
        <f>SUM(E88:E109)</f>
        <v>626244.35000000009</v>
      </c>
      <c r="F111" s="11">
        <f>SUM(F88:F109)</f>
        <v>660847.58600000013</v>
      </c>
      <c r="G111" s="11">
        <f>SUM(G88:G109)</f>
        <v>434031.6</v>
      </c>
      <c r="H111" s="3"/>
      <c r="I111" s="11">
        <f>SUM(I88:I109)</f>
        <v>796901</v>
      </c>
      <c r="J111" s="11">
        <f>SUM(J88:J109)</f>
        <v>800001</v>
      </c>
      <c r="K111" s="3"/>
      <c r="L111" s="11">
        <f>SUM(L88:L109)</f>
        <v>738715.17355188623</v>
      </c>
      <c r="M111" s="38">
        <f>+L111/J111</f>
        <v>0.92339281269884188</v>
      </c>
    </row>
    <row r="112" spans="1:13" hidden="1" x14ac:dyDescent="0.25">
      <c r="A112" s="29"/>
      <c r="B112" s="30"/>
      <c r="C112" s="16"/>
      <c r="D112" s="11"/>
      <c r="E112" s="11"/>
      <c r="F112" s="11"/>
      <c r="G112" s="11"/>
      <c r="H112" s="3"/>
      <c r="I112" s="11"/>
      <c r="J112" s="11"/>
      <c r="K112" s="3"/>
      <c r="L112" s="11"/>
    </row>
    <row r="113" spans="1:13" hidden="1" x14ac:dyDescent="0.25">
      <c r="A113" s="14" t="s">
        <v>166</v>
      </c>
      <c r="B113" s="15" t="s">
        <v>124</v>
      </c>
      <c r="C113" s="16">
        <v>76083</v>
      </c>
      <c r="D113" s="11">
        <v>79040.23</v>
      </c>
      <c r="E113" s="11">
        <v>43912.42</v>
      </c>
      <c r="F113" s="11">
        <v>78104.09</v>
      </c>
      <c r="G113" s="11">
        <v>52944.25</v>
      </c>
      <c r="H113" s="3"/>
      <c r="I113" s="11">
        <v>73917</v>
      </c>
      <c r="J113" s="11">
        <v>73917</v>
      </c>
      <c r="K113" s="3"/>
      <c r="L113" s="11">
        <f>+'[1]Non-Union - 3.5%'!$I$37+'[1]Non-Union - 3.5%'!$V$37</f>
        <v>76501.61099999999</v>
      </c>
      <c r="M113" s="38">
        <f>+L113/J113</f>
        <v>1.034966394740046</v>
      </c>
    </row>
    <row r="114" spans="1:13" hidden="1" x14ac:dyDescent="0.25">
      <c r="A114" s="14" t="s">
        <v>167</v>
      </c>
      <c r="B114" s="15" t="s">
        <v>126</v>
      </c>
      <c r="C114" s="16">
        <v>6414</v>
      </c>
      <c r="D114" s="11">
        <v>6815.97</v>
      </c>
      <c r="E114" s="11">
        <v>3560.42</v>
      </c>
      <c r="F114" s="11">
        <v>6311.4</v>
      </c>
      <c r="G114" s="11">
        <v>4111.22</v>
      </c>
      <c r="H114" s="3"/>
      <c r="I114" s="11">
        <f>539+5374</f>
        <v>5913</v>
      </c>
      <c r="J114" s="11">
        <v>5913</v>
      </c>
      <c r="K114" s="3"/>
      <c r="L114" s="11">
        <f>+'[1]Non-Union - 3.5%'!$P$37+'[1]Non-Union - 3.5%'!$Z$37</f>
        <v>6120.1288800000002</v>
      </c>
      <c r="M114" s="38">
        <f>+L114/J114</f>
        <v>1.0350294063926941</v>
      </c>
    </row>
    <row r="115" spans="1:13" hidden="1" x14ac:dyDescent="0.25">
      <c r="A115" s="14" t="s">
        <v>168</v>
      </c>
      <c r="B115" s="15" t="s">
        <v>128</v>
      </c>
      <c r="C115" s="16">
        <v>33023</v>
      </c>
      <c r="D115" s="11">
        <v>43423.3</v>
      </c>
      <c r="E115" s="11">
        <v>24854.54</v>
      </c>
      <c r="F115" s="11">
        <v>32649.040000000001</v>
      </c>
      <c r="G115" s="11">
        <v>25625</v>
      </c>
      <c r="H115" s="3"/>
      <c r="I115" s="11">
        <v>36757</v>
      </c>
      <c r="J115" s="11">
        <v>36756</v>
      </c>
      <c r="K115" s="3"/>
      <c r="L115" s="11">
        <f>+SUM('[1]Non-Union - 3.5%'!$K$37:$N$37)</f>
        <v>43510.62</v>
      </c>
      <c r="M115" s="38">
        <f>+L115/J115</f>
        <v>1.1837691805419523</v>
      </c>
    </row>
    <row r="116" spans="1:13" hidden="1" x14ac:dyDescent="0.25">
      <c r="A116" s="14" t="s">
        <v>169</v>
      </c>
      <c r="B116" s="15" t="s">
        <v>130</v>
      </c>
      <c r="C116" s="16">
        <v>1206</v>
      </c>
      <c r="D116" s="11">
        <v>1242.4000000000001</v>
      </c>
      <c r="E116" s="11">
        <v>0</v>
      </c>
      <c r="F116" s="11">
        <v>0</v>
      </c>
      <c r="G116" s="11">
        <v>0</v>
      </c>
      <c r="H116" s="3"/>
      <c r="I116" s="11"/>
      <c r="J116" s="11"/>
      <c r="K116" s="3"/>
      <c r="L116" s="11"/>
    </row>
    <row r="117" spans="1:13" hidden="1" x14ac:dyDescent="0.25">
      <c r="A117" s="14" t="s">
        <v>170</v>
      </c>
      <c r="B117" s="15" t="s">
        <v>171</v>
      </c>
      <c r="C117" s="16">
        <v>1435</v>
      </c>
      <c r="D117" s="11">
        <v>-158.06</v>
      </c>
      <c r="E117" s="11">
        <v>0</v>
      </c>
      <c r="F117" s="11">
        <v>0</v>
      </c>
      <c r="G117" s="11">
        <v>284.5</v>
      </c>
      <c r="H117" s="3"/>
      <c r="I117" s="11">
        <v>500</v>
      </c>
      <c r="J117" s="11">
        <v>500</v>
      </c>
      <c r="K117" s="3"/>
      <c r="L117" s="11">
        <v>500</v>
      </c>
      <c r="M117" s="38">
        <f t="shared" ref="M117:M124" si="3">+L117/J117</f>
        <v>1</v>
      </c>
    </row>
    <row r="118" spans="1:13" hidden="1" x14ac:dyDescent="0.25">
      <c r="A118" s="14" t="s">
        <v>172</v>
      </c>
      <c r="B118" s="15" t="s">
        <v>132</v>
      </c>
      <c r="C118" s="16">
        <v>391</v>
      </c>
      <c r="D118" s="11">
        <v>321.33999999999997</v>
      </c>
      <c r="E118" s="11">
        <v>1026.3</v>
      </c>
      <c r="F118" s="11">
        <v>1301.3599999999999</v>
      </c>
      <c r="G118" s="11">
        <v>929.28</v>
      </c>
      <c r="H118" s="3"/>
      <c r="I118" s="11">
        <v>325</v>
      </c>
      <c r="J118" s="11">
        <v>326</v>
      </c>
      <c r="K118" s="3"/>
      <c r="L118" s="11">
        <f>+'[1]Non-Union - 3.5%'!$R$37+'[1]Non-Union - 3.5%'!$Y$37</f>
        <v>337.60708839999995</v>
      </c>
      <c r="M118" s="38">
        <f t="shared" si="3"/>
        <v>1.0356045656441717</v>
      </c>
    </row>
    <row r="119" spans="1:13" hidden="1" x14ac:dyDescent="0.25">
      <c r="A119" s="14" t="s">
        <v>173</v>
      </c>
      <c r="B119" s="15" t="s">
        <v>134</v>
      </c>
      <c r="C119" s="16">
        <v>16553</v>
      </c>
      <c r="D119" s="11">
        <v>57169.25</v>
      </c>
      <c r="E119" s="11">
        <v>81223.45</v>
      </c>
      <c r="F119" s="11">
        <v>80574.27</v>
      </c>
      <c r="G119" s="11">
        <v>91053.41</v>
      </c>
      <c r="H119" s="3"/>
      <c r="I119" s="11">
        <v>83250</v>
      </c>
      <c r="J119" s="11">
        <v>83250</v>
      </c>
      <c r="K119" s="3"/>
      <c r="L119" s="11">
        <v>94825</v>
      </c>
      <c r="M119" s="38">
        <f t="shared" si="3"/>
        <v>1.139039039039039</v>
      </c>
    </row>
    <row r="120" spans="1:13" hidden="1" x14ac:dyDescent="0.25">
      <c r="A120" s="14" t="s">
        <v>174</v>
      </c>
      <c r="B120" s="15" t="s">
        <v>136</v>
      </c>
      <c r="C120" s="16">
        <v>2648</v>
      </c>
      <c r="D120" s="11">
        <v>4799.67</v>
      </c>
      <c r="E120" s="11">
        <f>4917.14+80.26</f>
        <v>4997.4000000000005</v>
      </c>
      <c r="F120" s="11">
        <v>5512.81</v>
      </c>
      <c r="G120" s="11">
        <v>6809.54</v>
      </c>
      <c r="H120" s="3"/>
      <c r="I120" s="11">
        <v>8325</v>
      </c>
      <c r="J120" s="11">
        <v>8325</v>
      </c>
      <c r="K120" s="3"/>
      <c r="L120" s="11">
        <v>9427.25</v>
      </c>
      <c r="M120" s="38">
        <f t="shared" si="3"/>
        <v>1.1324024024024024</v>
      </c>
    </row>
    <row r="121" spans="1:13" hidden="1" x14ac:dyDescent="0.25">
      <c r="A121" s="14" t="s">
        <v>175</v>
      </c>
      <c r="B121" s="15" t="s">
        <v>176</v>
      </c>
      <c r="C121" s="16">
        <v>0</v>
      </c>
      <c r="D121" s="11">
        <v>1173.17</v>
      </c>
      <c r="E121" s="11">
        <v>1248.1099999999999</v>
      </c>
      <c r="F121" s="11">
        <v>2017.2</v>
      </c>
      <c r="G121" s="11">
        <v>2958.49</v>
      </c>
      <c r="H121" s="3"/>
      <c r="I121" s="11">
        <v>3000</v>
      </c>
      <c r="J121" s="11">
        <v>3000</v>
      </c>
      <c r="K121" s="3"/>
      <c r="L121" s="11">
        <v>3000</v>
      </c>
      <c r="M121" s="38">
        <f t="shared" si="3"/>
        <v>1</v>
      </c>
    </row>
    <row r="122" spans="1:13" hidden="1" x14ac:dyDescent="0.25">
      <c r="A122" s="14" t="s">
        <v>177</v>
      </c>
      <c r="B122" s="15" t="s">
        <v>138</v>
      </c>
      <c r="C122" s="16">
        <v>401</v>
      </c>
      <c r="D122" s="11">
        <v>362.49</v>
      </c>
      <c r="E122" s="11">
        <v>717.5</v>
      </c>
      <c r="F122" s="11">
        <v>8095.98</v>
      </c>
      <c r="G122" s="11">
        <v>-2329.25</v>
      </c>
      <c r="H122" s="3"/>
      <c r="I122" s="11">
        <v>366.3</v>
      </c>
      <c r="J122" s="11">
        <v>366.3</v>
      </c>
      <c r="K122" s="3"/>
      <c r="L122" s="11">
        <f>392.92+24.31</f>
        <v>417.23</v>
      </c>
      <c r="M122" s="38">
        <f t="shared" si="3"/>
        <v>1.139039039039039</v>
      </c>
    </row>
    <row r="123" spans="1:13" hidden="1" x14ac:dyDescent="0.25">
      <c r="A123" s="14" t="s">
        <v>178</v>
      </c>
      <c r="B123" s="15" t="s">
        <v>140</v>
      </c>
      <c r="C123" s="16">
        <v>10858</v>
      </c>
      <c r="D123" s="11">
        <v>10186.4</v>
      </c>
      <c r="E123" s="11">
        <v>7670.93</v>
      </c>
      <c r="F123" s="11">
        <v>10989.56</v>
      </c>
      <c r="G123" s="11">
        <v>6400.26</v>
      </c>
      <c r="H123" s="3"/>
      <c r="I123" s="11">
        <v>11130</v>
      </c>
      <c r="J123" s="11">
        <v>11130</v>
      </c>
      <c r="K123" s="3"/>
      <c r="L123" s="11">
        <v>10000</v>
      </c>
      <c r="M123" s="38">
        <f t="shared" si="3"/>
        <v>0.89847259658580414</v>
      </c>
    </row>
    <row r="124" spans="1:13" hidden="1" x14ac:dyDescent="0.25">
      <c r="A124" s="14" t="s">
        <v>179</v>
      </c>
      <c r="B124" s="15" t="s">
        <v>142</v>
      </c>
      <c r="C124" s="16">
        <v>0</v>
      </c>
      <c r="D124" s="11">
        <v>780</v>
      </c>
      <c r="E124" s="11">
        <v>2040</v>
      </c>
      <c r="F124" s="11">
        <v>2880</v>
      </c>
      <c r="G124" s="11">
        <v>1808</v>
      </c>
      <c r="H124" s="3"/>
      <c r="I124" s="11">
        <v>2880</v>
      </c>
      <c r="J124" s="11">
        <v>2880</v>
      </c>
      <c r="K124" s="3"/>
      <c r="L124" s="11">
        <v>3400</v>
      </c>
      <c r="M124" s="38">
        <f t="shared" si="3"/>
        <v>1.1805555555555556</v>
      </c>
    </row>
    <row r="125" spans="1:13" hidden="1" x14ac:dyDescent="0.25">
      <c r="A125" s="14" t="s">
        <v>180</v>
      </c>
      <c r="B125" s="15" t="s">
        <v>146</v>
      </c>
      <c r="C125" s="16">
        <v>9812</v>
      </c>
      <c r="D125" s="11">
        <v>7179.74</v>
      </c>
      <c r="E125" s="11">
        <v>2565.46</v>
      </c>
      <c r="F125" s="11">
        <v>471.52</v>
      </c>
      <c r="G125" s="11">
        <v>2092.15</v>
      </c>
      <c r="H125" s="3"/>
      <c r="I125" s="11"/>
      <c r="J125" s="11">
        <v>0</v>
      </c>
      <c r="K125" s="3"/>
      <c r="L125" s="11"/>
    </row>
    <row r="126" spans="1:13" hidden="1" x14ac:dyDescent="0.25">
      <c r="A126" s="14" t="s">
        <v>181</v>
      </c>
      <c r="B126" s="15" t="s">
        <v>182</v>
      </c>
      <c r="C126" s="16">
        <v>0</v>
      </c>
      <c r="D126" s="11">
        <v>678.62</v>
      </c>
      <c r="E126" s="11">
        <v>13.48</v>
      </c>
      <c r="F126" s="11">
        <v>151.41</v>
      </c>
      <c r="G126" s="11">
        <v>46.12</v>
      </c>
      <c r="H126" s="3"/>
      <c r="I126" s="11">
        <v>200</v>
      </c>
      <c r="J126" s="11">
        <v>200</v>
      </c>
      <c r="K126" s="3"/>
      <c r="L126" s="11">
        <v>100</v>
      </c>
      <c r="M126" s="38">
        <f>+L126/J126</f>
        <v>0.5</v>
      </c>
    </row>
    <row r="127" spans="1:13" hidden="1" x14ac:dyDescent="0.25">
      <c r="A127" s="14" t="s">
        <v>183</v>
      </c>
      <c r="B127" s="15" t="s">
        <v>184</v>
      </c>
      <c r="C127" s="16">
        <v>170</v>
      </c>
      <c r="D127" s="11">
        <v>248.95</v>
      </c>
      <c r="E127" s="11">
        <v>1737.2</v>
      </c>
      <c r="F127" s="11">
        <v>0</v>
      </c>
      <c r="G127" s="11">
        <v>384.3</v>
      </c>
      <c r="H127" s="3"/>
      <c r="I127" s="11">
        <v>2500</v>
      </c>
      <c r="J127" s="11">
        <v>2500</v>
      </c>
      <c r="K127" s="3"/>
      <c r="L127" s="11">
        <v>1000</v>
      </c>
      <c r="M127" s="38">
        <f>+L127/J127</f>
        <v>0.4</v>
      </c>
    </row>
    <row r="128" spans="1:13" hidden="1" x14ac:dyDescent="0.25">
      <c r="A128" s="14" t="s">
        <v>185</v>
      </c>
      <c r="B128" s="15" t="s">
        <v>152</v>
      </c>
      <c r="C128" s="16">
        <v>274</v>
      </c>
      <c r="D128" s="11">
        <v>278.35000000000002</v>
      </c>
      <c r="E128" s="11">
        <v>188.23</v>
      </c>
      <c r="F128" s="11">
        <v>295.79000000000002</v>
      </c>
      <c r="G128" s="11">
        <v>365.12</v>
      </c>
      <c r="H128" s="3"/>
      <c r="I128" s="11">
        <v>500</v>
      </c>
      <c r="J128" s="11">
        <v>500</v>
      </c>
      <c r="K128" s="3"/>
      <c r="L128" s="11">
        <v>500</v>
      </c>
      <c r="M128" s="38">
        <f>+L128/J128</f>
        <v>1</v>
      </c>
    </row>
    <row r="129" spans="1:13" hidden="1" x14ac:dyDescent="0.25">
      <c r="A129" s="14" t="s">
        <v>186</v>
      </c>
      <c r="B129" s="15" t="s">
        <v>156</v>
      </c>
      <c r="C129" s="16">
        <v>0</v>
      </c>
      <c r="D129" s="11">
        <v>849.2</v>
      </c>
      <c r="E129" s="11"/>
      <c r="F129" s="11">
        <v>0</v>
      </c>
      <c r="G129" s="11">
        <v>0</v>
      </c>
      <c r="H129" s="3"/>
      <c r="I129" s="11"/>
      <c r="J129" s="11"/>
      <c r="K129" s="3"/>
      <c r="L129" s="11"/>
    </row>
    <row r="130" spans="1:13" hidden="1" x14ac:dyDescent="0.25">
      <c r="A130" s="14" t="s">
        <v>187</v>
      </c>
      <c r="B130" s="15" t="s">
        <v>158</v>
      </c>
      <c r="C130" s="16">
        <v>156</v>
      </c>
      <c r="D130" s="11">
        <v>0</v>
      </c>
      <c r="E130" s="11">
        <v>0</v>
      </c>
      <c r="F130" s="11">
        <v>0</v>
      </c>
      <c r="G130" s="11">
        <v>0</v>
      </c>
      <c r="H130" s="3"/>
      <c r="I130" s="11">
        <v>1000</v>
      </c>
      <c r="J130" s="11">
        <v>1000</v>
      </c>
      <c r="K130" s="3"/>
      <c r="L130" s="11">
        <v>1000</v>
      </c>
      <c r="M130" s="38">
        <f>+L130/J130</f>
        <v>1</v>
      </c>
    </row>
    <row r="131" spans="1:13" hidden="1" x14ac:dyDescent="0.25">
      <c r="A131" s="14" t="s">
        <v>188</v>
      </c>
      <c r="B131" s="15" t="s">
        <v>160</v>
      </c>
      <c r="C131" s="16">
        <v>3361</v>
      </c>
      <c r="D131" s="11">
        <v>5796.52</v>
      </c>
      <c r="E131" s="11">
        <v>2531.19</v>
      </c>
      <c r="F131" s="11">
        <v>4850.5600000000004</v>
      </c>
      <c r="G131" s="11">
        <v>1651.74</v>
      </c>
      <c r="H131" s="3"/>
      <c r="I131" s="11">
        <v>7000</v>
      </c>
      <c r="J131" s="11">
        <v>7000</v>
      </c>
      <c r="K131" s="3"/>
      <c r="L131" s="11">
        <v>2500</v>
      </c>
      <c r="M131" s="38">
        <f>+L131/J131</f>
        <v>0.35714285714285715</v>
      </c>
    </row>
    <row r="132" spans="1:13" hidden="1" x14ac:dyDescent="0.25">
      <c r="A132" s="14" t="s">
        <v>189</v>
      </c>
      <c r="B132" s="15" t="s">
        <v>80</v>
      </c>
      <c r="C132" s="16">
        <v>2862</v>
      </c>
      <c r="D132" s="11">
        <v>2240.1999999999998</v>
      </c>
      <c r="E132" s="11">
        <v>331.83</v>
      </c>
      <c r="F132" s="11">
        <v>65.14</v>
      </c>
      <c r="G132" s="11">
        <v>447.89</v>
      </c>
      <c r="H132" s="3"/>
      <c r="I132" s="11">
        <v>1500</v>
      </c>
      <c r="J132" s="11">
        <v>1500</v>
      </c>
      <c r="K132" s="3"/>
      <c r="L132" s="11">
        <v>1000</v>
      </c>
      <c r="M132" s="38">
        <f>+L132/J132</f>
        <v>0.66666666666666663</v>
      </c>
    </row>
    <row r="133" spans="1:13" hidden="1" x14ac:dyDescent="0.25">
      <c r="A133" s="14" t="s">
        <v>190</v>
      </c>
      <c r="B133" s="15" t="s">
        <v>164</v>
      </c>
      <c r="C133" s="16">
        <v>1185</v>
      </c>
      <c r="D133" s="11">
        <v>1175.76</v>
      </c>
      <c r="E133" s="11">
        <v>220</v>
      </c>
      <c r="F133" s="11">
        <v>883.97</v>
      </c>
      <c r="G133" s="11">
        <v>703</v>
      </c>
      <c r="H133" s="3"/>
      <c r="I133" s="11">
        <v>1500</v>
      </c>
      <c r="J133" s="11">
        <v>1500</v>
      </c>
      <c r="K133" s="3"/>
      <c r="L133" s="11">
        <v>1500</v>
      </c>
      <c r="M133" s="38">
        <f>+L133/J133</f>
        <v>1</v>
      </c>
    </row>
    <row r="134" spans="1:13" hidden="1" x14ac:dyDescent="0.25">
      <c r="A134" s="14">
        <v>6052000</v>
      </c>
      <c r="B134" s="15" t="s">
        <v>191</v>
      </c>
      <c r="C134" s="16"/>
      <c r="D134" s="11"/>
      <c r="E134" s="11"/>
      <c r="F134" s="11">
        <v>0</v>
      </c>
      <c r="G134" s="11">
        <v>0</v>
      </c>
      <c r="H134" s="3"/>
      <c r="I134" s="11"/>
      <c r="J134" s="11"/>
      <c r="K134" s="3"/>
      <c r="L134" s="11"/>
    </row>
    <row r="135" spans="1:13" hidden="1" x14ac:dyDescent="0.25">
      <c r="A135" s="14"/>
      <c r="B135" s="15"/>
      <c r="C135" s="16"/>
      <c r="D135" s="11"/>
      <c r="E135" s="11"/>
      <c r="F135" s="11"/>
      <c r="G135" s="11"/>
      <c r="H135" s="3"/>
      <c r="I135" s="11"/>
      <c r="J135" s="11"/>
      <c r="K135" s="3"/>
      <c r="L135" s="11"/>
    </row>
    <row r="136" spans="1:13" hidden="1" x14ac:dyDescent="0.25">
      <c r="A136" s="29"/>
      <c r="B136" s="30" t="s">
        <v>192</v>
      </c>
      <c r="C136" s="16">
        <f>SUM(C113:C134)</f>
        <v>166832</v>
      </c>
      <c r="D136" s="11">
        <f>SUM(D113:D134)</f>
        <v>223603.50000000003</v>
      </c>
      <c r="E136" s="11">
        <f>SUM(E113:E134)</f>
        <v>178838.46</v>
      </c>
      <c r="F136" s="11">
        <f>SUM(F113:F134)</f>
        <v>235154.10000000003</v>
      </c>
      <c r="G136" s="11">
        <f>SUM(G113:G134)</f>
        <v>196285.02</v>
      </c>
      <c r="H136" s="3"/>
      <c r="I136" s="11">
        <f>SUM(I113:I134)</f>
        <v>240563.3</v>
      </c>
      <c r="J136" s="11">
        <f>SUM(J113:J134)</f>
        <v>240563.3</v>
      </c>
      <c r="K136" s="3"/>
      <c r="L136" s="11">
        <f>SUM(L113:L134)</f>
        <v>255639.44696840001</v>
      </c>
      <c r="M136" s="38">
        <f>+L136/J136</f>
        <v>1.0626701868838682</v>
      </c>
    </row>
    <row r="137" spans="1:13" x14ac:dyDescent="0.25">
      <c r="A137" s="29"/>
      <c r="B137" s="30"/>
      <c r="C137" s="16"/>
      <c r="D137" s="11"/>
      <c r="E137" s="11"/>
      <c r="F137" s="11"/>
      <c r="G137" s="11"/>
      <c r="H137" s="3"/>
      <c r="I137" s="11"/>
      <c r="J137" s="11"/>
      <c r="K137" s="3"/>
      <c r="L137" s="11"/>
    </row>
    <row r="138" spans="1:13" x14ac:dyDescent="0.25">
      <c r="A138" s="14" t="s">
        <v>193</v>
      </c>
      <c r="B138" s="15" t="s">
        <v>124</v>
      </c>
      <c r="C138" s="16">
        <v>51980</v>
      </c>
      <c r="D138" s="11">
        <v>54667.360000000001</v>
      </c>
      <c r="E138" s="11">
        <v>55705.91</v>
      </c>
      <c r="F138" s="11">
        <v>77351.539999999994</v>
      </c>
      <c r="G138" s="11">
        <v>67077.399999999994</v>
      </c>
      <c r="H138" s="3"/>
      <c r="I138" s="11">
        <v>110589</v>
      </c>
      <c r="J138" s="11">
        <v>110589</v>
      </c>
      <c r="K138" s="3"/>
      <c r="L138" s="11">
        <f>+'[1]Non-Union - 3.5%'!$I$43</f>
        <v>113560.2</v>
      </c>
      <c r="M138" s="38">
        <f t="shared" ref="M138:M145" si="4">+L138/J138</f>
        <v>1.0268670482597726</v>
      </c>
    </row>
    <row r="139" spans="1:13" x14ac:dyDescent="0.25">
      <c r="A139" s="14" t="s">
        <v>194</v>
      </c>
      <c r="B139" s="15" t="s">
        <v>126</v>
      </c>
      <c r="C139" s="16">
        <v>4106</v>
      </c>
      <c r="D139" s="11">
        <v>4775.8500000000004</v>
      </c>
      <c r="E139" s="11">
        <v>4564.83</v>
      </c>
      <c r="F139" s="11">
        <v>6504.31</v>
      </c>
      <c r="G139" s="11">
        <v>4632.8100000000004</v>
      </c>
      <c r="H139" s="3"/>
      <c r="I139" s="11">
        <v>8847</v>
      </c>
      <c r="J139" s="11">
        <v>8847</v>
      </c>
      <c r="K139" s="3"/>
      <c r="L139" s="11">
        <f>+'[1]Non-Union - 3.5%'!$P$43</f>
        <v>9084.8159999999989</v>
      </c>
      <c r="M139" s="38">
        <f t="shared" si="4"/>
        <v>1.026880976602238</v>
      </c>
    </row>
    <row r="140" spans="1:13" x14ac:dyDescent="0.25">
      <c r="A140" s="14" t="s">
        <v>195</v>
      </c>
      <c r="B140" s="15" t="s">
        <v>128</v>
      </c>
      <c r="C140" s="16">
        <v>10250</v>
      </c>
      <c r="D140" s="11">
        <v>10725.34</v>
      </c>
      <c r="E140" s="11">
        <v>11006.55</v>
      </c>
      <c r="F140" s="11">
        <v>14335.23</v>
      </c>
      <c r="G140" s="11">
        <v>11031.78</v>
      </c>
      <c r="H140" s="3"/>
      <c r="I140" s="11">
        <v>15891</v>
      </c>
      <c r="J140" s="11">
        <v>15891</v>
      </c>
      <c r="K140" s="3"/>
      <c r="L140" s="11">
        <f>+SUM('[1]Non-Union - 3.5%'!$K$43:$N$43)</f>
        <v>18515.920000000002</v>
      </c>
      <c r="M140" s="38">
        <f t="shared" si="4"/>
        <v>1.1651828078786737</v>
      </c>
    </row>
    <row r="141" spans="1:13" x14ac:dyDescent="0.25">
      <c r="A141" s="14" t="s">
        <v>196</v>
      </c>
      <c r="B141" s="15" t="s">
        <v>130</v>
      </c>
      <c r="C141" s="16">
        <v>1422</v>
      </c>
      <c r="D141" s="11">
        <v>1599.68</v>
      </c>
      <c r="E141" s="11">
        <v>2038.87</v>
      </c>
      <c r="F141" s="11">
        <v>1812.72</v>
      </c>
      <c r="G141" s="11">
        <v>1272.3599999999999</v>
      </c>
      <c r="H141" s="3"/>
      <c r="I141" s="11">
        <v>1950</v>
      </c>
      <c r="J141" s="11">
        <v>1950</v>
      </c>
      <c r="K141" s="3"/>
      <c r="L141" s="11">
        <f>+'[1]Non-Union - 3.5%'!$O$43</f>
        <v>2018.25</v>
      </c>
      <c r="M141" s="38">
        <f t="shared" si="4"/>
        <v>1.0349999999999999</v>
      </c>
    </row>
    <row r="142" spans="1:13" x14ac:dyDescent="0.25">
      <c r="A142" s="14" t="s">
        <v>197</v>
      </c>
      <c r="B142" s="15" t="s">
        <v>171</v>
      </c>
      <c r="C142" s="16">
        <v>0</v>
      </c>
      <c r="D142" s="11">
        <v>42</v>
      </c>
      <c r="E142" s="11">
        <v>20</v>
      </c>
      <c r="F142" s="11">
        <v>0</v>
      </c>
      <c r="G142" s="11">
        <v>134.38999999999999</v>
      </c>
      <c r="H142" s="3"/>
      <c r="I142" s="11">
        <v>200</v>
      </c>
      <c r="J142" s="11">
        <v>200</v>
      </c>
      <c r="K142" s="3"/>
      <c r="L142" s="11">
        <v>200</v>
      </c>
      <c r="M142" s="38">
        <f t="shared" si="4"/>
        <v>1</v>
      </c>
    </row>
    <row r="143" spans="1:13" x14ac:dyDescent="0.25">
      <c r="A143" s="14" t="s">
        <v>198</v>
      </c>
      <c r="B143" s="15" t="s">
        <v>132</v>
      </c>
      <c r="C143" s="16">
        <v>270</v>
      </c>
      <c r="D143" s="11"/>
      <c r="E143" s="11">
        <v>661.55</v>
      </c>
      <c r="F143" s="11">
        <v>1301.17</v>
      </c>
      <c r="G143" s="11">
        <v>1747.34</v>
      </c>
      <c r="H143" s="3"/>
      <c r="I143" s="11">
        <v>487</v>
      </c>
      <c r="J143" s="11">
        <v>487</v>
      </c>
      <c r="K143" s="3"/>
      <c r="L143" s="11">
        <f>+'[1]Non-Union - 3.5%'!$R$43</f>
        <v>499.66487999999998</v>
      </c>
      <c r="M143" s="38">
        <f t="shared" si="4"/>
        <v>1.0260059137577002</v>
      </c>
    </row>
    <row r="144" spans="1:13" x14ac:dyDescent="0.25">
      <c r="A144" s="14" t="s">
        <v>199</v>
      </c>
      <c r="B144" s="15" t="s">
        <v>200</v>
      </c>
      <c r="C144" s="16">
        <v>502</v>
      </c>
      <c r="D144" s="11">
        <v>545.34</v>
      </c>
      <c r="E144" s="11">
        <v>738.29</v>
      </c>
      <c r="F144" s="11">
        <v>1088.67</v>
      </c>
      <c r="G144" s="11">
        <v>1300.55</v>
      </c>
      <c r="H144" s="3"/>
      <c r="I144" s="11">
        <v>1000</v>
      </c>
      <c r="J144" s="11">
        <v>1000</v>
      </c>
      <c r="K144" s="3"/>
      <c r="L144" s="11">
        <v>1500</v>
      </c>
      <c r="M144" s="38">
        <f t="shared" si="4"/>
        <v>1.5</v>
      </c>
    </row>
    <row r="145" spans="1:13" x14ac:dyDescent="0.25">
      <c r="A145" s="14" t="s">
        <v>201</v>
      </c>
      <c r="B145" s="15" t="s">
        <v>182</v>
      </c>
      <c r="C145" s="16">
        <v>960</v>
      </c>
      <c r="D145" s="11">
        <v>1524.36</v>
      </c>
      <c r="E145" s="11">
        <v>1848.74</v>
      </c>
      <c r="F145" s="11">
        <v>1790.09</v>
      </c>
      <c r="G145" s="11">
        <v>1692.08</v>
      </c>
      <c r="H145" s="3"/>
      <c r="I145" s="11">
        <v>2500</v>
      </c>
      <c r="J145" s="11">
        <v>2500</v>
      </c>
      <c r="K145" s="3"/>
      <c r="L145" s="11">
        <v>2500</v>
      </c>
      <c r="M145" s="38">
        <f t="shared" si="4"/>
        <v>1</v>
      </c>
    </row>
    <row r="146" spans="1:13" x14ac:dyDescent="0.25">
      <c r="A146" s="14">
        <v>6060610</v>
      </c>
      <c r="B146" s="15" t="s">
        <v>184</v>
      </c>
      <c r="C146" s="16"/>
      <c r="D146" s="11"/>
      <c r="E146" s="11"/>
      <c r="F146" s="11">
        <v>453.95</v>
      </c>
      <c r="G146" s="11">
        <v>0</v>
      </c>
      <c r="H146" s="3"/>
      <c r="I146" s="11"/>
      <c r="J146" s="11"/>
      <c r="K146" s="3"/>
      <c r="L146" s="11"/>
    </row>
    <row r="147" spans="1:13" x14ac:dyDescent="0.25">
      <c r="A147" s="14" t="s">
        <v>202</v>
      </c>
      <c r="B147" s="15" t="s">
        <v>156</v>
      </c>
      <c r="C147" s="16">
        <v>145</v>
      </c>
      <c r="D147" s="11">
        <v>200.74</v>
      </c>
      <c r="E147" s="11">
        <v>0</v>
      </c>
      <c r="F147" s="11"/>
      <c r="G147" s="11">
        <v>205</v>
      </c>
      <c r="H147" s="3"/>
      <c r="I147" s="11">
        <v>500</v>
      </c>
      <c r="J147" s="11">
        <v>500</v>
      </c>
      <c r="K147" s="3"/>
      <c r="L147" s="11">
        <v>500</v>
      </c>
      <c r="M147" s="38">
        <f>+L147/J147</f>
        <v>1</v>
      </c>
    </row>
    <row r="148" spans="1:13" x14ac:dyDescent="0.25">
      <c r="A148" s="14" t="s">
        <v>203</v>
      </c>
      <c r="B148" s="15" t="s">
        <v>158</v>
      </c>
      <c r="C148" s="16">
        <v>155</v>
      </c>
      <c r="D148" s="11">
        <v>165</v>
      </c>
      <c r="E148" s="11">
        <v>165</v>
      </c>
      <c r="F148" s="11">
        <v>903.91</v>
      </c>
      <c r="G148" s="11">
        <v>70</v>
      </c>
      <c r="H148" s="3"/>
      <c r="I148" s="11">
        <v>1000</v>
      </c>
      <c r="J148" s="11">
        <v>1000</v>
      </c>
      <c r="K148" s="3"/>
      <c r="L148" s="11">
        <v>500</v>
      </c>
      <c r="M148" s="38">
        <f>+L148/J148</f>
        <v>0.5</v>
      </c>
    </row>
    <row r="149" spans="1:13" x14ac:dyDescent="0.25">
      <c r="A149" s="14" t="s">
        <v>204</v>
      </c>
      <c r="B149" s="15" t="s">
        <v>160</v>
      </c>
      <c r="C149" s="16">
        <v>864</v>
      </c>
      <c r="D149" s="11">
        <v>1547.8</v>
      </c>
      <c r="E149" s="11">
        <v>913.43</v>
      </c>
      <c r="F149" s="11">
        <v>1486.03</v>
      </c>
      <c r="G149" s="11">
        <v>1402.02</v>
      </c>
      <c r="H149" s="3"/>
      <c r="I149" s="11">
        <v>2500</v>
      </c>
      <c r="J149" s="11">
        <v>2500</v>
      </c>
      <c r="K149" s="3"/>
      <c r="L149" s="11">
        <v>2000</v>
      </c>
      <c r="M149" s="38">
        <f>+L149/J149</f>
        <v>0.8</v>
      </c>
    </row>
    <row r="150" spans="1:13" x14ac:dyDescent="0.25">
      <c r="A150" s="14" t="s">
        <v>205</v>
      </c>
      <c r="B150" s="15" t="s">
        <v>80</v>
      </c>
      <c r="C150" s="16">
        <v>99</v>
      </c>
      <c r="D150" s="11">
        <v>53.38</v>
      </c>
      <c r="E150" s="11">
        <v>52</v>
      </c>
      <c r="F150" s="11">
        <v>75.03</v>
      </c>
      <c r="G150" s="11">
        <v>0</v>
      </c>
      <c r="H150" s="3"/>
      <c r="I150" s="11">
        <v>250</v>
      </c>
      <c r="J150" s="11">
        <v>250</v>
      </c>
      <c r="K150" s="3"/>
      <c r="L150" s="11">
        <v>250</v>
      </c>
      <c r="M150" s="38">
        <f>+L150/J150</f>
        <v>1</v>
      </c>
    </row>
    <row r="151" spans="1:13" x14ac:dyDescent="0.25">
      <c r="A151" s="14"/>
      <c r="B151" s="15"/>
      <c r="C151" s="16"/>
      <c r="D151" s="11"/>
      <c r="E151" s="11"/>
      <c r="F151" s="11"/>
      <c r="G151" s="11"/>
      <c r="H151" s="3"/>
      <c r="I151" s="11"/>
      <c r="J151" s="11"/>
      <c r="K151" s="3"/>
      <c r="L151" s="11"/>
    </row>
    <row r="152" spans="1:13" x14ac:dyDescent="0.25">
      <c r="A152" s="29"/>
      <c r="B152" s="30" t="s">
        <v>206</v>
      </c>
      <c r="C152" s="16">
        <f>SUM(C138:C150)</f>
        <v>70753</v>
      </c>
      <c r="D152" s="11">
        <f>SUM(D138:D150)</f>
        <v>75846.850000000006</v>
      </c>
      <c r="E152" s="11">
        <f>SUM(E138:E150)</f>
        <v>77715.17</v>
      </c>
      <c r="F152" s="11">
        <f>SUM(F138:F150)</f>
        <v>107102.64999999998</v>
      </c>
      <c r="G152" s="11">
        <f>SUM(G138:G150)</f>
        <v>90565.73</v>
      </c>
      <c r="H152" s="3"/>
      <c r="I152" s="11">
        <f>SUM(I138:I150)</f>
        <v>145714</v>
      </c>
      <c r="J152" s="11">
        <f>SUM(J138:J150)</f>
        <v>145714</v>
      </c>
      <c r="K152" s="3"/>
      <c r="L152" s="11">
        <f>SUM(L138:L150)</f>
        <v>151128.85088000001</v>
      </c>
      <c r="M152" s="38">
        <f>+L152/J152</f>
        <v>1.0371608141976749</v>
      </c>
    </row>
    <row r="153" spans="1:13" hidden="1" x14ac:dyDescent="0.25">
      <c r="A153" s="29"/>
      <c r="B153" s="30"/>
      <c r="C153" s="16"/>
      <c r="D153" s="11"/>
      <c r="E153" s="11"/>
      <c r="F153" s="11"/>
      <c r="G153" s="11"/>
      <c r="H153" s="3"/>
      <c r="I153" s="11"/>
      <c r="J153" s="11"/>
      <c r="K153" s="3"/>
      <c r="L153" s="11"/>
    </row>
    <row r="154" spans="1:13" hidden="1" x14ac:dyDescent="0.25">
      <c r="A154" s="14" t="s">
        <v>207</v>
      </c>
      <c r="B154" s="15" t="s">
        <v>124</v>
      </c>
      <c r="C154" s="16">
        <v>41240</v>
      </c>
      <c r="D154" s="11">
        <v>60236.07</v>
      </c>
      <c r="E154" s="11">
        <v>33683.4</v>
      </c>
      <c r="F154" s="11">
        <v>39820.85</v>
      </c>
      <c r="G154" s="11">
        <v>25463.07</v>
      </c>
      <c r="H154" s="3"/>
      <c r="I154" s="11">
        <v>62859</v>
      </c>
      <c r="J154" s="11">
        <v>40000</v>
      </c>
      <c r="K154" s="3"/>
      <c r="L154" s="11">
        <f>+'[1]Non-Union - 3.5%'!$I$47</f>
        <v>29062.799999999996</v>
      </c>
      <c r="M154" s="38">
        <f t="shared" ref="M154:M160" si="5">+L154/J154</f>
        <v>0.72656999999999994</v>
      </c>
    </row>
    <row r="155" spans="1:13" hidden="1" x14ac:dyDescent="0.25">
      <c r="A155" s="14" t="s">
        <v>208</v>
      </c>
      <c r="B155" s="15" t="s">
        <v>126</v>
      </c>
      <c r="C155" s="16">
        <v>3874</v>
      </c>
      <c r="D155" s="11">
        <v>5318.45</v>
      </c>
      <c r="E155" s="11">
        <v>2923.34</v>
      </c>
      <c r="F155" s="11">
        <v>3373.75</v>
      </c>
      <c r="G155" s="11">
        <v>1995.67</v>
      </c>
      <c r="H155" s="3"/>
      <c r="I155" s="11">
        <v>5029</v>
      </c>
      <c r="J155" s="11">
        <v>3200</v>
      </c>
      <c r="K155" s="3"/>
      <c r="L155" s="11">
        <f>+'[1]Non-Union - 3.5%'!$P$47</f>
        <v>2325.0239999999999</v>
      </c>
      <c r="M155" s="38">
        <f t="shared" si="5"/>
        <v>0.72656999999999994</v>
      </c>
    </row>
    <row r="156" spans="1:13" hidden="1" x14ac:dyDescent="0.25">
      <c r="A156" s="14" t="s">
        <v>209</v>
      </c>
      <c r="B156" s="15" t="s">
        <v>171</v>
      </c>
      <c r="C156" s="16">
        <v>18</v>
      </c>
      <c r="D156" s="11">
        <v>11.7</v>
      </c>
      <c r="E156" s="11">
        <v>0</v>
      </c>
      <c r="F156" s="11"/>
      <c r="G156" s="11">
        <v>324.13</v>
      </c>
      <c r="H156" s="3"/>
      <c r="I156" s="11"/>
      <c r="J156" s="11"/>
      <c r="K156" s="3"/>
      <c r="L156" s="11">
        <v>250</v>
      </c>
    </row>
    <row r="157" spans="1:13" hidden="1" x14ac:dyDescent="0.25">
      <c r="A157" s="14" t="s">
        <v>210</v>
      </c>
      <c r="B157" s="15" t="s">
        <v>132</v>
      </c>
      <c r="C157" s="16">
        <v>111</v>
      </c>
      <c r="D157" s="11">
        <v>87.01</v>
      </c>
      <c r="E157" s="11">
        <v>647.65</v>
      </c>
      <c r="F157" s="11">
        <v>1301.17</v>
      </c>
      <c r="G157" s="11">
        <v>610.53</v>
      </c>
      <c r="H157" s="3"/>
      <c r="I157" s="11">
        <v>82</v>
      </c>
      <c r="J157" s="11">
        <v>82</v>
      </c>
      <c r="K157" s="3"/>
      <c r="L157" s="11">
        <f>+'[1]Non-Union - 3.5%'!$R$47</f>
        <v>37.781639999999996</v>
      </c>
      <c r="M157" s="38">
        <f t="shared" si="5"/>
        <v>0.4607517073170731</v>
      </c>
    </row>
    <row r="158" spans="1:13" hidden="1" x14ac:dyDescent="0.25">
      <c r="A158" s="14">
        <v>6071300</v>
      </c>
      <c r="B158" s="15" t="s">
        <v>211</v>
      </c>
      <c r="C158" s="16">
        <v>0</v>
      </c>
      <c r="D158" s="11">
        <v>421.17</v>
      </c>
      <c r="E158" s="11">
        <v>188.65</v>
      </c>
      <c r="F158" s="11"/>
      <c r="G158" s="11">
        <v>0</v>
      </c>
      <c r="H158" s="3"/>
      <c r="I158" s="11">
        <v>250</v>
      </c>
      <c r="J158" s="11">
        <v>250</v>
      </c>
      <c r="K158" s="3"/>
      <c r="L158" s="11">
        <v>250</v>
      </c>
      <c r="M158" s="38">
        <f t="shared" si="5"/>
        <v>1</v>
      </c>
    </row>
    <row r="159" spans="1:13" hidden="1" x14ac:dyDescent="0.25">
      <c r="A159" s="14" t="s">
        <v>212</v>
      </c>
      <c r="B159" s="15" t="s">
        <v>160</v>
      </c>
      <c r="C159" s="16">
        <v>749</v>
      </c>
      <c r="D159" s="11">
        <v>1967.46</v>
      </c>
      <c r="E159" s="11">
        <v>1154.2</v>
      </c>
      <c r="F159" s="11">
        <v>629.27</v>
      </c>
      <c r="G159" s="11">
        <v>907.21</v>
      </c>
      <c r="H159" s="3"/>
      <c r="I159" s="11">
        <v>1200</v>
      </c>
      <c r="J159" s="11">
        <v>1200</v>
      </c>
      <c r="K159" s="3"/>
      <c r="L159" s="11">
        <v>1200</v>
      </c>
      <c r="M159" s="38">
        <f t="shared" si="5"/>
        <v>1</v>
      </c>
    </row>
    <row r="160" spans="1:13" hidden="1" x14ac:dyDescent="0.25">
      <c r="A160" s="14" t="s">
        <v>213</v>
      </c>
      <c r="B160" s="15" t="s">
        <v>80</v>
      </c>
      <c r="C160" s="16">
        <v>444</v>
      </c>
      <c r="D160" s="11">
        <v>1106.8800000000001</v>
      </c>
      <c r="E160" s="11">
        <v>0</v>
      </c>
      <c r="F160" s="11"/>
      <c r="G160" s="11">
        <v>0</v>
      </c>
      <c r="H160" s="3"/>
      <c r="I160" s="11">
        <v>500</v>
      </c>
      <c r="J160" s="11">
        <v>500</v>
      </c>
      <c r="K160" s="3"/>
      <c r="L160" s="11">
        <v>250</v>
      </c>
      <c r="M160" s="38">
        <f t="shared" si="5"/>
        <v>0.5</v>
      </c>
    </row>
    <row r="161" spans="1:13" hidden="1" x14ac:dyDescent="0.25">
      <c r="A161" s="14"/>
      <c r="B161" s="15"/>
      <c r="C161" s="16"/>
      <c r="D161" s="11"/>
      <c r="E161" s="11"/>
      <c r="F161" s="11"/>
      <c r="G161" s="11"/>
      <c r="H161" s="3"/>
      <c r="I161" s="11"/>
      <c r="J161" s="11"/>
      <c r="K161" s="3"/>
      <c r="L161" s="11"/>
    </row>
    <row r="162" spans="1:13" hidden="1" x14ac:dyDescent="0.25">
      <c r="A162" s="29"/>
      <c r="B162" s="30" t="s">
        <v>214</v>
      </c>
      <c r="C162" s="16">
        <f>SUM(C154:C160)</f>
        <v>46436</v>
      </c>
      <c r="D162" s="11">
        <f>SUM(D154:D160)</f>
        <v>69148.740000000005</v>
      </c>
      <c r="E162" s="11">
        <f>SUM(E154:E160)</f>
        <v>38597.240000000005</v>
      </c>
      <c r="F162" s="11">
        <f>SUM(F154:F160)</f>
        <v>45125.039999999994</v>
      </c>
      <c r="G162" s="11">
        <f>SUM(G154:G160)</f>
        <v>29300.609999999997</v>
      </c>
      <c r="H162" s="3"/>
      <c r="I162" s="11">
        <f>SUM(I154:I160)</f>
        <v>69920</v>
      </c>
      <c r="J162" s="11">
        <f>SUM(J154:J160)</f>
        <v>45232</v>
      </c>
      <c r="K162" s="3"/>
      <c r="L162" s="11">
        <f>SUM(L154:L160)</f>
        <v>33375.605639999994</v>
      </c>
      <c r="M162" s="38">
        <f>+L162/J162</f>
        <v>0.73787596480367867</v>
      </c>
    </row>
    <row r="163" spans="1:13" hidden="1" x14ac:dyDescent="0.25">
      <c r="A163" s="29"/>
      <c r="B163" s="30"/>
      <c r="C163" s="16"/>
      <c r="D163" s="11"/>
      <c r="E163" s="11"/>
      <c r="F163" s="11"/>
      <c r="G163" s="11"/>
      <c r="H163" s="3"/>
      <c r="I163" s="11"/>
      <c r="J163" s="11"/>
      <c r="K163" s="3"/>
      <c r="L163" s="11"/>
    </row>
    <row r="164" spans="1:13" hidden="1" x14ac:dyDescent="0.25">
      <c r="A164" s="17" t="s">
        <v>21</v>
      </c>
      <c r="B164" s="18" t="s">
        <v>215</v>
      </c>
      <c r="C164" s="11">
        <f>+C162+C152+C136+C111+C86</f>
        <v>1151613</v>
      </c>
      <c r="D164" s="11">
        <f>+D162+D152+D136+D111+D86</f>
        <v>1341454.58</v>
      </c>
      <c r="E164" s="11">
        <f>+E162+E152+E136+E111+E86</f>
        <v>1196697.2400000002</v>
      </c>
      <c r="F164" s="11">
        <f>+F162+F152+F136+F111+F86</f>
        <v>1526616.7560000001</v>
      </c>
      <c r="G164" s="11">
        <f>+G162+G152+G136+G111+G86</f>
        <v>1215212.9099999999</v>
      </c>
      <c r="H164" s="3"/>
      <c r="I164" s="11">
        <f>+I162+I152+I136+I111+I86</f>
        <v>1709098.3</v>
      </c>
      <c r="J164" s="11">
        <f>+J162+J152+J136+J111+J86</f>
        <v>1824010.3</v>
      </c>
      <c r="K164" s="3"/>
      <c r="L164" s="11">
        <f>+L162+L152+L136+L111+L86</f>
        <v>1771859.0770402863</v>
      </c>
      <c r="M164" s="38">
        <f>+L164/J164</f>
        <v>0.97140848220006559</v>
      </c>
    </row>
    <row r="165" spans="1:13" hidden="1" x14ac:dyDescent="0.25">
      <c r="D165" s="11"/>
      <c r="E165" s="11"/>
      <c r="F165" s="11"/>
      <c r="G165" s="11"/>
      <c r="H165" s="3"/>
      <c r="I165" s="11"/>
      <c r="J165" s="11"/>
      <c r="K165" s="3"/>
      <c r="L165" s="11"/>
    </row>
    <row r="166" spans="1:13" hidden="1" x14ac:dyDescent="0.25">
      <c r="A166" s="9" t="s">
        <v>216</v>
      </c>
      <c r="B166" s="10" t="s">
        <v>217</v>
      </c>
      <c r="D166" s="11"/>
      <c r="E166" s="11"/>
      <c r="F166" s="11"/>
      <c r="G166" s="11"/>
      <c r="H166" s="3"/>
      <c r="I166" s="11"/>
      <c r="J166" s="11"/>
      <c r="K166" s="3"/>
      <c r="L166" s="11"/>
    </row>
    <row r="167" spans="1:13" hidden="1" x14ac:dyDescent="0.25">
      <c r="A167" s="12" t="s">
        <v>9</v>
      </c>
      <c r="B167" s="13" t="s">
        <v>10</v>
      </c>
      <c r="D167" s="11"/>
      <c r="E167" s="11"/>
      <c r="F167" s="11"/>
      <c r="G167" s="11"/>
      <c r="H167" s="3"/>
      <c r="I167" s="11"/>
      <c r="J167" s="11"/>
      <c r="K167" s="3"/>
      <c r="L167" s="11"/>
    </row>
    <row r="168" spans="1:13" hidden="1" x14ac:dyDescent="0.25">
      <c r="A168" s="14" t="s">
        <v>218</v>
      </c>
      <c r="B168" s="15" t="s">
        <v>219</v>
      </c>
      <c r="C168" s="16">
        <v>676230</v>
      </c>
      <c r="D168" s="11">
        <v>793144.54</v>
      </c>
      <c r="E168" s="11">
        <v>725138.85</v>
      </c>
      <c r="F168" s="11">
        <v>1037671.5</v>
      </c>
      <c r="G168" s="11">
        <v>861248.2</v>
      </c>
      <c r="H168" s="3"/>
      <c r="I168" s="11">
        <v>1150000</v>
      </c>
      <c r="J168" s="11">
        <v>1320000</v>
      </c>
      <c r="K168" s="3"/>
      <c r="L168" s="11">
        <f>+'[1]Non-Union - 3.5%'!$I$17+[1]Union!$H$22+[1]Union!$U$22+[1]Union!$V$22+[1]Union!$W$22</f>
        <v>1347217.3961057691</v>
      </c>
      <c r="M168" s="38">
        <f t="shared" ref="M168:M185" si="6">+L168/J168</f>
        <v>1.0206192394740674</v>
      </c>
    </row>
    <row r="169" spans="1:13" hidden="1" x14ac:dyDescent="0.25">
      <c r="A169" s="14" t="s">
        <v>220</v>
      </c>
      <c r="B169" s="15" t="s">
        <v>221</v>
      </c>
      <c r="C169" s="16">
        <v>0</v>
      </c>
      <c r="D169" s="11">
        <v>2250</v>
      </c>
      <c r="E169" s="11">
        <v>9570</v>
      </c>
      <c r="F169" s="11">
        <v>50469.64</v>
      </c>
      <c r="G169" s="11">
        <v>31345</v>
      </c>
      <c r="H169" s="3"/>
      <c r="I169" s="11">
        <v>55120</v>
      </c>
      <c r="J169" s="11">
        <v>55120</v>
      </c>
      <c r="K169" s="3"/>
      <c r="L169" s="11">
        <v>50000</v>
      </c>
      <c r="M169" s="38">
        <f t="shared" si="6"/>
        <v>0.90711175616835993</v>
      </c>
    </row>
    <row r="170" spans="1:13" hidden="1" x14ac:dyDescent="0.25">
      <c r="A170" s="14" t="s">
        <v>222</v>
      </c>
      <c r="B170" s="15" t="s">
        <v>223</v>
      </c>
      <c r="C170" s="16">
        <v>55881</v>
      </c>
      <c r="D170" s="11">
        <v>57543.17</v>
      </c>
      <c r="E170" s="11">
        <v>55670.48</v>
      </c>
      <c r="F170" s="11">
        <v>82622.080000000002</v>
      </c>
      <c r="G170" s="11">
        <v>62208.480000000003</v>
      </c>
      <c r="H170" s="3"/>
      <c r="I170" s="11">
        <f>8650+12100+68163</f>
        <v>88913</v>
      </c>
      <c r="J170" s="11">
        <v>110009.60000000001</v>
      </c>
      <c r="K170" s="3"/>
      <c r="L170" s="11">
        <f>9253+[1]Union!$O$22+[1]Union!$Z$22</f>
        <v>107777.22048846152</v>
      </c>
      <c r="M170" s="38">
        <f t="shared" si="6"/>
        <v>0.97970741179371179</v>
      </c>
    </row>
    <row r="171" spans="1:13" hidden="1" x14ac:dyDescent="0.25">
      <c r="A171" s="14" t="s">
        <v>224</v>
      </c>
      <c r="B171" s="15" t="s">
        <v>225</v>
      </c>
      <c r="C171" s="16">
        <v>152064</v>
      </c>
      <c r="D171" s="11">
        <v>142017.5</v>
      </c>
      <c r="E171" s="11">
        <v>140830.78</v>
      </c>
      <c r="F171" s="11">
        <v>192240.68</v>
      </c>
      <c r="G171" s="11">
        <v>181109.85</v>
      </c>
      <c r="H171" s="3"/>
      <c r="I171" s="11">
        <f>6469+266647+10641+2672+1879</f>
        <v>288308</v>
      </c>
      <c r="J171" s="11">
        <v>288308</v>
      </c>
      <c r="K171" s="3"/>
      <c r="L171" s="11">
        <f>7200+[1]Union!$J$22+[1]Union!$K$22+[1]Union!$L$22+[1]Union!$M$22</f>
        <v>352847.2680000001</v>
      </c>
      <c r="M171" s="38">
        <f t="shared" si="6"/>
        <v>1.223855279770246</v>
      </c>
    </row>
    <row r="172" spans="1:13" hidden="1" x14ac:dyDescent="0.25">
      <c r="A172" s="14" t="s">
        <v>226</v>
      </c>
      <c r="B172" s="15" t="s">
        <v>227</v>
      </c>
      <c r="C172" s="16">
        <v>80802</v>
      </c>
      <c r="D172" s="11">
        <v>98566.28</v>
      </c>
      <c r="E172" s="11">
        <v>68124.479999999996</v>
      </c>
      <c r="F172" s="11">
        <v>90168.43</v>
      </c>
      <c r="G172" s="11">
        <v>85964.77</v>
      </c>
      <c r="H172" s="3"/>
      <c r="I172" s="11">
        <f>144847+18380</f>
        <v>163227</v>
      </c>
      <c r="J172" s="11">
        <v>163227</v>
      </c>
      <c r="K172" s="3"/>
      <c r="L172" s="11">
        <f>464+[1]Union!$N$22</f>
        <v>157782.92819999999</v>
      </c>
      <c r="M172" s="38">
        <f t="shared" si="6"/>
        <v>0.9666472348324725</v>
      </c>
    </row>
    <row r="173" spans="1:13" hidden="1" x14ac:dyDescent="0.25">
      <c r="A173" s="14" t="s">
        <v>228</v>
      </c>
      <c r="B173" s="15" t="s">
        <v>229</v>
      </c>
      <c r="C173" s="16">
        <v>10188</v>
      </c>
      <c r="D173" s="11">
        <v>16231.68</v>
      </c>
      <c r="E173" s="11">
        <v>5561.98</v>
      </c>
      <c r="F173" s="11">
        <v>77009.759999999995</v>
      </c>
      <c r="G173" s="11">
        <v>24155.46</v>
      </c>
      <c r="H173" s="3"/>
      <c r="I173" s="11">
        <v>20000</v>
      </c>
      <c r="J173" s="11">
        <v>20000</v>
      </c>
      <c r="K173" s="3"/>
      <c r="L173" s="11">
        <v>20000</v>
      </c>
      <c r="M173" s="38">
        <f t="shared" si="6"/>
        <v>1</v>
      </c>
    </row>
    <row r="174" spans="1:13" hidden="1" x14ac:dyDescent="0.25">
      <c r="A174" s="14" t="s">
        <v>230</v>
      </c>
      <c r="B174" s="15" t="s">
        <v>231</v>
      </c>
      <c r="C174" s="16">
        <v>25001</v>
      </c>
      <c r="D174" s="11">
        <v>31230.12</v>
      </c>
      <c r="E174" s="11">
        <v>19763.8</v>
      </c>
      <c r="F174" s="11">
        <v>8095.98</v>
      </c>
      <c r="G174" s="11">
        <v>33114.26</v>
      </c>
      <c r="H174" s="3"/>
      <c r="I174" s="11">
        <f>29055+5158+3687</f>
        <v>37900</v>
      </c>
      <c r="J174" s="11">
        <v>37900</v>
      </c>
      <c r="K174" s="3"/>
      <c r="L174" s="11">
        <f>3944+[1]Union!$Q$22+[1]Union!$Y$22</f>
        <v>45939.948983206727</v>
      </c>
      <c r="M174" s="38">
        <f t="shared" si="6"/>
        <v>1.2121358570766947</v>
      </c>
    </row>
    <row r="175" spans="1:13" hidden="1" x14ac:dyDescent="0.25">
      <c r="A175" s="14" t="s">
        <v>232</v>
      </c>
      <c r="B175" s="15" t="s">
        <v>233</v>
      </c>
      <c r="C175" s="16">
        <v>120533</v>
      </c>
      <c r="D175" s="11">
        <v>128146.94</v>
      </c>
      <c r="E175" s="11">
        <v>101451.3</v>
      </c>
      <c r="F175" s="11">
        <v>223940.33</v>
      </c>
      <c r="G175" s="11">
        <v>221517.37</v>
      </c>
      <c r="H175" s="3"/>
      <c r="I175" s="11">
        <f>270263+51628</f>
        <v>321891</v>
      </c>
      <c r="J175" s="11">
        <v>321891</v>
      </c>
      <c r="K175" s="3"/>
      <c r="L175" s="11">
        <f>+'[1]Non-Union - 3.5%'!$I$27+'[1]Non-Union - 3.5%'!$V$27</f>
        <v>353446.86481349997</v>
      </c>
      <c r="M175" s="38">
        <f t="shared" si="6"/>
        <v>1.098032765170508</v>
      </c>
    </row>
    <row r="176" spans="1:13" hidden="1" x14ac:dyDescent="0.25">
      <c r="A176" s="14" t="s">
        <v>234</v>
      </c>
      <c r="B176" s="15" t="s">
        <v>235</v>
      </c>
      <c r="C176" s="16">
        <v>10228</v>
      </c>
      <c r="D176" s="11">
        <v>11300.56</v>
      </c>
      <c r="E176" s="11">
        <v>8147.5</v>
      </c>
      <c r="F176" s="11">
        <v>17331.79</v>
      </c>
      <c r="G176" s="11">
        <v>15040.61</v>
      </c>
      <c r="H176" s="3"/>
      <c r="I176" s="11">
        <f>21621+4130</f>
        <v>25751</v>
      </c>
      <c r="J176" s="11">
        <v>25751</v>
      </c>
      <c r="K176" s="3"/>
      <c r="L176" s="11">
        <f>+'[1]Non-Union - 3.5%'!$P$27+'[1]Non-Union - 3.5%'!$Z$27</f>
        <v>28275.74918508</v>
      </c>
      <c r="M176" s="38">
        <f t="shared" si="6"/>
        <v>1.0980447044806028</v>
      </c>
    </row>
    <row r="177" spans="1:13" hidden="1" x14ac:dyDescent="0.25">
      <c r="A177" s="14" t="s">
        <v>236</v>
      </c>
      <c r="B177" s="15" t="s">
        <v>237</v>
      </c>
      <c r="C177" s="16">
        <v>41198</v>
      </c>
      <c r="D177" s="11">
        <v>39635.67</v>
      </c>
      <c r="E177" s="11">
        <v>23581.19</v>
      </c>
      <c r="F177" s="11">
        <v>78593.440000000002</v>
      </c>
      <c r="G177" s="11">
        <v>70617.97</v>
      </c>
      <c r="H177" s="3"/>
      <c r="I177" s="11">
        <f>122947+5856+1474</f>
        <v>130277</v>
      </c>
      <c r="J177" s="11">
        <v>130277</v>
      </c>
      <c r="K177" s="3"/>
      <c r="L177" s="11">
        <f>+SUM('[1]Non-Union - 3.5%'!$K$27:$N$27)</f>
        <v>129595.01999999999</v>
      </c>
      <c r="M177" s="38">
        <f t="shared" si="6"/>
        <v>0.99476515424825551</v>
      </c>
    </row>
    <row r="178" spans="1:13" hidden="1" x14ac:dyDescent="0.25">
      <c r="A178" s="14" t="s">
        <v>238</v>
      </c>
      <c r="B178" s="15" t="s">
        <v>239</v>
      </c>
      <c r="C178" s="16">
        <v>1799</v>
      </c>
      <c r="D178" s="11">
        <v>2200.7800000000002</v>
      </c>
      <c r="E178" s="11">
        <v>3043.2</v>
      </c>
      <c r="F178" s="11">
        <v>1929.9</v>
      </c>
      <c r="G178" s="11">
        <v>1994.23</v>
      </c>
      <c r="H178" s="3"/>
      <c r="I178" s="11">
        <f>4974+986</f>
        <v>5960</v>
      </c>
      <c r="J178" s="11">
        <v>5960</v>
      </c>
      <c r="K178" s="3"/>
      <c r="L178" s="11">
        <f>+'[1]Non-Union - 3.5%'!$O$27+'[1]Non-Union - 3.5%'!$X$27</f>
        <v>3215.8542699999998</v>
      </c>
      <c r="M178" s="38">
        <f t="shared" si="6"/>
        <v>0.53957286409395966</v>
      </c>
    </row>
    <row r="179" spans="1:13" hidden="1" x14ac:dyDescent="0.25">
      <c r="A179" s="14">
        <v>6030250</v>
      </c>
      <c r="B179" s="15" t="s">
        <v>240</v>
      </c>
      <c r="C179" s="16"/>
      <c r="D179" s="11"/>
      <c r="E179" s="11"/>
      <c r="F179" s="11">
        <v>218.25</v>
      </c>
      <c r="G179" s="11">
        <v>2698.36</v>
      </c>
      <c r="H179" s="3"/>
      <c r="I179" s="11"/>
      <c r="J179" s="11">
        <v>2700</v>
      </c>
      <c r="K179" s="3"/>
      <c r="L179" s="11">
        <v>1500</v>
      </c>
      <c r="M179" s="38">
        <f t="shared" si="6"/>
        <v>0.55555555555555558</v>
      </c>
    </row>
    <row r="180" spans="1:13" hidden="1" x14ac:dyDescent="0.25">
      <c r="A180" s="14" t="s">
        <v>241</v>
      </c>
      <c r="B180" s="15" t="s">
        <v>242</v>
      </c>
      <c r="C180" s="16">
        <v>226</v>
      </c>
      <c r="D180" s="11">
        <v>161.86000000000001</v>
      </c>
      <c r="E180" s="11">
        <v>1384.45</v>
      </c>
      <c r="F180" s="11">
        <v>2698.66</v>
      </c>
      <c r="G180" s="11">
        <v>5311.77</v>
      </c>
      <c r="H180" s="3"/>
      <c r="I180" s="11">
        <f>351+67</f>
        <v>418</v>
      </c>
      <c r="J180" s="11">
        <v>7500</v>
      </c>
      <c r="K180" s="3"/>
      <c r="L180" s="11">
        <f>+'[1]Non-Union - 3.5%'!$R$27+'[1]Non-Union - 3.5%'!$Y$27</f>
        <v>459.48092425754999</v>
      </c>
      <c r="M180" s="38">
        <f t="shared" si="6"/>
        <v>6.1264123234339996E-2</v>
      </c>
    </row>
    <row r="181" spans="1:13" hidden="1" x14ac:dyDescent="0.25">
      <c r="A181" s="14" t="s">
        <v>243</v>
      </c>
      <c r="B181" s="15" t="s">
        <v>134</v>
      </c>
      <c r="C181" s="16">
        <v>157168</v>
      </c>
      <c r="D181" s="11">
        <v>166288.71</v>
      </c>
      <c r="E181" s="11">
        <v>205211.96</v>
      </c>
      <c r="F181" s="11">
        <v>202842.41</v>
      </c>
      <c r="G181" s="11">
        <v>177363.55</v>
      </c>
      <c r="H181" s="3"/>
      <c r="I181" s="11">
        <v>190320</v>
      </c>
      <c r="J181" s="11">
        <v>190320</v>
      </c>
      <c r="K181" s="3"/>
      <c r="L181" s="11">
        <v>196737</v>
      </c>
      <c r="M181" s="38">
        <f t="shared" si="6"/>
        <v>1.0337168978562421</v>
      </c>
    </row>
    <row r="182" spans="1:13" hidden="1" x14ac:dyDescent="0.25">
      <c r="A182" s="14" t="s">
        <v>244</v>
      </c>
      <c r="B182" s="15" t="s">
        <v>136</v>
      </c>
      <c r="C182" s="16">
        <v>13223</v>
      </c>
      <c r="D182" s="11">
        <v>20974.02</v>
      </c>
      <c r="E182" s="11">
        <v>19302.919999999998</v>
      </c>
      <c r="F182" s="11">
        <v>17279.099999999999</v>
      </c>
      <c r="G182" s="11">
        <v>14898.52</v>
      </c>
      <c r="H182" s="3"/>
      <c r="I182" s="11">
        <v>16250</v>
      </c>
      <c r="J182" s="11">
        <v>16250</v>
      </c>
      <c r="K182" s="3"/>
      <c r="L182" s="11">
        <v>19673.7</v>
      </c>
      <c r="M182" s="38">
        <f t="shared" si="6"/>
        <v>1.2106892307692307</v>
      </c>
    </row>
    <row r="183" spans="1:13" hidden="1" x14ac:dyDescent="0.25">
      <c r="A183" s="14" t="s">
        <v>245</v>
      </c>
      <c r="B183" s="15" t="s">
        <v>176</v>
      </c>
      <c r="C183" s="16">
        <v>3513</v>
      </c>
      <c r="D183" s="11">
        <v>3147.89</v>
      </c>
      <c r="E183" s="11">
        <v>2830.45</v>
      </c>
      <c r="F183" s="11">
        <v>11016.29</v>
      </c>
      <c r="G183" s="11">
        <v>17254.490000000002</v>
      </c>
      <c r="H183" s="3"/>
      <c r="I183" s="11">
        <v>8000</v>
      </c>
      <c r="J183" s="11">
        <v>18000</v>
      </c>
      <c r="K183" s="3"/>
      <c r="L183" s="11">
        <v>12000</v>
      </c>
      <c r="M183" s="38">
        <f t="shared" si="6"/>
        <v>0.66666666666666663</v>
      </c>
    </row>
    <row r="184" spans="1:13" hidden="1" x14ac:dyDescent="0.25">
      <c r="A184" s="14" t="s">
        <v>246</v>
      </c>
      <c r="B184" s="15" t="s">
        <v>138</v>
      </c>
      <c r="C184" s="16">
        <v>7876</v>
      </c>
      <c r="D184" s="11">
        <v>8659.57</v>
      </c>
      <c r="E184" s="11">
        <v>4580.3500000000004</v>
      </c>
      <c r="F184" s="11">
        <v>5397.32</v>
      </c>
      <c r="G184" s="11">
        <v>3477.22</v>
      </c>
      <c r="H184" s="3"/>
      <c r="I184" s="11">
        <v>6489.91</v>
      </c>
      <c r="J184" s="11">
        <v>6489.91</v>
      </c>
      <c r="K184" s="3"/>
      <c r="L184" s="11">
        <v>6708.73</v>
      </c>
      <c r="M184" s="38">
        <f t="shared" si="6"/>
        <v>1.0337169544724041</v>
      </c>
    </row>
    <row r="185" spans="1:13" hidden="1" x14ac:dyDescent="0.25">
      <c r="A185" s="14" t="s">
        <v>247</v>
      </c>
      <c r="B185" s="15" t="s">
        <v>140</v>
      </c>
      <c r="C185" s="16">
        <v>22435</v>
      </c>
      <c r="D185" s="11">
        <v>18414.25</v>
      </c>
      <c r="E185" s="11">
        <v>15920.44</v>
      </c>
      <c r="F185" s="11">
        <v>26310.71</v>
      </c>
      <c r="G185" s="11">
        <v>13795.04</v>
      </c>
      <c r="H185" s="3"/>
      <c r="I185" s="11">
        <v>15500</v>
      </c>
      <c r="J185" s="11">
        <v>15500</v>
      </c>
      <c r="K185" s="3"/>
      <c r="L185" s="11">
        <v>15500</v>
      </c>
      <c r="M185" s="38">
        <f t="shared" si="6"/>
        <v>1</v>
      </c>
    </row>
    <row r="186" spans="1:13" hidden="1" x14ac:dyDescent="0.25">
      <c r="A186" s="14" t="s">
        <v>248</v>
      </c>
      <c r="B186" s="15" t="s">
        <v>142</v>
      </c>
      <c r="C186" s="16">
        <v>2450</v>
      </c>
      <c r="D186" s="11">
        <v>2907.5</v>
      </c>
      <c r="E186" s="11">
        <v>2212.98</v>
      </c>
      <c r="F186" s="11">
        <v>2995</v>
      </c>
      <c r="G186" s="11">
        <v>0</v>
      </c>
      <c r="H186" s="3"/>
      <c r="I186" s="11"/>
      <c r="J186" s="11">
        <v>0</v>
      </c>
      <c r="K186" s="3"/>
      <c r="L186" s="11"/>
    </row>
    <row r="187" spans="1:13" hidden="1" x14ac:dyDescent="0.25">
      <c r="A187" s="14" t="s">
        <v>249</v>
      </c>
      <c r="B187" s="15" t="s">
        <v>144</v>
      </c>
      <c r="C187" s="16">
        <v>212</v>
      </c>
      <c r="D187" s="11">
        <v>427.5</v>
      </c>
      <c r="E187" s="11">
        <v>432</v>
      </c>
      <c r="F187" s="11">
        <v>438</v>
      </c>
      <c r="G187" s="11">
        <v>0</v>
      </c>
      <c r="H187" s="3"/>
      <c r="I187" s="11"/>
      <c r="J187" s="11">
        <v>0</v>
      </c>
      <c r="K187" s="3"/>
      <c r="L187" s="11"/>
    </row>
    <row r="188" spans="1:13" hidden="1" x14ac:dyDescent="0.25">
      <c r="A188" s="14" t="s">
        <v>250</v>
      </c>
      <c r="B188" s="15" t="s">
        <v>146</v>
      </c>
      <c r="C188" s="16">
        <v>3711</v>
      </c>
      <c r="D188" s="11">
        <v>2791.67</v>
      </c>
      <c r="E188" s="11">
        <v>2687.27</v>
      </c>
      <c r="F188" s="11">
        <v>5448.95</v>
      </c>
      <c r="G188" s="11">
        <v>0</v>
      </c>
      <c r="H188" s="3"/>
      <c r="I188" s="11"/>
      <c r="J188" s="11">
        <v>0</v>
      </c>
      <c r="K188" s="3"/>
      <c r="L188" s="11"/>
    </row>
    <row r="189" spans="1:13" hidden="1" x14ac:dyDescent="0.25">
      <c r="A189" s="14" t="s">
        <v>251</v>
      </c>
      <c r="B189" s="15" t="s">
        <v>182</v>
      </c>
      <c r="C189" s="16">
        <v>23160</v>
      </c>
      <c r="D189" s="11">
        <v>40171.89</v>
      </c>
      <c r="E189" s="11">
        <v>39764.980000000003</v>
      </c>
      <c r="F189" s="11">
        <v>47323.88</v>
      </c>
      <c r="G189" s="11">
        <v>39158.04</v>
      </c>
      <c r="H189" s="3"/>
      <c r="I189" s="11">
        <v>55000</v>
      </c>
      <c r="J189" s="11">
        <v>55000</v>
      </c>
      <c r="K189" s="3"/>
      <c r="L189" s="11">
        <v>55000</v>
      </c>
      <c r="M189" s="38">
        <f t="shared" ref="M189:M202" si="7">+L189/J189</f>
        <v>1</v>
      </c>
    </row>
    <row r="190" spans="1:13" hidden="1" x14ac:dyDescent="0.25">
      <c r="A190" s="14">
        <v>6030603</v>
      </c>
      <c r="B190" s="15" t="s">
        <v>252</v>
      </c>
      <c r="C190" s="16"/>
      <c r="D190" s="11"/>
      <c r="E190" s="11"/>
      <c r="F190" s="11"/>
      <c r="G190" s="11">
        <v>1053.7</v>
      </c>
      <c r="H190" s="3"/>
      <c r="I190" s="11"/>
      <c r="J190" s="11">
        <v>2500</v>
      </c>
      <c r="K190" s="3"/>
      <c r="L190" s="11">
        <v>5000</v>
      </c>
      <c r="M190" s="38">
        <f t="shared" si="7"/>
        <v>2</v>
      </c>
    </row>
    <row r="191" spans="1:13" hidden="1" x14ac:dyDescent="0.25">
      <c r="A191" s="14">
        <v>6030605</v>
      </c>
      <c r="B191" s="15" t="s">
        <v>148</v>
      </c>
      <c r="C191" s="16"/>
      <c r="D191" s="11"/>
      <c r="E191" s="11"/>
      <c r="F191" s="11">
        <v>60.52</v>
      </c>
      <c r="G191" s="11">
        <v>298.3</v>
      </c>
      <c r="H191" s="3"/>
      <c r="I191" s="11"/>
      <c r="J191" s="11">
        <v>500</v>
      </c>
      <c r="K191" s="3"/>
      <c r="L191" s="11">
        <v>500</v>
      </c>
      <c r="M191" s="38">
        <f t="shared" si="7"/>
        <v>1</v>
      </c>
    </row>
    <row r="192" spans="1:13" hidden="1" x14ac:dyDescent="0.25">
      <c r="A192" s="14" t="s">
        <v>253</v>
      </c>
      <c r="B192" s="15" t="s">
        <v>254</v>
      </c>
      <c r="C192" s="16">
        <v>34396</v>
      </c>
      <c r="D192" s="11">
        <v>27464.74</v>
      </c>
      <c r="E192" s="11">
        <v>37672.65</v>
      </c>
      <c r="F192" s="11">
        <v>37423.78</v>
      </c>
      <c r="G192" s="11">
        <v>30506.62</v>
      </c>
      <c r="H192" s="3"/>
      <c r="I192" s="11">
        <v>25000</v>
      </c>
      <c r="J192" s="11">
        <v>35000</v>
      </c>
      <c r="K192" s="3"/>
      <c r="L192" s="11">
        <v>30000</v>
      </c>
      <c r="M192" s="38">
        <f t="shared" si="7"/>
        <v>0.8571428571428571</v>
      </c>
    </row>
    <row r="193" spans="1:13" hidden="1" x14ac:dyDescent="0.25">
      <c r="A193" s="14" t="s">
        <v>255</v>
      </c>
      <c r="B193" s="15" t="s">
        <v>152</v>
      </c>
      <c r="C193" s="16">
        <v>10778</v>
      </c>
      <c r="D193" s="11">
        <v>10367.9</v>
      </c>
      <c r="E193" s="11">
        <v>12796.5</v>
      </c>
      <c r="F193" s="11">
        <v>5873</v>
      </c>
      <c r="G193" s="11">
        <v>2134</v>
      </c>
      <c r="H193" s="3"/>
      <c r="I193" s="11">
        <v>20000</v>
      </c>
      <c r="J193" s="11">
        <v>5000</v>
      </c>
      <c r="K193" s="3"/>
      <c r="L193" s="11">
        <v>5000</v>
      </c>
      <c r="M193" s="38">
        <f t="shared" si="7"/>
        <v>1</v>
      </c>
    </row>
    <row r="194" spans="1:13" hidden="1" x14ac:dyDescent="0.25">
      <c r="A194" s="14">
        <v>6031125</v>
      </c>
      <c r="B194" s="15" t="s">
        <v>256</v>
      </c>
      <c r="C194" s="16"/>
      <c r="D194" s="11"/>
      <c r="E194" s="11"/>
      <c r="F194" s="11"/>
      <c r="G194" s="11"/>
      <c r="H194" s="3"/>
      <c r="I194" s="11"/>
      <c r="J194" s="11"/>
      <c r="K194" s="3"/>
      <c r="L194" s="11">
        <v>5000</v>
      </c>
    </row>
    <row r="195" spans="1:13" hidden="1" x14ac:dyDescent="0.25">
      <c r="A195" s="14" t="s">
        <v>257</v>
      </c>
      <c r="B195" s="15" t="s">
        <v>154</v>
      </c>
      <c r="C195" s="16">
        <v>79702</v>
      </c>
      <c r="D195" s="11">
        <v>130573.42</v>
      </c>
      <c r="E195" s="11">
        <v>122123.95</v>
      </c>
      <c r="F195" s="11">
        <v>133717.14000000001</v>
      </c>
      <c r="G195" s="11">
        <v>93612.93</v>
      </c>
      <c r="H195" s="3"/>
      <c r="I195" s="11">
        <v>150000</v>
      </c>
      <c r="J195" s="11">
        <v>150000</v>
      </c>
      <c r="K195" s="3"/>
      <c r="L195" s="11">
        <v>150000</v>
      </c>
      <c r="M195" s="38">
        <f t="shared" si="7"/>
        <v>1</v>
      </c>
    </row>
    <row r="196" spans="1:13" hidden="1" x14ac:dyDescent="0.25">
      <c r="A196" s="14" t="s">
        <v>258</v>
      </c>
      <c r="B196" s="15" t="s">
        <v>156</v>
      </c>
      <c r="C196" s="16">
        <v>1251</v>
      </c>
      <c r="D196" s="11">
        <v>1205.47</v>
      </c>
      <c r="E196" s="11">
        <v>676.74</v>
      </c>
      <c r="F196" s="11">
        <v>26669.61</v>
      </c>
      <c r="G196" s="11">
        <v>20247.98</v>
      </c>
      <c r="H196" s="3"/>
      <c r="I196" s="11">
        <v>1000</v>
      </c>
      <c r="J196" s="11">
        <v>25000</v>
      </c>
      <c r="K196" s="3"/>
      <c r="L196" s="11">
        <v>30000</v>
      </c>
      <c r="M196" s="38">
        <f t="shared" si="7"/>
        <v>1.2</v>
      </c>
    </row>
    <row r="197" spans="1:13" hidden="1" x14ac:dyDescent="0.25">
      <c r="A197" s="14" t="s">
        <v>259</v>
      </c>
      <c r="B197" s="15" t="s">
        <v>260</v>
      </c>
      <c r="C197" s="16">
        <v>12089</v>
      </c>
      <c r="D197" s="11">
        <v>7365.48</v>
      </c>
      <c r="E197" s="11">
        <v>12852.77</v>
      </c>
      <c r="F197" s="11">
        <v>30031.31</v>
      </c>
      <c r="G197" s="11">
        <v>7534.9</v>
      </c>
      <c r="H197" s="3"/>
      <c r="I197" s="11">
        <v>15000</v>
      </c>
      <c r="J197" s="11">
        <v>13000</v>
      </c>
      <c r="K197" s="3"/>
      <c r="L197" s="11">
        <v>20000</v>
      </c>
      <c r="M197" s="38">
        <f t="shared" si="7"/>
        <v>1.5384615384615385</v>
      </c>
    </row>
    <row r="198" spans="1:13" hidden="1" x14ac:dyDescent="0.25">
      <c r="A198" s="14">
        <v>6031425</v>
      </c>
      <c r="B198" s="15" t="s">
        <v>261</v>
      </c>
      <c r="C198" s="16">
        <v>0</v>
      </c>
      <c r="D198" s="11"/>
      <c r="E198" s="11"/>
      <c r="F198" s="11">
        <v>95</v>
      </c>
      <c r="G198" s="11">
        <v>596.29999999999995</v>
      </c>
      <c r="H198" s="3"/>
      <c r="I198" s="11"/>
      <c r="J198" s="11">
        <v>1000</v>
      </c>
      <c r="K198" s="3"/>
      <c r="L198" s="11">
        <v>2500</v>
      </c>
      <c r="M198" s="38">
        <f t="shared" si="7"/>
        <v>2.5</v>
      </c>
    </row>
    <row r="199" spans="1:13" hidden="1" x14ac:dyDescent="0.25">
      <c r="A199" s="14">
        <v>6031450</v>
      </c>
      <c r="B199" s="15" t="s">
        <v>262</v>
      </c>
      <c r="C199" s="16">
        <v>0</v>
      </c>
      <c r="D199" s="11"/>
      <c r="E199" s="11"/>
      <c r="F199" s="11">
        <v>3769.13</v>
      </c>
      <c r="G199" s="11">
        <v>950</v>
      </c>
      <c r="H199" s="3"/>
      <c r="I199" s="11"/>
      <c r="J199" s="11">
        <v>1000</v>
      </c>
      <c r="K199" s="3"/>
      <c r="L199" s="11">
        <v>2500</v>
      </c>
      <c r="M199" s="38">
        <f t="shared" si="7"/>
        <v>2.5</v>
      </c>
    </row>
    <row r="200" spans="1:13" hidden="1" x14ac:dyDescent="0.25">
      <c r="A200" s="14">
        <v>6031475</v>
      </c>
      <c r="B200" s="15" t="s">
        <v>263</v>
      </c>
      <c r="C200" s="16">
        <v>0</v>
      </c>
      <c r="D200" s="11"/>
      <c r="E200" s="11"/>
      <c r="F200" s="11">
        <v>24300.38</v>
      </c>
      <c r="G200" s="11">
        <v>22633.52</v>
      </c>
      <c r="H200" s="3"/>
      <c r="I200" s="11">
        <v>14000</v>
      </c>
      <c r="J200" s="11">
        <v>25000</v>
      </c>
      <c r="K200" s="3"/>
      <c r="L200" s="11">
        <v>35000</v>
      </c>
      <c r="M200" s="38">
        <f t="shared" si="7"/>
        <v>1.4</v>
      </c>
    </row>
    <row r="201" spans="1:13" hidden="1" x14ac:dyDescent="0.25">
      <c r="A201" s="14" t="s">
        <v>264</v>
      </c>
      <c r="B201" s="15" t="s">
        <v>160</v>
      </c>
      <c r="C201" s="16">
        <v>3315</v>
      </c>
      <c r="D201" s="11">
        <v>12980.28</v>
      </c>
      <c r="E201" s="11">
        <v>9569.81</v>
      </c>
      <c r="F201" s="11">
        <v>30857.39</v>
      </c>
      <c r="G201" s="11">
        <v>13232.95</v>
      </c>
      <c r="H201" s="3"/>
      <c r="I201" s="11">
        <v>12000</v>
      </c>
      <c r="J201" s="11">
        <v>15000</v>
      </c>
      <c r="K201" s="3"/>
      <c r="L201" s="11">
        <v>15000</v>
      </c>
      <c r="M201" s="38">
        <f t="shared" si="7"/>
        <v>1</v>
      </c>
    </row>
    <row r="202" spans="1:13" hidden="1" x14ac:dyDescent="0.25">
      <c r="A202" s="14">
        <v>6031550</v>
      </c>
      <c r="B202" s="15" t="s">
        <v>265</v>
      </c>
      <c r="C202" s="16">
        <v>0</v>
      </c>
      <c r="D202" s="11"/>
      <c r="E202" s="11"/>
      <c r="F202" s="11">
        <v>38652.86</v>
      </c>
      <c r="G202" s="11">
        <v>19372.22</v>
      </c>
      <c r="H202" s="3"/>
      <c r="I202" s="11">
        <v>8000</v>
      </c>
      <c r="J202" s="11">
        <v>20000</v>
      </c>
      <c r="K202" s="3"/>
      <c r="L202" s="11">
        <v>12000</v>
      </c>
      <c r="M202" s="38">
        <f t="shared" si="7"/>
        <v>0.6</v>
      </c>
    </row>
    <row r="203" spans="1:13" hidden="1" x14ac:dyDescent="0.25">
      <c r="A203" s="14">
        <v>6031600</v>
      </c>
      <c r="B203" s="15" t="s">
        <v>162</v>
      </c>
      <c r="C203" s="16">
        <v>0</v>
      </c>
      <c r="D203" s="11"/>
      <c r="E203" s="11"/>
      <c r="F203" s="11">
        <v>127.5</v>
      </c>
      <c r="G203" s="11">
        <v>0</v>
      </c>
      <c r="H203" s="3"/>
      <c r="I203" s="11"/>
      <c r="J203" s="11">
        <v>0</v>
      </c>
      <c r="K203" s="3"/>
      <c r="L203" s="11"/>
    </row>
    <row r="204" spans="1:13" hidden="1" x14ac:dyDescent="0.25">
      <c r="A204" s="14" t="s">
        <v>266</v>
      </c>
      <c r="B204" s="15" t="s">
        <v>80</v>
      </c>
      <c r="C204" s="16">
        <v>7736</v>
      </c>
      <c r="D204" s="11">
        <v>5581.8</v>
      </c>
      <c r="E204" s="11">
        <v>2006.93</v>
      </c>
      <c r="F204" s="11">
        <v>9088.06</v>
      </c>
      <c r="G204" s="11">
        <v>10108.780000000001</v>
      </c>
      <c r="H204" s="3"/>
      <c r="I204" s="11">
        <v>5000</v>
      </c>
      <c r="J204" s="11">
        <v>11000</v>
      </c>
      <c r="K204" s="3"/>
      <c r="L204" s="11">
        <v>15000</v>
      </c>
      <c r="M204" s="38">
        <f>+L204/J204</f>
        <v>1.3636363636363635</v>
      </c>
    </row>
    <row r="205" spans="1:13" hidden="1" x14ac:dyDescent="0.25">
      <c r="A205" s="14" t="s">
        <v>267</v>
      </c>
      <c r="B205" s="15" t="s">
        <v>164</v>
      </c>
      <c r="C205" s="16">
        <v>22395</v>
      </c>
      <c r="D205" s="11">
        <v>13233.24</v>
      </c>
      <c r="E205" s="11">
        <v>6173.44</v>
      </c>
      <c r="F205" s="11">
        <v>18739.400000000001</v>
      </c>
      <c r="G205" s="11">
        <v>48228.57</v>
      </c>
      <c r="H205" s="3"/>
      <c r="I205" s="11">
        <v>10000</v>
      </c>
      <c r="J205" s="11">
        <v>50000</v>
      </c>
      <c r="K205" s="3"/>
      <c r="L205" s="11">
        <v>50000</v>
      </c>
      <c r="M205" s="38">
        <f>+L205/J205</f>
        <v>1</v>
      </c>
    </row>
    <row r="206" spans="1:13" hidden="1" x14ac:dyDescent="0.25">
      <c r="A206" s="14" t="s">
        <v>268</v>
      </c>
      <c r="B206" s="15" t="s">
        <v>269</v>
      </c>
      <c r="C206" s="16">
        <v>0</v>
      </c>
      <c r="D206" s="11">
        <v>1016.49</v>
      </c>
      <c r="E206" s="11">
        <v>746.03</v>
      </c>
      <c r="F206" s="11">
        <v>3306.25</v>
      </c>
      <c r="G206" s="11">
        <v>1580.17</v>
      </c>
      <c r="H206" s="3"/>
      <c r="I206" s="11">
        <v>1000</v>
      </c>
      <c r="J206" s="11">
        <v>1000</v>
      </c>
      <c r="K206" s="3"/>
      <c r="L206" s="11">
        <v>1500</v>
      </c>
      <c r="M206" s="38">
        <f>+L206/J206</f>
        <v>1.5</v>
      </c>
    </row>
    <row r="207" spans="1:13" hidden="1" x14ac:dyDescent="0.25">
      <c r="A207" s="14" t="s">
        <v>270</v>
      </c>
      <c r="B207" s="15" t="s">
        <v>191</v>
      </c>
      <c r="C207" s="16">
        <v>69</v>
      </c>
      <c r="D207" s="11">
        <v>141252</v>
      </c>
      <c r="E207" s="11">
        <v>86987.44</v>
      </c>
      <c r="F207" s="11">
        <v>13770.45</v>
      </c>
      <c r="G207" s="11">
        <v>23304.49</v>
      </c>
      <c r="H207" s="3"/>
      <c r="I207" s="11">
        <v>315000</v>
      </c>
      <c r="J207" s="11">
        <v>20000</v>
      </c>
      <c r="K207" s="3"/>
      <c r="L207" s="11">
        <v>10000</v>
      </c>
      <c r="M207" s="38">
        <f>+L207/J207</f>
        <v>0.5</v>
      </c>
    </row>
    <row r="208" spans="1:13" hidden="1" x14ac:dyDescent="0.25">
      <c r="A208" s="21"/>
      <c r="B208" s="22"/>
      <c r="C208" s="16"/>
      <c r="D208" s="11"/>
      <c r="E208" s="11"/>
      <c r="F208" s="11"/>
      <c r="G208" s="11"/>
      <c r="H208" s="3"/>
      <c r="I208" s="11"/>
      <c r="J208" s="11"/>
      <c r="K208" s="3"/>
      <c r="L208" s="11"/>
    </row>
    <row r="209" spans="1:13" hidden="1" x14ac:dyDescent="0.25">
      <c r="A209" s="17" t="s">
        <v>21</v>
      </c>
      <c r="B209" s="18" t="s">
        <v>271</v>
      </c>
      <c r="C209" s="19">
        <f>SUM(C168:C208)</f>
        <v>1579629</v>
      </c>
      <c r="D209" s="11">
        <f>SUM(D168:D208)</f>
        <v>1937252.9199999997</v>
      </c>
      <c r="E209" s="11">
        <f>SUM(E168:E208)</f>
        <v>1746817.6199999994</v>
      </c>
      <c r="F209" s="11">
        <f>SUM(F168:F208)</f>
        <v>2558523.8799999994</v>
      </c>
      <c r="G209" s="11">
        <f>SUM(G168:G208)</f>
        <v>2157668.6200000006</v>
      </c>
      <c r="H209" s="3"/>
      <c r="I209" s="11">
        <f>SUM(I168:I208)</f>
        <v>3155324.91</v>
      </c>
      <c r="J209" s="11">
        <f>SUM(J168:J208)</f>
        <v>3165203.5100000002</v>
      </c>
      <c r="K209" s="3"/>
      <c r="L209" s="11">
        <f>SUM(L168:L208)</f>
        <v>3292677.1609702753</v>
      </c>
      <c r="M209" s="38">
        <f>+L209/J209</f>
        <v>1.040273445472792</v>
      </c>
    </row>
    <row r="210" spans="1:13" hidden="1" x14ac:dyDescent="0.25">
      <c r="D210" s="11"/>
      <c r="E210" s="11"/>
      <c r="F210" s="11"/>
      <c r="G210" s="11"/>
      <c r="H210" s="3"/>
      <c r="I210" s="11"/>
      <c r="J210" s="11"/>
      <c r="K210" s="3"/>
      <c r="L210" s="11"/>
    </row>
    <row r="211" spans="1:13" hidden="1" x14ac:dyDescent="0.25">
      <c r="A211" s="9" t="s">
        <v>272</v>
      </c>
      <c r="B211" s="10" t="s">
        <v>273</v>
      </c>
      <c r="D211" s="11"/>
      <c r="E211" s="11"/>
      <c r="F211" s="11"/>
      <c r="G211" s="11"/>
      <c r="H211" s="3"/>
      <c r="I211" s="11"/>
      <c r="J211" s="11"/>
      <c r="K211" s="3"/>
      <c r="L211" s="11"/>
    </row>
    <row r="212" spans="1:13" hidden="1" x14ac:dyDescent="0.25">
      <c r="A212" s="12" t="s">
        <v>9</v>
      </c>
      <c r="B212" s="13" t="s">
        <v>10</v>
      </c>
      <c r="D212" s="11"/>
      <c r="E212" s="11"/>
      <c r="F212" s="11"/>
      <c r="G212" s="11"/>
      <c r="H212" s="3"/>
      <c r="I212" s="11"/>
      <c r="J212" s="11"/>
      <c r="K212" s="3"/>
      <c r="L212" s="11"/>
    </row>
    <row r="213" spans="1:13" hidden="1" x14ac:dyDescent="0.25">
      <c r="A213" s="14" t="s">
        <v>274</v>
      </c>
      <c r="B213" s="15" t="s">
        <v>275</v>
      </c>
      <c r="C213" s="16">
        <v>9277</v>
      </c>
      <c r="D213" s="11">
        <v>5577.97</v>
      </c>
      <c r="E213" s="11">
        <v>4875.72</v>
      </c>
      <c r="F213" s="11">
        <v>9487.18</v>
      </c>
      <c r="G213" s="11">
        <v>7207</v>
      </c>
      <c r="H213" s="3"/>
      <c r="I213" s="11">
        <v>7500</v>
      </c>
      <c r="J213" s="11">
        <v>7500</v>
      </c>
      <c r="K213" s="3"/>
      <c r="L213" s="11">
        <v>7500</v>
      </c>
      <c r="M213" s="38">
        <f>+L213/J213</f>
        <v>1</v>
      </c>
    </row>
    <row r="214" spans="1:13" hidden="1" x14ac:dyDescent="0.25">
      <c r="A214" s="14" t="s">
        <v>276</v>
      </c>
      <c r="B214" s="15" t="s">
        <v>277</v>
      </c>
      <c r="C214" s="16">
        <v>27128</v>
      </c>
      <c r="D214" s="11">
        <v>25347.39</v>
      </c>
      <c r="E214" s="11">
        <v>24004.85</v>
      </c>
      <c r="F214" s="11">
        <v>50514.7</v>
      </c>
      <c r="G214" s="11">
        <v>49979.66</v>
      </c>
      <c r="H214" s="3"/>
      <c r="I214" s="11">
        <v>70000</v>
      </c>
      <c r="J214" s="11">
        <v>70000</v>
      </c>
      <c r="K214" s="3"/>
      <c r="L214" s="11">
        <v>70000</v>
      </c>
      <c r="M214" s="38">
        <f>+L214/J214</f>
        <v>1</v>
      </c>
    </row>
    <row r="215" spans="1:13" hidden="1" x14ac:dyDescent="0.25">
      <c r="A215" s="14" t="s">
        <v>278</v>
      </c>
      <c r="B215" s="15" t="s">
        <v>279</v>
      </c>
      <c r="C215" s="16">
        <v>14531</v>
      </c>
      <c r="D215" s="11">
        <v>19867.900000000001</v>
      </c>
      <c r="E215" s="11">
        <v>39492.120000000003</v>
      </c>
      <c r="F215" s="11">
        <v>23190.560000000001</v>
      </c>
      <c r="G215" s="11">
        <v>10967.22</v>
      </c>
      <c r="H215" s="3"/>
      <c r="I215" s="11">
        <v>20000</v>
      </c>
      <c r="J215" s="11">
        <v>20000</v>
      </c>
      <c r="K215" s="3"/>
      <c r="L215" s="11">
        <v>20000</v>
      </c>
      <c r="M215" s="38">
        <f>+L215/J215</f>
        <v>1</v>
      </c>
    </row>
    <row r="216" spans="1:13" hidden="1" x14ac:dyDescent="0.25">
      <c r="A216" s="14" t="s">
        <v>280</v>
      </c>
      <c r="B216" s="15" t="s">
        <v>281</v>
      </c>
      <c r="C216" s="16">
        <v>11628</v>
      </c>
      <c r="D216" s="11">
        <v>14296.15</v>
      </c>
      <c r="E216" s="11">
        <v>7727.36</v>
      </c>
      <c r="F216" s="11">
        <v>8328.17</v>
      </c>
      <c r="G216" s="11">
        <v>9746.52</v>
      </c>
      <c r="H216" s="3"/>
      <c r="I216" s="11">
        <v>10000</v>
      </c>
      <c r="J216" s="11">
        <v>10000</v>
      </c>
      <c r="K216" s="3"/>
      <c r="L216" s="11">
        <v>10000</v>
      </c>
      <c r="M216" s="38">
        <f>+L216/J216</f>
        <v>1</v>
      </c>
    </row>
    <row r="217" spans="1:13" hidden="1" x14ac:dyDescent="0.25">
      <c r="A217" s="14" t="s">
        <v>282</v>
      </c>
      <c r="B217" s="15" t="s">
        <v>283</v>
      </c>
      <c r="C217" s="16">
        <v>0</v>
      </c>
      <c r="D217" s="11">
        <v>368.57</v>
      </c>
      <c r="E217" s="11">
        <v>0</v>
      </c>
      <c r="F217" s="11">
        <v>32.909999999999997</v>
      </c>
      <c r="G217" s="11">
        <v>0</v>
      </c>
      <c r="H217" s="3"/>
      <c r="I217" s="11"/>
      <c r="J217" s="11">
        <v>0</v>
      </c>
      <c r="K217" s="3"/>
      <c r="L217" s="11"/>
    </row>
    <row r="218" spans="1:13" hidden="1" x14ac:dyDescent="0.25">
      <c r="A218" s="14" t="s">
        <v>284</v>
      </c>
      <c r="B218" s="15" t="s">
        <v>285</v>
      </c>
      <c r="C218" s="16">
        <v>758</v>
      </c>
      <c r="D218" s="11">
        <v>1656.96</v>
      </c>
      <c r="E218" s="11">
        <v>-2061</v>
      </c>
      <c r="F218" s="11">
        <v>16859.53</v>
      </c>
      <c r="G218" s="11">
        <v>1583.02</v>
      </c>
      <c r="H218" s="3"/>
      <c r="I218" s="11">
        <v>500</v>
      </c>
      <c r="J218" s="11">
        <v>1500</v>
      </c>
      <c r="K218" s="3"/>
      <c r="L218" s="11">
        <v>500</v>
      </c>
      <c r="M218" s="38">
        <f>+L218/J218</f>
        <v>0.33333333333333331</v>
      </c>
    </row>
    <row r="219" spans="1:13" hidden="1" x14ac:dyDescent="0.25">
      <c r="A219" s="14"/>
      <c r="B219" s="15"/>
      <c r="C219" s="16"/>
      <c r="D219" s="11"/>
      <c r="E219" s="11"/>
      <c r="F219" s="11"/>
      <c r="G219" s="11"/>
      <c r="H219" s="3"/>
      <c r="I219" s="11"/>
      <c r="J219" s="11"/>
      <c r="K219" s="3"/>
      <c r="L219" s="11"/>
    </row>
    <row r="220" spans="1:13" hidden="1" x14ac:dyDescent="0.25">
      <c r="A220" s="29"/>
      <c r="B220" s="30" t="s">
        <v>286</v>
      </c>
      <c r="C220" s="16">
        <f>SUM(C213:C218)</f>
        <v>63322</v>
      </c>
      <c r="D220" s="11">
        <f>SUM(D213:D218)</f>
        <v>67114.94</v>
      </c>
      <c r="E220" s="11">
        <f>SUM(E213:E218)</f>
        <v>74039.05</v>
      </c>
      <c r="F220" s="11">
        <f>SUM(F213:F218)</f>
        <v>108413.05</v>
      </c>
      <c r="G220" s="11">
        <f>SUM(G213:G218)</f>
        <v>79483.420000000013</v>
      </c>
      <c r="H220" s="3"/>
      <c r="I220" s="11">
        <f>SUM(I213:I218)</f>
        <v>108000</v>
      </c>
      <c r="J220" s="11">
        <f>SUM(J213:J218)</f>
        <v>109000</v>
      </c>
      <c r="K220" s="3"/>
      <c r="L220" s="11">
        <f>SUM(L213:L218)</f>
        <v>108000</v>
      </c>
      <c r="M220" s="38">
        <f>+L220/J220</f>
        <v>0.99082568807339455</v>
      </c>
    </row>
    <row r="221" spans="1:13" hidden="1" x14ac:dyDescent="0.25">
      <c r="A221" s="29"/>
      <c r="B221" s="30"/>
      <c r="C221" s="16"/>
      <c r="D221" s="11"/>
      <c r="E221" s="11"/>
      <c r="F221" s="11"/>
      <c r="G221" s="11"/>
      <c r="H221" s="3"/>
      <c r="I221" s="11"/>
      <c r="J221" s="11"/>
      <c r="K221" s="3"/>
      <c r="L221" s="11"/>
    </row>
    <row r="222" spans="1:13" hidden="1" x14ac:dyDescent="0.25">
      <c r="A222" s="14" t="s">
        <v>287</v>
      </c>
      <c r="B222" s="15" t="s">
        <v>124</v>
      </c>
      <c r="C222" s="16">
        <v>48451</v>
      </c>
      <c r="D222" s="11">
        <v>88856.51</v>
      </c>
      <c r="E222" s="11">
        <v>74977.039999999994</v>
      </c>
      <c r="F222" s="11">
        <v>104204.26</v>
      </c>
      <c r="G222" s="11">
        <v>66398.89</v>
      </c>
      <c r="H222" s="3"/>
      <c r="I222" s="11">
        <v>103599</v>
      </c>
      <c r="J222" s="11">
        <v>103599</v>
      </c>
      <c r="K222" s="3"/>
      <c r="L222" s="11">
        <f>+'[1]Non-Union - 3.5%'!$I$32+'[1]Non-Union - 3.5%'!$V$32</f>
        <v>108255.20399999998</v>
      </c>
      <c r="M222" s="38">
        <f t="shared" ref="M222:M237" si="8">+L222/J222</f>
        <v>1.0449444878811569</v>
      </c>
    </row>
    <row r="223" spans="1:13" hidden="1" x14ac:dyDescent="0.25">
      <c r="A223" s="14" t="s">
        <v>288</v>
      </c>
      <c r="B223" s="15" t="s">
        <v>126</v>
      </c>
      <c r="C223" s="16">
        <v>3883</v>
      </c>
      <c r="D223" s="11">
        <v>7534.55</v>
      </c>
      <c r="E223" s="11">
        <v>6082.32</v>
      </c>
      <c r="F223" s="11">
        <v>9557.49</v>
      </c>
      <c r="G223" s="11">
        <v>5362.49</v>
      </c>
      <c r="H223" s="3"/>
      <c r="I223" s="11">
        <v>8288</v>
      </c>
      <c r="J223" s="11">
        <v>8288</v>
      </c>
      <c r="K223" s="3"/>
      <c r="L223" s="11">
        <f>+'[1]Non-Union - 3.5%'!$P$32+'[1]Non-Union - 3.5%'!$Z$32</f>
        <v>8660.4163200000003</v>
      </c>
      <c r="M223" s="38">
        <f t="shared" si="8"/>
        <v>1.0449344015444015</v>
      </c>
    </row>
    <row r="224" spans="1:13" hidden="1" x14ac:dyDescent="0.25">
      <c r="A224" s="14" t="s">
        <v>289</v>
      </c>
      <c r="B224" s="15" t="s">
        <v>128</v>
      </c>
      <c r="C224" s="16">
        <v>11397</v>
      </c>
      <c r="D224" s="11">
        <v>11398.2</v>
      </c>
      <c r="E224" s="11">
        <v>12847.24</v>
      </c>
      <c r="F224" s="11">
        <v>36232.839999999997</v>
      </c>
      <c r="G224" s="11">
        <v>43496.77</v>
      </c>
      <c r="H224" s="3"/>
      <c r="I224" s="11">
        <v>50740</v>
      </c>
      <c r="J224" s="11">
        <v>50740</v>
      </c>
      <c r="K224" s="3"/>
      <c r="L224" s="11">
        <f>+SUM('[1]Non-Union - 3.5%'!$K$32:$N$32)</f>
        <v>81043.34</v>
      </c>
      <c r="M224" s="38">
        <f t="shared" si="8"/>
        <v>1.5972278281434764</v>
      </c>
    </row>
    <row r="225" spans="1:13" hidden="1" x14ac:dyDescent="0.25">
      <c r="A225" s="14" t="s">
        <v>290</v>
      </c>
      <c r="B225" s="15" t="s">
        <v>130</v>
      </c>
      <c r="C225" s="16">
        <v>1389</v>
      </c>
      <c r="D225" s="11">
        <v>1644.01</v>
      </c>
      <c r="E225" s="11">
        <v>2017.34</v>
      </c>
      <c r="F225" s="11">
        <v>1439.93</v>
      </c>
      <c r="G225" s="11">
        <v>1134.0999999999999</v>
      </c>
      <c r="H225" s="3"/>
      <c r="I225" s="11">
        <v>3108</v>
      </c>
      <c r="J225" s="11">
        <v>3108</v>
      </c>
      <c r="K225" s="3"/>
      <c r="L225" s="11">
        <f>+'[1]Non-Union - 3.5%'!$O$32+'[1]Non-Union - 3.5%'!$X$32</f>
        <v>1757.7979424999996</v>
      </c>
      <c r="M225" s="38">
        <f t="shared" si="8"/>
        <v>0.56557205357142848</v>
      </c>
    </row>
    <row r="226" spans="1:13" hidden="1" x14ac:dyDescent="0.25">
      <c r="A226" s="14" t="s">
        <v>291</v>
      </c>
      <c r="B226" s="15" t="s">
        <v>171</v>
      </c>
      <c r="C226" s="16">
        <v>619</v>
      </c>
      <c r="D226" s="11">
        <v>1144.03</v>
      </c>
      <c r="E226" s="11">
        <v>1059.58</v>
      </c>
      <c r="F226" s="11">
        <v>1475.13</v>
      </c>
      <c r="G226" s="11">
        <v>853.75</v>
      </c>
      <c r="H226" s="3"/>
      <c r="I226" s="11">
        <v>1000</v>
      </c>
      <c r="J226" s="11">
        <v>1000</v>
      </c>
      <c r="K226" s="3"/>
      <c r="L226" s="11">
        <v>1000</v>
      </c>
      <c r="M226" s="38">
        <f t="shared" si="8"/>
        <v>1</v>
      </c>
    </row>
    <row r="227" spans="1:13" hidden="1" x14ac:dyDescent="0.25">
      <c r="A227" s="14" t="s">
        <v>292</v>
      </c>
      <c r="B227" s="15" t="s">
        <v>132</v>
      </c>
      <c r="C227" s="16">
        <v>2386</v>
      </c>
      <c r="D227" s="11">
        <v>1856.23</v>
      </c>
      <c r="E227" s="11">
        <v>1566.85</v>
      </c>
      <c r="F227" s="11">
        <v>1388.72</v>
      </c>
      <c r="G227" s="11">
        <v>2564.87</v>
      </c>
      <c r="H227" s="3"/>
      <c r="I227" s="11">
        <v>3191</v>
      </c>
      <c r="J227" s="11">
        <v>3191</v>
      </c>
      <c r="K227" s="3"/>
      <c r="L227" s="11">
        <f>+'[1]Non-Union - 3.5%'!$R$32+'[1]Non-Union - 3.5%'!$Y$32</f>
        <v>3334.2602831999998</v>
      </c>
      <c r="M227" s="38">
        <f t="shared" si="8"/>
        <v>1.0448951059855844</v>
      </c>
    </row>
    <row r="228" spans="1:13" hidden="1" x14ac:dyDescent="0.25">
      <c r="A228" s="14">
        <v>6040300</v>
      </c>
      <c r="B228" s="15" t="s">
        <v>134</v>
      </c>
      <c r="C228" s="16">
        <v>0</v>
      </c>
      <c r="D228" s="11">
        <v>0</v>
      </c>
      <c r="E228" s="11">
        <v>8572.33</v>
      </c>
      <c r="F228" s="11">
        <v>8903.25</v>
      </c>
      <c r="G228" s="11">
        <v>11898</v>
      </c>
      <c r="H228" s="3"/>
      <c r="I228" s="11">
        <v>10000</v>
      </c>
      <c r="J228" s="11">
        <v>10000</v>
      </c>
      <c r="K228" s="3"/>
      <c r="L228" s="11">
        <v>10000</v>
      </c>
      <c r="M228" s="38">
        <f t="shared" si="8"/>
        <v>1</v>
      </c>
    </row>
    <row r="229" spans="1:13" hidden="1" x14ac:dyDescent="0.25">
      <c r="A229" s="14">
        <v>6040310</v>
      </c>
      <c r="B229" s="15" t="s">
        <v>136</v>
      </c>
      <c r="C229" s="16">
        <v>0</v>
      </c>
      <c r="D229" s="11">
        <v>0</v>
      </c>
      <c r="E229" s="11">
        <v>706.65</v>
      </c>
      <c r="F229" s="11">
        <v>830.74</v>
      </c>
      <c r="G229" s="11">
        <v>1017.92</v>
      </c>
      <c r="H229" s="3"/>
      <c r="I229" s="11">
        <v>900</v>
      </c>
      <c r="J229" s="11">
        <v>900</v>
      </c>
      <c r="K229" s="3"/>
      <c r="L229" s="11">
        <v>1000</v>
      </c>
      <c r="M229" s="38">
        <f t="shared" si="8"/>
        <v>1.1111111111111112</v>
      </c>
    </row>
    <row r="230" spans="1:13" hidden="1" x14ac:dyDescent="0.25">
      <c r="A230" s="14">
        <v>6040350</v>
      </c>
      <c r="B230" s="15" t="s">
        <v>138</v>
      </c>
      <c r="C230" s="16"/>
      <c r="D230" s="11"/>
      <c r="E230" s="11"/>
      <c r="F230" s="11">
        <v>563.01</v>
      </c>
      <c r="G230" s="11">
        <v>227.32</v>
      </c>
      <c r="H230" s="3"/>
      <c r="I230" s="11"/>
      <c r="J230" s="11">
        <v>0</v>
      </c>
      <c r="K230" s="3"/>
      <c r="L230" s="11">
        <f>+L228*3.08/100</f>
        <v>308</v>
      </c>
    </row>
    <row r="231" spans="1:13" hidden="1" x14ac:dyDescent="0.25">
      <c r="A231" s="14" t="s">
        <v>293</v>
      </c>
      <c r="B231" s="15" t="s">
        <v>140</v>
      </c>
      <c r="C231" s="16">
        <v>4014</v>
      </c>
      <c r="D231" s="11">
        <v>4235.8900000000003</v>
      </c>
      <c r="E231" s="11">
        <v>2757.43</v>
      </c>
      <c r="F231" s="11">
        <v>3496.7</v>
      </c>
      <c r="G231" s="11">
        <v>2711.72</v>
      </c>
      <c r="H231" s="3"/>
      <c r="I231" s="11">
        <v>2500</v>
      </c>
      <c r="J231" s="11">
        <v>2500</v>
      </c>
      <c r="K231" s="3"/>
      <c r="L231" s="11">
        <v>3000</v>
      </c>
      <c r="M231" s="38">
        <f t="shared" si="8"/>
        <v>1.2</v>
      </c>
    </row>
    <row r="232" spans="1:13" hidden="1" x14ac:dyDescent="0.25">
      <c r="A232" s="14" t="s">
        <v>294</v>
      </c>
      <c r="B232" s="15" t="s">
        <v>146</v>
      </c>
      <c r="C232" s="16">
        <v>473</v>
      </c>
      <c r="D232" s="11">
        <v>853.69</v>
      </c>
      <c r="E232" s="11">
        <v>16.989999999999998</v>
      </c>
      <c r="F232" s="11">
        <v>1099.22</v>
      </c>
      <c r="G232" s="11">
        <v>3000</v>
      </c>
      <c r="H232" s="3"/>
      <c r="I232" s="11">
        <v>1000</v>
      </c>
      <c r="J232" s="11">
        <v>1000</v>
      </c>
      <c r="K232" s="3"/>
      <c r="L232" s="11">
        <v>1500</v>
      </c>
      <c r="M232" s="38">
        <f t="shared" si="8"/>
        <v>1.5</v>
      </c>
    </row>
    <row r="233" spans="1:13" hidden="1" x14ac:dyDescent="0.25">
      <c r="A233" s="14" t="s">
        <v>295</v>
      </c>
      <c r="B233" s="15" t="s">
        <v>182</v>
      </c>
      <c r="C233" s="16">
        <v>2193</v>
      </c>
      <c r="D233" s="11">
        <v>5278.05</v>
      </c>
      <c r="E233" s="11">
        <v>5053.07</v>
      </c>
      <c r="F233" s="11">
        <v>5451.43</v>
      </c>
      <c r="G233" s="11">
        <v>4691.25</v>
      </c>
      <c r="H233" s="3"/>
      <c r="I233" s="11">
        <v>8000</v>
      </c>
      <c r="J233" s="11">
        <v>8000</v>
      </c>
      <c r="K233" s="3"/>
      <c r="L233" s="11">
        <v>8000</v>
      </c>
      <c r="M233" s="38">
        <f t="shared" si="8"/>
        <v>1</v>
      </c>
    </row>
    <row r="234" spans="1:13" hidden="1" x14ac:dyDescent="0.25">
      <c r="A234" s="14" t="s">
        <v>296</v>
      </c>
      <c r="B234" s="15" t="s">
        <v>254</v>
      </c>
      <c r="C234" s="16">
        <v>2199</v>
      </c>
      <c r="D234" s="11">
        <v>176.26</v>
      </c>
      <c r="E234" s="11">
        <v>2403.52</v>
      </c>
      <c r="F234" s="11">
        <v>2389.83</v>
      </c>
      <c r="G234" s="11">
        <v>332.52</v>
      </c>
      <c r="H234" s="3"/>
      <c r="I234" s="11">
        <v>2500</v>
      </c>
      <c r="J234" s="11">
        <v>2500</v>
      </c>
      <c r="K234" s="3"/>
      <c r="L234" s="11">
        <v>500</v>
      </c>
      <c r="M234" s="38">
        <f t="shared" si="8"/>
        <v>0.2</v>
      </c>
    </row>
    <row r="235" spans="1:13" hidden="1" x14ac:dyDescent="0.25">
      <c r="A235" s="14" t="s">
        <v>297</v>
      </c>
      <c r="B235" s="15" t="s">
        <v>160</v>
      </c>
      <c r="C235" s="16">
        <v>0</v>
      </c>
      <c r="D235" s="11">
        <v>6329.32</v>
      </c>
      <c r="E235" s="11">
        <v>4338.3</v>
      </c>
      <c r="F235" s="11">
        <v>6937.69</v>
      </c>
      <c r="G235" s="11">
        <v>2950.44</v>
      </c>
      <c r="H235" s="3"/>
      <c r="I235" s="11">
        <v>5000</v>
      </c>
      <c r="J235" s="11">
        <v>5000</v>
      </c>
      <c r="K235" s="3"/>
      <c r="L235" s="11">
        <v>5000</v>
      </c>
      <c r="M235" s="38">
        <f t="shared" si="8"/>
        <v>1</v>
      </c>
    </row>
    <row r="236" spans="1:13" hidden="1" x14ac:dyDescent="0.25">
      <c r="A236" s="14" t="s">
        <v>298</v>
      </c>
      <c r="B236" s="15" t="s">
        <v>80</v>
      </c>
      <c r="C236" s="16">
        <v>2718</v>
      </c>
      <c r="D236" s="11">
        <v>177.96</v>
      </c>
      <c r="E236" s="11">
        <v>142.22999999999999</v>
      </c>
      <c r="F236" s="11">
        <v>521.03</v>
      </c>
      <c r="G236" s="11">
        <v>36.24</v>
      </c>
      <c r="H236" s="3"/>
      <c r="I236" s="11">
        <v>150</v>
      </c>
      <c r="J236" s="11">
        <v>150</v>
      </c>
      <c r="K236" s="3"/>
      <c r="L236" s="11">
        <v>150</v>
      </c>
      <c r="M236" s="38">
        <f t="shared" si="8"/>
        <v>1</v>
      </c>
    </row>
    <row r="237" spans="1:13" hidden="1" x14ac:dyDescent="0.25">
      <c r="A237" s="14" t="s">
        <v>299</v>
      </c>
      <c r="B237" s="15" t="s">
        <v>164</v>
      </c>
      <c r="C237" s="16">
        <v>380</v>
      </c>
      <c r="D237" s="11">
        <v>75.31</v>
      </c>
      <c r="E237" s="11">
        <v>377.06</v>
      </c>
      <c r="F237" s="11">
        <v>117.86</v>
      </c>
      <c r="G237" s="11">
        <v>93.92</v>
      </c>
      <c r="H237" s="3"/>
      <c r="I237" s="11">
        <v>2500</v>
      </c>
      <c r="J237" s="11">
        <v>2500</v>
      </c>
      <c r="K237" s="3"/>
      <c r="L237" s="11">
        <v>2500</v>
      </c>
      <c r="M237" s="38">
        <f t="shared" si="8"/>
        <v>1</v>
      </c>
    </row>
    <row r="238" spans="1:13" hidden="1" x14ac:dyDescent="0.25">
      <c r="A238" s="14">
        <v>6042000</v>
      </c>
      <c r="B238" s="15" t="s">
        <v>300</v>
      </c>
      <c r="C238" s="16">
        <v>3327</v>
      </c>
      <c r="D238" s="11">
        <v>9920</v>
      </c>
      <c r="E238" s="11">
        <v>35098.980000000003</v>
      </c>
      <c r="F238" s="11">
        <v>3079.11</v>
      </c>
      <c r="G238" s="11"/>
      <c r="H238" s="3"/>
      <c r="I238" s="11"/>
      <c r="J238" s="11"/>
      <c r="K238" s="3"/>
      <c r="L238" s="11">
        <v>5000</v>
      </c>
    </row>
    <row r="239" spans="1:13" hidden="1" x14ac:dyDescent="0.25">
      <c r="A239" s="14"/>
      <c r="B239" s="15"/>
      <c r="C239" s="16"/>
      <c r="D239" s="11"/>
      <c r="E239" s="11"/>
      <c r="F239" s="11"/>
      <c r="G239" s="11"/>
      <c r="H239" s="3"/>
      <c r="I239" s="11"/>
      <c r="J239" s="11"/>
      <c r="K239" s="3"/>
      <c r="L239" s="11"/>
    </row>
    <row r="240" spans="1:13" hidden="1" x14ac:dyDescent="0.25">
      <c r="A240" s="29"/>
      <c r="B240" s="30" t="s">
        <v>301</v>
      </c>
      <c r="C240" s="16">
        <f>SUM(C222:C238)</f>
        <v>83429</v>
      </c>
      <c r="D240" s="11">
        <f>SUM(D222:D238)</f>
        <v>139480.01</v>
      </c>
      <c r="E240" s="11">
        <f>SUM(E222:E238)</f>
        <v>158016.93</v>
      </c>
      <c r="F240" s="11">
        <f>SUM(F222:F238)</f>
        <v>187688.23999999996</v>
      </c>
      <c r="G240" s="11">
        <f>SUM(G222:G238)</f>
        <v>146770.20000000001</v>
      </c>
      <c r="H240" s="3"/>
      <c r="I240" s="11">
        <f>SUM(I222:I238)</f>
        <v>202476</v>
      </c>
      <c r="J240" s="11">
        <f>SUM(J222:J238)</f>
        <v>202476</v>
      </c>
      <c r="K240" s="3"/>
      <c r="L240" s="11">
        <f>SUM(L222:L238)</f>
        <v>241009.0185457</v>
      </c>
      <c r="M240" s="38">
        <f>+L240/J240</f>
        <v>1.1903090664854106</v>
      </c>
    </row>
    <row r="241" spans="1:13" hidden="1" x14ac:dyDescent="0.25">
      <c r="A241" s="29"/>
      <c r="B241" s="30"/>
      <c r="C241" s="16"/>
      <c r="D241" s="11"/>
      <c r="E241" s="11"/>
      <c r="F241" s="11"/>
      <c r="G241" s="11"/>
      <c r="H241" s="3"/>
      <c r="I241" s="11"/>
      <c r="J241" s="11"/>
      <c r="K241" s="3"/>
      <c r="L241" s="11"/>
    </row>
    <row r="242" spans="1:13" hidden="1" x14ac:dyDescent="0.25">
      <c r="A242" s="17" t="s">
        <v>21</v>
      </c>
      <c r="B242" s="18" t="s">
        <v>302</v>
      </c>
      <c r="C242" s="25">
        <f>+C240+C220</f>
        <v>146751</v>
      </c>
      <c r="D242" s="11">
        <f>+D240+D220</f>
        <v>206594.95</v>
      </c>
      <c r="E242" s="11">
        <f t="shared" ref="E242:J242" si="9">+E240+E220</f>
        <v>232055.97999999998</v>
      </c>
      <c r="F242" s="11">
        <f t="shared" si="9"/>
        <v>296101.28999999998</v>
      </c>
      <c r="G242" s="11">
        <f t="shared" si="9"/>
        <v>226253.62000000002</v>
      </c>
      <c r="H242" s="3"/>
      <c r="I242" s="11">
        <f t="shared" si="9"/>
        <v>310476</v>
      </c>
      <c r="J242" s="11">
        <f t="shared" si="9"/>
        <v>311476</v>
      </c>
      <c r="K242" s="3"/>
      <c r="L242" s="11">
        <f>+L240+L220</f>
        <v>349009.0185457</v>
      </c>
      <c r="M242" s="38">
        <f>+L242/J242</f>
        <v>1.1205005154352181</v>
      </c>
    </row>
    <row r="243" spans="1:13" hidden="1" x14ac:dyDescent="0.25">
      <c r="D243" s="11"/>
      <c r="E243" s="11"/>
      <c r="F243" s="11"/>
      <c r="G243" s="11"/>
      <c r="H243" s="3"/>
      <c r="I243" s="11"/>
      <c r="J243" s="11"/>
      <c r="K243" s="3"/>
      <c r="L243" s="11"/>
    </row>
    <row r="244" spans="1:13" hidden="1" x14ac:dyDescent="0.25">
      <c r="A244" s="9" t="s">
        <v>303</v>
      </c>
      <c r="B244" s="10" t="s">
        <v>304</v>
      </c>
      <c r="D244" s="11"/>
      <c r="E244" s="11"/>
      <c r="F244" s="11"/>
      <c r="G244" s="11"/>
      <c r="H244" s="3"/>
      <c r="I244" s="11"/>
      <c r="J244" s="11"/>
      <c r="K244" s="3"/>
      <c r="L244" s="11"/>
    </row>
    <row r="245" spans="1:13" hidden="1" x14ac:dyDescent="0.25">
      <c r="A245" s="12" t="s">
        <v>9</v>
      </c>
      <c r="B245" s="13" t="s">
        <v>10</v>
      </c>
      <c r="D245" s="11"/>
      <c r="E245" s="11"/>
      <c r="F245" s="11"/>
      <c r="G245" s="11"/>
      <c r="H245" s="3"/>
      <c r="I245" s="11"/>
      <c r="J245" s="11"/>
      <c r="K245" s="3"/>
      <c r="L245" s="11"/>
    </row>
    <row r="246" spans="1:13" hidden="1" x14ac:dyDescent="0.25">
      <c r="A246" s="14" t="s">
        <v>305</v>
      </c>
      <c r="B246" s="15" t="s">
        <v>124</v>
      </c>
      <c r="C246" s="16">
        <v>342053</v>
      </c>
      <c r="D246" s="11">
        <v>325114.84999999998</v>
      </c>
      <c r="E246" s="11">
        <v>17769.150000000001</v>
      </c>
      <c r="F246" s="11">
        <v>23319.919999999998</v>
      </c>
      <c r="G246" s="11">
        <v>16313.84</v>
      </c>
      <c r="H246" s="3"/>
      <c r="I246" s="11">
        <v>25000</v>
      </c>
      <c r="J246" s="11">
        <v>25000</v>
      </c>
      <c r="K246" s="3"/>
      <c r="L246" s="11">
        <v>25875</v>
      </c>
      <c r="M246" s="38">
        <f t="shared" ref="M246:M251" si="10">+L246/J246</f>
        <v>1.0349999999999999</v>
      </c>
    </row>
    <row r="247" spans="1:13" hidden="1" x14ac:dyDescent="0.25">
      <c r="A247" s="14" t="s">
        <v>306</v>
      </c>
      <c r="B247" s="15" t="s">
        <v>126</v>
      </c>
      <c r="C247" s="16">
        <v>32251</v>
      </c>
      <c r="D247" s="11">
        <v>31248.5</v>
      </c>
      <c r="E247" s="11">
        <v>1603.74</v>
      </c>
      <c r="F247" s="11">
        <v>1976.08</v>
      </c>
      <c r="G247" s="11">
        <v>1306.32</v>
      </c>
      <c r="H247" s="3"/>
      <c r="I247" s="11">
        <v>2000</v>
      </c>
      <c r="J247" s="11">
        <v>2000</v>
      </c>
      <c r="K247" s="3"/>
      <c r="L247" s="11">
        <v>2070</v>
      </c>
      <c r="M247" s="38">
        <f t="shared" si="10"/>
        <v>1.0349999999999999</v>
      </c>
    </row>
    <row r="248" spans="1:13" hidden="1" x14ac:dyDescent="0.25">
      <c r="A248" s="14" t="s">
        <v>307</v>
      </c>
      <c r="B248" s="15" t="s">
        <v>128</v>
      </c>
      <c r="C248" s="16">
        <v>490</v>
      </c>
      <c r="D248" s="11">
        <v>704.4</v>
      </c>
      <c r="E248" s="11">
        <v>587</v>
      </c>
      <c r="F248" s="11">
        <v>704.4</v>
      </c>
      <c r="G248" s="11">
        <v>469.6</v>
      </c>
      <c r="H248" s="3"/>
      <c r="I248" s="11">
        <v>704</v>
      </c>
      <c r="J248" s="11">
        <v>704</v>
      </c>
      <c r="K248" s="3"/>
      <c r="L248" s="11">
        <v>704</v>
      </c>
      <c r="M248" s="38">
        <f t="shared" si="10"/>
        <v>1</v>
      </c>
    </row>
    <row r="249" spans="1:13" hidden="1" x14ac:dyDescent="0.25">
      <c r="A249" s="14" t="s">
        <v>308</v>
      </c>
      <c r="B249" s="15" t="s">
        <v>132</v>
      </c>
      <c r="C249" s="16">
        <v>13150</v>
      </c>
      <c r="D249" s="11">
        <v>11541.18</v>
      </c>
      <c r="E249" s="11">
        <v>782</v>
      </c>
      <c r="F249" s="11">
        <v>1295.52</v>
      </c>
      <c r="G249" s="11">
        <v>444.12</v>
      </c>
      <c r="H249" s="3"/>
      <c r="I249" s="11">
        <v>770</v>
      </c>
      <c r="J249" s="11">
        <v>770</v>
      </c>
      <c r="K249" s="3"/>
      <c r="L249" s="11">
        <v>797</v>
      </c>
      <c r="M249" s="38">
        <f t="shared" si="10"/>
        <v>1.035064935064935</v>
      </c>
    </row>
    <row r="250" spans="1:13" hidden="1" x14ac:dyDescent="0.25">
      <c r="A250" s="14">
        <v>6080300</v>
      </c>
      <c r="B250" s="15" t="s">
        <v>134</v>
      </c>
      <c r="C250" s="16">
        <v>0</v>
      </c>
      <c r="D250" s="11">
        <v>0</v>
      </c>
      <c r="E250" s="11">
        <v>356886.9</v>
      </c>
      <c r="F250" s="11">
        <v>364909.6</v>
      </c>
      <c r="G250" s="11">
        <v>402072.36</v>
      </c>
      <c r="H250" s="3"/>
      <c r="I250" s="11">
        <v>401992.5</v>
      </c>
      <c r="J250" s="11">
        <v>401992.5</v>
      </c>
      <c r="K250" s="3"/>
      <c r="L250" s="11">
        <v>445434.38</v>
      </c>
      <c r="M250" s="38">
        <f t="shared" si="10"/>
        <v>1.1080663942735249</v>
      </c>
    </row>
    <row r="251" spans="1:13" hidden="1" x14ac:dyDescent="0.25">
      <c r="A251" s="14">
        <v>6080310</v>
      </c>
      <c r="B251" s="15" t="s">
        <v>136</v>
      </c>
      <c r="C251" s="16">
        <v>0</v>
      </c>
      <c r="D251" s="11">
        <v>0</v>
      </c>
      <c r="E251" s="11">
        <f>33729.62+40.32</f>
        <v>33769.94</v>
      </c>
      <c r="F251" s="11">
        <v>32756.37</v>
      </c>
      <c r="G251" s="11">
        <v>36872.15</v>
      </c>
      <c r="H251" s="3"/>
      <c r="I251" s="11">
        <v>40199.25</v>
      </c>
      <c r="J251" s="11">
        <v>40199.25</v>
      </c>
      <c r="K251" s="3"/>
      <c r="L251" s="11">
        <v>40089.089999999997</v>
      </c>
      <c r="M251" s="38">
        <f t="shared" si="10"/>
        <v>0.99725965036661124</v>
      </c>
    </row>
    <row r="252" spans="1:13" hidden="1" x14ac:dyDescent="0.25">
      <c r="A252" s="14">
        <v>6080320</v>
      </c>
      <c r="B252" s="15" t="s">
        <v>309</v>
      </c>
      <c r="C252" s="16">
        <v>0</v>
      </c>
      <c r="D252" s="11">
        <v>0</v>
      </c>
      <c r="E252" s="11">
        <v>0</v>
      </c>
      <c r="F252" s="11">
        <v>0</v>
      </c>
      <c r="G252" s="11">
        <v>0</v>
      </c>
      <c r="H252" s="3"/>
      <c r="I252" s="11">
        <v>1000</v>
      </c>
      <c r="J252" s="11">
        <v>1000</v>
      </c>
      <c r="K252" s="3"/>
      <c r="L252" s="11">
        <v>0</v>
      </c>
    </row>
    <row r="253" spans="1:13" hidden="1" x14ac:dyDescent="0.25">
      <c r="A253" s="14">
        <v>6080350</v>
      </c>
      <c r="B253" s="15" t="s">
        <v>176</v>
      </c>
      <c r="C253" s="16">
        <v>0</v>
      </c>
      <c r="D253" s="11">
        <v>6569</v>
      </c>
      <c r="E253" s="11">
        <v>4785.88</v>
      </c>
      <c r="F253" s="11">
        <v>12720.3</v>
      </c>
      <c r="G253" s="11">
        <v>5261.6</v>
      </c>
      <c r="H253" s="3"/>
      <c r="I253" s="11">
        <v>10000</v>
      </c>
      <c r="J253" s="11">
        <v>10000</v>
      </c>
      <c r="K253" s="3"/>
      <c r="L253" s="11">
        <v>10000</v>
      </c>
      <c r="M253" s="38">
        <f t="shared" ref="M253:M258" si="11">+L253/J253</f>
        <v>1</v>
      </c>
    </row>
    <row r="254" spans="1:13" hidden="1" x14ac:dyDescent="0.25">
      <c r="A254" s="14">
        <v>6080360</v>
      </c>
      <c r="B254" s="15" t="s">
        <v>138</v>
      </c>
      <c r="C254" s="16">
        <v>0</v>
      </c>
      <c r="D254" s="11">
        <v>0</v>
      </c>
      <c r="E254" s="11">
        <v>7996.8</v>
      </c>
      <c r="F254" s="11">
        <v>31738.97</v>
      </c>
      <c r="G254" s="11">
        <v>-4259.54</v>
      </c>
      <c r="H254" s="3"/>
      <c r="I254" s="11">
        <v>12381.37</v>
      </c>
      <c r="J254" s="11">
        <v>12381.37</v>
      </c>
      <c r="K254" s="3"/>
      <c r="L254" s="11">
        <v>13719.368</v>
      </c>
      <c r="M254" s="38">
        <f t="shared" si="11"/>
        <v>1.1080654241008869</v>
      </c>
    </row>
    <row r="255" spans="1:13" hidden="1" x14ac:dyDescent="0.25">
      <c r="A255" s="14" t="s">
        <v>310</v>
      </c>
      <c r="B255" s="15" t="s">
        <v>140</v>
      </c>
      <c r="C255" s="16">
        <v>7273</v>
      </c>
      <c r="D255" s="11">
        <v>6086.12</v>
      </c>
      <c r="E255" s="11">
        <v>5902.42</v>
      </c>
      <c r="F255" s="11">
        <v>7997.13</v>
      </c>
      <c r="G255" s="11">
        <v>5212.95</v>
      </c>
      <c r="H255" s="3"/>
      <c r="I255" s="11">
        <v>8000</v>
      </c>
      <c r="J255" s="11">
        <v>8000</v>
      </c>
      <c r="K255" s="3"/>
      <c r="L255" s="11">
        <v>8000</v>
      </c>
      <c r="M255" s="38">
        <f t="shared" si="11"/>
        <v>1</v>
      </c>
    </row>
    <row r="256" spans="1:13" hidden="1" x14ac:dyDescent="0.25">
      <c r="A256" s="14" t="s">
        <v>311</v>
      </c>
      <c r="B256" s="15" t="s">
        <v>142</v>
      </c>
      <c r="C256" s="16">
        <v>1200</v>
      </c>
      <c r="D256" s="11">
        <v>1710</v>
      </c>
      <c r="E256" s="11">
        <v>1800</v>
      </c>
      <c r="F256" s="11">
        <v>3000</v>
      </c>
      <c r="G256" s="11">
        <v>1808</v>
      </c>
      <c r="H256" s="3"/>
      <c r="I256" s="11">
        <v>2340</v>
      </c>
      <c r="J256" s="11">
        <v>2340</v>
      </c>
      <c r="K256" s="3"/>
      <c r="L256" s="11">
        <v>3800</v>
      </c>
      <c r="M256" s="38">
        <f t="shared" si="11"/>
        <v>1.6239316239316239</v>
      </c>
    </row>
    <row r="257" spans="1:13" hidden="1" x14ac:dyDescent="0.25">
      <c r="A257" s="14">
        <v>6080520</v>
      </c>
      <c r="B257" s="15" t="s">
        <v>144</v>
      </c>
      <c r="C257" s="16"/>
      <c r="D257" s="11"/>
      <c r="E257" s="11"/>
      <c r="F257" s="11">
        <v>0</v>
      </c>
      <c r="G257" s="11">
        <v>444</v>
      </c>
      <c r="H257" s="3"/>
      <c r="I257" s="11"/>
      <c r="J257" s="11"/>
      <c r="K257" s="3"/>
      <c r="L257" s="11">
        <v>500</v>
      </c>
    </row>
    <row r="258" spans="1:13" hidden="1" x14ac:dyDescent="0.25">
      <c r="A258" s="14" t="s">
        <v>312</v>
      </c>
      <c r="B258" s="15" t="s">
        <v>146</v>
      </c>
      <c r="C258" s="16">
        <v>4475</v>
      </c>
      <c r="D258" s="11">
        <v>4265.8500000000004</v>
      </c>
      <c r="E258" s="11">
        <v>754.95</v>
      </c>
      <c r="F258" s="11">
        <v>12486.38</v>
      </c>
      <c r="G258" s="11">
        <v>1051.9100000000001</v>
      </c>
      <c r="H258" s="3"/>
      <c r="I258" s="11">
        <v>1500</v>
      </c>
      <c r="J258" s="11">
        <v>1500</v>
      </c>
      <c r="K258" s="3"/>
      <c r="L258" s="11">
        <v>1500</v>
      </c>
      <c r="M258" s="38">
        <f t="shared" si="11"/>
        <v>1</v>
      </c>
    </row>
    <row r="259" spans="1:13" hidden="1" x14ac:dyDescent="0.25">
      <c r="A259" s="14" t="s">
        <v>313</v>
      </c>
      <c r="B259" s="15" t="s">
        <v>314</v>
      </c>
      <c r="C259" s="16">
        <v>0</v>
      </c>
      <c r="D259" s="11">
        <v>5</v>
      </c>
      <c r="E259" s="11">
        <v>0</v>
      </c>
      <c r="F259" s="11">
        <v>0</v>
      </c>
      <c r="G259" s="11">
        <v>0</v>
      </c>
      <c r="H259" s="3"/>
      <c r="I259" s="11"/>
      <c r="J259" s="11"/>
      <c r="K259" s="3"/>
      <c r="L259" s="11"/>
    </row>
    <row r="260" spans="1:13" hidden="1" x14ac:dyDescent="0.25">
      <c r="A260" s="14" t="s">
        <v>315</v>
      </c>
      <c r="B260" s="15" t="s">
        <v>182</v>
      </c>
      <c r="C260" s="16">
        <v>386</v>
      </c>
      <c r="D260" s="11">
        <v>926.91</v>
      </c>
      <c r="E260" s="11">
        <v>988.02</v>
      </c>
      <c r="F260" s="11">
        <v>780.24</v>
      </c>
      <c r="G260" s="11">
        <v>782.45</v>
      </c>
      <c r="H260" s="3"/>
      <c r="I260" s="11">
        <v>1000</v>
      </c>
      <c r="J260" s="11">
        <v>1000</v>
      </c>
      <c r="K260" s="3"/>
      <c r="L260" s="11">
        <v>1000</v>
      </c>
      <c r="M260" s="38">
        <f t="shared" ref="M260:M268" si="12">+L260/J260</f>
        <v>1</v>
      </c>
    </row>
    <row r="261" spans="1:13" hidden="1" x14ac:dyDescent="0.25">
      <c r="A261" s="14" t="s">
        <v>316</v>
      </c>
      <c r="B261" s="15" t="s">
        <v>184</v>
      </c>
      <c r="C261" s="16">
        <v>1368</v>
      </c>
      <c r="D261" s="11">
        <v>1940.01</v>
      </c>
      <c r="E261" s="11">
        <v>2239.4</v>
      </c>
      <c r="F261" s="11">
        <v>2928.07</v>
      </c>
      <c r="G261" s="11">
        <v>666.59</v>
      </c>
      <c r="H261" s="3"/>
      <c r="I261" s="11">
        <v>1500</v>
      </c>
      <c r="J261" s="11">
        <v>1500</v>
      </c>
      <c r="K261" s="3"/>
      <c r="L261" s="11">
        <v>1000</v>
      </c>
      <c r="M261" s="38">
        <f t="shared" si="12"/>
        <v>0.66666666666666663</v>
      </c>
    </row>
    <row r="262" spans="1:13" hidden="1" x14ac:dyDescent="0.25">
      <c r="A262" s="14" t="s">
        <v>317</v>
      </c>
      <c r="B262" s="15" t="s">
        <v>154</v>
      </c>
      <c r="C262" s="16">
        <v>995</v>
      </c>
      <c r="D262" s="11">
        <v>1017.96</v>
      </c>
      <c r="E262" s="11">
        <v>843.3</v>
      </c>
      <c r="F262" s="11">
        <v>1314.66</v>
      </c>
      <c r="G262" s="11">
        <v>975.36</v>
      </c>
      <c r="H262" s="3"/>
      <c r="I262" s="11">
        <v>750</v>
      </c>
      <c r="J262" s="11">
        <v>750</v>
      </c>
      <c r="K262" s="3"/>
      <c r="L262" s="11">
        <v>1000</v>
      </c>
      <c r="M262" s="38">
        <f t="shared" si="12"/>
        <v>1.3333333333333333</v>
      </c>
    </row>
    <row r="263" spans="1:13" hidden="1" x14ac:dyDescent="0.25">
      <c r="A263" s="14" t="s">
        <v>318</v>
      </c>
      <c r="B263" s="15" t="s">
        <v>156</v>
      </c>
      <c r="C263" s="16">
        <v>500</v>
      </c>
      <c r="D263" s="11">
        <v>0</v>
      </c>
      <c r="E263" s="11">
        <v>0</v>
      </c>
      <c r="F263" s="11">
        <v>500</v>
      </c>
      <c r="G263" s="11">
        <v>0</v>
      </c>
      <c r="H263" s="3"/>
      <c r="I263" s="11">
        <v>500</v>
      </c>
      <c r="J263" s="11">
        <v>500</v>
      </c>
      <c r="K263" s="3"/>
      <c r="L263" s="11">
        <v>500</v>
      </c>
      <c r="M263" s="38">
        <f t="shared" si="12"/>
        <v>1</v>
      </c>
    </row>
    <row r="264" spans="1:13" hidden="1" x14ac:dyDescent="0.25">
      <c r="A264" s="14" t="s">
        <v>319</v>
      </c>
      <c r="B264" s="15" t="s">
        <v>158</v>
      </c>
      <c r="C264" s="16">
        <v>10420</v>
      </c>
      <c r="D264" s="11">
        <v>9835.7000000000007</v>
      </c>
      <c r="E264" s="11">
        <v>7220</v>
      </c>
      <c r="F264" s="11">
        <v>5075</v>
      </c>
      <c r="G264" s="11">
        <v>9020</v>
      </c>
      <c r="H264" s="3"/>
      <c r="I264" s="11">
        <v>10000</v>
      </c>
      <c r="J264" s="11">
        <v>10000</v>
      </c>
      <c r="K264" s="3"/>
      <c r="L264" s="11">
        <v>10000</v>
      </c>
      <c r="M264" s="38">
        <f t="shared" si="12"/>
        <v>1</v>
      </c>
    </row>
    <row r="265" spans="1:13" hidden="1" x14ac:dyDescent="0.25">
      <c r="A265" s="14" t="s">
        <v>320</v>
      </c>
      <c r="B265" s="15" t="s">
        <v>160</v>
      </c>
      <c r="C265" s="16">
        <v>1896</v>
      </c>
      <c r="D265" s="11">
        <v>6397.81</v>
      </c>
      <c r="E265" s="11">
        <v>4957.8999999999996</v>
      </c>
      <c r="F265" s="11">
        <v>4915.72</v>
      </c>
      <c r="G265" s="11">
        <v>2333.67</v>
      </c>
      <c r="H265" s="3"/>
      <c r="I265" s="11">
        <v>6000</v>
      </c>
      <c r="J265" s="11">
        <v>6000</v>
      </c>
      <c r="K265" s="3"/>
      <c r="L265" s="11">
        <v>5000</v>
      </c>
      <c r="M265" s="38">
        <f t="shared" si="12"/>
        <v>0.83333333333333337</v>
      </c>
    </row>
    <row r="266" spans="1:13" hidden="1" x14ac:dyDescent="0.25">
      <c r="A266" s="14" t="s">
        <v>321</v>
      </c>
      <c r="B266" s="15" t="s">
        <v>162</v>
      </c>
      <c r="C266" s="16">
        <v>811</v>
      </c>
      <c r="D266" s="11">
        <v>705.48</v>
      </c>
      <c r="E266" s="11">
        <v>1026.3399999999999</v>
      </c>
      <c r="F266" s="11">
        <v>0</v>
      </c>
      <c r="G266" s="11">
        <v>1248.79</v>
      </c>
      <c r="H266" s="3"/>
      <c r="I266" s="11"/>
      <c r="J266" s="11"/>
      <c r="K266" s="3"/>
      <c r="L266" s="11">
        <v>1500</v>
      </c>
    </row>
    <row r="267" spans="1:13" hidden="1" x14ac:dyDescent="0.25">
      <c r="A267" s="14" t="s">
        <v>322</v>
      </c>
      <c r="B267" s="15" t="s">
        <v>80</v>
      </c>
      <c r="C267" s="16">
        <v>388</v>
      </c>
      <c r="D267" s="11">
        <v>703.29</v>
      </c>
      <c r="E267" s="11">
        <v>568.28</v>
      </c>
      <c r="F267" s="11">
        <v>779.64</v>
      </c>
      <c r="G267" s="11">
        <v>483.23</v>
      </c>
      <c r="H267" s="3"/>
      <c r="I267" s="11"/>
      <c r="J267" s="11"/>
      <c r="K267" s="3"/>
      <c r="L267" s="11">
        <v>500</v>
      </c>
    </row>
    <row r="268" spans="1:13" hidden="1" x14ac:dyDescent="0.25">
      <c r="A268" s="14" t="s">
        <v>323</v>
      </c>
      <c r="B268" s="15" t="s">
        <v>164</v>
      </c>
      <c r="C268" s="16">
        <v>7135</v>
      </c>
      <c r="D268" s="11">
        <v>5008.47</v>
      </c>
      <c r="E268" s="11">
        <v>1193.99</v>
      </c>
      <c r="F268" s="11">
        <v>3410.95</v>
      </c>
      <c r="G268" s="11">
        <v>1638.72</v>
      </c>
      <c r="H268" s="3"/>
      <c r="I268" s="11">
        <v>2500</v>
      </c>
      <c r="J268" s="11">
        <v>2500</v>
      </c>
      <c r="K268" s="3"/>
      <c r="L268" s="11">
        <v>2500</v>
      </c>
      <c r="M268" s="38">
        <f t="shared" si="12"/>
        <v>1</v>
      </c>
    </row>
    <row r="269" spans="1:13" hidden="1" x14ac:dyDescent="0.25">
      <c r="A269" s="14">
        <v>6082000</v>
      </c>
      <c r="B269" s="15" t="s">
        <v>191</v>
      </c>
      <c r="C269" s="16">
        <v>7039</v>
      </c>
      <c r="D269" s="11">
        <v>7670</v>
      </c>
      <c r="E269" s="11">
        <v>4505</v>
      </c>
      <c r="F269" s="11">
        <v>3557</v>
      </c>
      <c r="G269" s="11">
        <v>0</v>
      </c>
      <c r="H269" s="3"/>
      <c r="I269" s="11"/>
      <c r="J269" s="11"/>
      <c r="K269" s="3"/>
      <c r="L269" s="11"/>
    </row>
    <row r="270" spans="1:13" hidden="1" x14ac:dyDescent="0.25">
      <c r="A270" s="21"/>
      <c r="B270" s="22"/>
      <c r="C270" s="16"/>
      <c r="D270" s="11"/>
      <c r="E270" s="11"/>
      <c r="F270" s="11"/>
      <c r="G270" s="11"/>
      <c r="H270" s="3"/>
      <c r="I270" s="11"/>
      <c r="J270" s="11"/>
      <c r="K270" s="3"/>
      <c r="L270" s="11"/>
    </row>
    <row r="271" spans="1:13" hidden="1" x14ac:dyDescent="0.25">
      <c r="A271" s="17" t="s">
        <v>21</v>
      </c>
      <c r="B271" s="18" t="s">
        <v>324</v>
      </c>
      <c r="C271" s="19">
        <f>SUM(C246:C270)</f>
        <v>431830</v>
      </c>
      <c r="D271" s="11">
        <f>SUM(D246:D270)</f>
        <v>421450.52999999991</v>
      </c>
      <c r="E271" s="11">
        <f>SUM(E246:E270)</f>
        <v>456181.01000000013</v>
      </c>
      <c r="F271" s="11">
        <f>SUM(F246:F270)</f>
        <v>516165.9499999999</v>
      </c>
      <c r="G271" s="11">
        <f>SUM(G246:G270)</f>
        <v>484146.11999999994</v>
      </c>
      <c r="H271" s="3"/>
      <c r="I271" s="11">
        <f>SUM(I246:I270)</f>
        <v>528137.12</v>
      </c>
      <c r="J271" s="11">
        <f>SUM(J246:J270)</f>
        <v>528137.12</v>
      </c>
      <c r="K271" s="3"/>
      <c r="L271" s="11">
        <f>SUM(L246:L270)</f>
        <v>575488.83799999999</v>
      </c>
      <c r="M271" s="38">
        <f>+L271/J271</f>
        <v>1.0896580001799532</v>
      </c>
    </row>
    <row r="272" spans="1:13" hidden="1" x14ac:dyDescent="0.25">
      <c r="D272" s="11"/>
      <c r="E272" s="11"/>
      <c r="F272" s="11"/>
      <c r="G272" s="11"/>
      <c r="H272" s="3"/>
      <c r="I272" s="11"/>
      <c r="J272" s="11"/>
      <c r="K272" s="3"/>
      <c r="L272" s="11"/>
    </row>
    <row r="273" spans="1:13" hidden="1" x14ac:dyDescent="0.25">
      <c r="A273" s="23" t="s">
        <v>86</v>
      </c>
      <c r="B273" s="24" t="s">
        <v>325</v>
      </c>
      <c r="C273" s="11">
        <f>+C271+C242+C209+C164</f>
        <v>3309823</v>
      </c>
      <c r="D273" s="11">
        <f>+D271+D242+D209+D164</f>
        <v>3906752.9799999995</v>
      </c>
      <c r="E273" s="11">
        <f>+E271+E242+E209+E164</f>
        <v>3631751.8499999996</v>
      </c>
      <c r="F273" s="11">
        <f>+F271+F242+F209+F164</f>
        <v>4897407.8759999992</v>
      </c>
      <c r="G273" s="11">
        <f>+G271+G242+G209+G164</f>
        <v>4083281.2700000005</v>
      </c>
      <c r="H273" s="3"/>
      <c r="I273" s="11">
        <f>+I271+I242+I209+I164</f>
        <v>5703036.3300000001</v>
      </c>
      <c r="J273" s="11">
        <f>+J271+J242+J209+J164</f>
        <v>5828826.9300000006</v>
      </c>
      <c r="K273" s="3"/>
      <c r="L273" s="11">
        <f>+L271+L242+L209+L164</f>
        <v>5989034.0945562609</v>
      </c>
      <c r="M273" s="38">
        <f>+L273/J273</f>
        <v>1.0274853184835016</v>
      </c>
    </row>
    <row r="274" spans="1:13" hidden="1" x14ac:dyDescent="0.25">
      <c r="D274" s="11"/>
      <c r="E274" s="11"/>
      <c r="F274" s="11"/>
      <c r="G274" s="11"/>
      <c r="H274" s="3"/>
      <c r="I274" s="11"/>
      <c r="J274" s="11"/>
      <c r="K274" s="3"/>
      <c r="L274" s="11"/>
    </row>
    <row r="275" spans="1:13" hidden="1" x14ac:dyDescent="0.25">
      <c r="D275" s="11"/>
      <c r="E275" s="11"/>
      <c r="F275" s="11"/>
      <c r="G275" s="11"/>
      <c r="H275" s="3"/>
      <c r="I275" s="11"/>
      <c r="J275" s="11"/>
      <c r="K275" s="3"/>
      <c r="L275" s="11"/>
    </row>
    <row r="276" spans="1:13" hidden="1" x14ac:dyDescent="0.25">
      <c r="A276" s="31"/>
      <c r="B276" s="32" t="s">
        <v>326</v>
      </c>
      <c r="C276" s="11">
        <f>+C63-C273</f>
        <v>933839</v>
      </c>
      <c r="D276" s="11">
        <f>+D63-D273</f>
        <v>2023199.9200000009</v>
      </c>
      <c r="E276" s="11">
        <f>+E63-E273</f>
        <v>1136378.6200000001</v>
      </c>
      <c r="F276" s="11">
        <f>+F63-F273</f>
        <v>874954.35400000121</v>
      </c>
      <c r="G276" s="11">
        <f>+G63-G273</f>
        <v>1688182.71</v>
      </c>
      <c r="H276" s="3"/>
      <c r="I276" s="11">
        <f>+I63-I273</f>
        <v>56968.669999999925</v>
      </c>
      <c r="J276" s="11">
        <f>+J63-J273</f>
        <v>349673.06999999937</v>
      </c>
      <c r="K276" s="3"/>
      <c r="L276" s="11">
        <f>+L63-L273</f>
        <v>-249534.09455626085</v>
      </c>
      <c r="M276" s="38">
        <f>+L276/J276</f>
        <v>-0.71362113918655878</v>
      </c>
    </row>
    <row r="277" spans="1:13" hidden="1" x14ac:dyDescent="0.25">
      <c r="D277" s="11"/>
      <c r="E277" s="11"/>
      <c r="F277" s="11"/>
      <c r="G277" s="11"/>
      <c r="H277" s="11"/>
      <c r="I277" s="11"/>
      <c r="J277" s="11"/>
      <c r="K277" s="11"/>
      <c r="L277" s="11"/>
    </row>
    <row r="278" spans="1:13" hidden="1" x14ac:dyDescent="0.25">
      <c r="A278" s="33"/>
      <c r="B278" s="33"/>
      <c r="C278" s="33"/>
      <c r="D278" s="11"/>
      <c r="E278" s="11"/>
      <c r="F278" s="11"/>
      <c r="G278" s="11"/>
      <c r="H278" s="11"/>
      <c r="I278" s="11"/>
      <c r="J278" s="11"/>
      <c r="K278" s="11"/>
      <c r="L278" s="11"/>
    </row>
    <row r="279" spans="1:13" hidden="1" x14ac:dyDescent="0.25">
      <c r="A279" s="33"/>
      <c r="B279" s="33"/>
      <c r="C279" s="34"/>
      <c r="D279" s="11"/>
      <c r="E279" s="11"/>
      <c r="F279" s="11"/>
      <c r="G279" s="11"/>
      <c r="H279" s="11"/>
      <c r="I279" s="11"/>
      <c r="J279" s="11"/>
      <c r="K279" s="11"/>
      <c r="L279" s="11"/>
    </row>
    <row r="280" spans="1:13" hidden="1" x14ac:dyDescent="0.25">
      <c r="A280" s="33"/>
      <c r="B280" s="33"/>
      <c r="C280" s="33"/>
      <c r="D280" s="35"/>
      <c r="E280" s="35"/>
      <c r="F280" s="35"/>
      <c r="G280" s="35"/>
      <c r="H280" s="11"/>
      <c r="I280" s="36"/>
      <c r="J280" s="36"/>
      <c r="K280" s="11"/>
      <c r="L280" s="36"/>
    </row>
    <row r="281" spans="1:13" hidden="1" x14ac:dyDescent="0.25">
      <c r="A281" s="33"/>
      <c r="B281" s="33"/>
      <c r="C281" s="33"/>
      <c r="D281" s="35"/>
      <c r="E281" s="35"/>
      <c r="F281" s="35"/>
      <c r="G281" s="35"/>
      <c r="H281" s="11"/>
      <c r="I281" s="35"/>
      <c r="J281" s="35"/>
      <c r="K281" s="11"/>
      <c r="L281" s="35"/>
    </row>
    <row r="282" spans="1:13" hidden="1" x14ac:dyDescent="0.25">
      <c r="A282" s="33"/>
      <c r="B282" s="33"/>
      <c r="C282" s="33"/>
      <c r="D282" s="35"/>
      <c r="E282" s="35"/>
      <c r="F282" s="35"/>
      <c r="G282" s="35"/>
      <c r="H282" s="11"/>
      <c r="I282" s="35"/>
      <c r="J282" s="35"/>
      <c r="K282" s="11"/>
      <c r="L282" s="35"/>
    </row>
    <row r="283" spans="1:13" hidden="1" x14ac:dyDescent="0.25">
      <c r="A283" s="33"/>
      <c r="B283" s="33"/>
      <c r="C283" s="33"/>
      <c r="D283" s="35"/>
      <c r="E283" s="35"/>
      <c r="F283" s="35"/>
      <c r="G283" s="35"/>
      <c r="H283" s="11"/>
      <c r="I283" s="35"/>
      <c r="J283" s="35"/>
      <c r="K283" s="11"/>
      <c r="L283" s="35"/>
    </row>
    <row r="284" spans="1:13" hidden="1" x14ac:dyDescent="0.25">
      <c r="A284" s="33"/>
      <c r="B284" s="33"/>
      <c r="C284" s="33"/>
      <c r="D284" s="35"/>
      <c r="E284" s="35"/>
      <c r="F284" s="35"/>
      <c r="G284" s="35"/>
      <c r="H284" s="11"/>
      <c r="I284" s="35"/>
      <c r="J284" s="35"/>
      <c r="K284" s="11"/>
      <c r="L284" s="35"/>
    </row>
    <row r="285" spans="1:13" hidden="1" x14ac:dyDescent="0.25">
      <c r="A285" s="33"/>
      <c r="B285" s="33"/>
      <c r="C285" s="33"/>
      <c r="D285" s="35"/>
      <c r="E285" s="35"/>
      <c r="F285" s="35"/>
      <c r="G285" s="35"/>
      <c r="H285" s="11"/>
      <c r="I285" s="35"/>
      <c r="J285" s="35"/>
      <c r="K285" s="11"/>
      <c r="L285" s="35"/>
    </row>
    <row r="286" spans="1:13" hidden="1" x14ac:dyDescent="0.25">
      <c r="A286" s="33"/>
      <c r="B286" s="33"/>
      <c r="C286" s="33"/>
      <c r="D286" s="35"/>
      <c r="E286" s="35"/>
      <c r="F286" s="35"/>
      <c r="G286" s="35"/>
      <c r="H286" s="11"/>
      <c r="I286" s="35"/>
      <c r="J286" s="35"/>
      <c r="K286" s="11"/>
      <c r="L286" s="35"/>
    </row>
    <row r="287" spans="1:13" hidden="1" x14ac:dyDescent="0.25">
      <c r="A287" s="33"/>
      <c r="B287" s="33"/>
      <c r="C287" s="33"/>
      <c r="D287" s="35"/>
      <c r="E287" s="35"/>
      <c r="F287" s="35"/>
      <c r="G287" s="35"/>
      <c r="H287" s="11"/>
      <c r="I287" s="35"/>
      <c r="J287" s="35"/>
      <c r="K287" s="11"/>
      <c r="L287" s="35"/>
    </row>
    <row r="288" spans="1:13" hidden="1" x14ac:dyDescent="0.25">
      <c r="A288" s="33"/>
      <c r="B288" s="33"/>
      <c r="C288" s="33"/>
      <c r="D288" s="35"/>
      <c r="E288" s="35"/>
      <c r="F288" s="35"/>
      <c r="G288" s="35"/>
      <c r="H288" s="11"/>
      <c r="I288" s="35"/>
      <c r="J288" s="35"/>
      <c r="K288" s="11"/>
      <c r="L288" s="35"/>
    </row>
    <row r="289" spans="1:12" hidden="1" x14ac:dyDescent="0.25">
      <c r="A289" s="33"/>
      <c r="B289" s="33"/>
      <c r="C289" s="33"/>
      <c r="D289" s="35"/>
      <c r="E289" s="35"/>
      <c r="F289" s="35"/>
      <c r="G289" s="35"/>
      <c r="H289" s="11"/>
      <c r="I289" s="35"/>
      <c r="J289" s="35"/>
      <c r="K289" s="11"/>
      <c r="L289" s="35"/>
    </row>
    <row r="290" spans="1:12" hidden="1" x14ac:dyDescent="0.25">
      <c r="A290" s="33"/>
      <c r="B290" s="33"/>
      <c r="C290" s="33"/>
      <c r="D290" s="35"/>
      <c r="E290" s="35"/>
      <c r="F290" s="35"/>
      <c r="G290" s="35"/>
      <c r="H290" s="11"/>
      <c r="I290" s="35"/>
      <c r="J290" s="35"/>
      <c r="K290" s="11"/>
      <c r="L290" s="35"/>
    </row>
    <row r="291" spans="1:12" hidden="1" x14ac:dyDescent="0.25">
      <c r="A291" s="33"/>
      <c r="B291" s="33"/>
      <c r="C291" s="33"/>
      <c r="D291" s="35"/>
      <c r="E291" s="35"/>
      <c r="F291" s="35"/>
      <c r="G291" s="35"/>
      <c r="H291" s="11"/>
      <c r="I291" s="35"/>
      <c r="J291" s="35"/>
      <c r="K291" s="11"/>
      <c r="L291" s="35"/>
    </row>
    <row r="292" spans="1:12" hidden="1" x14ac:dyDescent="0.25">
      <c r="A292" s="33"/>
      <c r="B292" s="33"/>
      <c r="C292" s="33"/>
      <c r="D292" s="35"/>
      <c r="E292" s="35"/>
      <c r="F292" s="35"/>
      <c r="G292" s="35"/>
      <c r="H292" s="11"/>
      <c r="I292" s="35"/>
      <c r="J292" s="35"/>
      <c r="K292" s="11"/>
      <c r="L292" s="35"/>
    </row>
    <row r="293" spans="1:12" hidden="1" x14ac:dyDescent="0.25">
      <c r="A293" s="33"/>
      <c r="B293" s="33"/>
      <c r="C293" s="33"/>
      <c r="D293" s="35"/>
      <c r="E293" s="35"/>
      <c r="F293" s="35"/>
      <c r="G293" s="35"/>
      <c r="H293" s="11"/>
      <c r="I293" s="35"/>
      <c r="J293" s="35"/>
      <c r="K293" s="11"/>
      <c r="L293" s="35"/>
    </row>
    <row r="294" spans="1:12" hidden="1" x14ac:dyDescent="0.25">
      <c r="A294" s="33"/>
      <c r="B294" s="33"/>
      <c r="C294" s="33"/>
      <c r="D294" s="35"/>
      <c r="E294" s="35"/>
      <c r="F294" s="35"/>
      <c r="G294" s="35"/>
      <c r="H294" s="11"/>
      <c r="I294" s="35"/>
      <c r="J294" s="35"/>
      <c r="K294" s="11"/>
      <c r="L294" s="35"/>
    </row>
    <row r="295" spans="1:12" hidden="1" x14ac:dyDescent="0.25">
      <c r="A295" s="33"/>
      <c r="B295" s="33"/>
      <c r="C295" s="33"/>
      <c r="D295" s="35"/>
      <c r="E295" s="35"/>
      <c r="F295" s="35"/>
      <c r="G295" s="35"/>
      <c r="H295" s="11"/>
      <c r="I295" s="35"/>
      <c r="J295" s="35"/>
      <c r="K295" s="11"/>
      <c r="L295" s="35"/>
    </row>
    <row r="296" spans="1:12" hidden="1" x14ac:dyDescent="0.25">
      <c r="A296" s="33"/>
      <c r="B296" s="33"/>
      <c r="C296" s="33"/>
      <c r="D296" s="35"/>
      <c r="E296" s="35"/>
      <c r="F296" s="35"/>
      <c r="G296" s="35"/>
      <c r="H296" s="11"/>
      <c r="I296" s="35"/>
      <c r="J296" s="35"/>
      <c r="K296" s="11"/>
      <c r="L296" s="35"/>
    </row>
    <row r="297" spans="1:12" hidden="1" x14ac:dyDescent="0.25">
      <c r="A297" s="33"/>
      <c r="B297" s="33"/>
      <c r="C297" s="33"/>
      <c r="D297" s="35"/>
      <c r="E297" s="35"/>
      <c r="F297" s="35"/>
      <c r="G297" s="35"/>
      <c r="H297" s="11"/>
      <c r="I297" s="35"/>
      <c r="J297" s="35"/>
      <c r="K297" s="11"/>
      <c r="L297" s="35"/>
    </row>
    <row r="298" spans="1:12" hidden="1" x14ac:dyDescent="0.25">
      <c r="A298" s="33"/>
      <c r="B298" s="33"/>
      <c r="C298" s="33"/>
      <c r="D298" s="35"/>
      <c r="E298" s="35"/>
      <c r="F298" s="35"/>
      <c r="G298" s="35"/>
      <c r="H298" s="11"/>
      <c r="I298" s="35"/>
      <c r="J298" s="35"/>
      <c r="K298" s="11"/>
      <c r="L298" s="35"/>
    </row>
    <row r="299" spans="1:12" hidden="1" x14ac:dyDescent="0.25">
      <c r="A299" s="33"/>
      <c r="B299" s="33"/>
      <c r="C299" s="33"/>
      <c r="D299" s="35"/>
      <c r="E299" s="35"/>
      <c r="F299" s="35"/>
      <c r="G299" s="35"/>
      <c r="H299" s="11"/>
      <c r="I299" s="35"/>
      <c r="J299" s="35"/>
      <c r="K299" s="11"/>
      <c r="L299" s="35"/>
    </row>
    <row r="300" spans="1:12" hidden="1" x14ac:dyDescent="0.25">
      <c r="A300" s="33"/>
      <c r="B300" s="33"/>
      <c r="C300" s="33"/>
      <c r="D300" s="35"/>
      <c r="E300" s="35"/>
      <c r="F300" s="35"/>
      <c r="G300" s="35"/>
      <c r="H300" s="11"/>
      <c r="I300" s="35"/>
      <c r="J300" s="35"/>
      <c r="K300" s="11"/>
      <c r="L300" s="35"/>
    </row>
    <row r="301" spans="1:12" hidden="1" x14ac:dyDescent="0.25">
      <c r="A301" s="33"/>
      <c r="B301" s="33"/>
      <c r="C301" s="33"/>
      <c r="D301" s="35"/>
      <c r="E301" s="35"/>
      <c r="F301" s="35"/>
      <c r="G301" s="35"/>
      <c r="H301" s="11"/>
      <c r="I301" s="35"/>
      <c r="J301" s="35"/>
      <c r="K301" s="11"/>
      <c r="L301" s="35"/>
    </row>
    <row r="302" spans="1:12" hidden="1" x14ac:dyDescent="0.25">
      <c r="A302" s="33"/>
      <c r="B302" s="33"/>
      <c r="C302" s="33"/>
      <c r="D302" s="35"/>
      <c r="E302" s="35"/>
      <c r="F302" s="35"/>
      <c r="G302" s="35"/>
      <c r="H302" s="11"/>
      <c r="I302" s="35"/>
      <c r="J302" s="35"/>
      <c r="K302" s="11"/>
      <c r="L302" s="35"/>
    </row>
    <row r="303" spans="1:12" hidden="1" x14ac:dyDescent="0.25">
      <c r="A303" s="33"/>
      <c r="B303" s="33"/>
      <c r="C303" s="33"/>
      <c r="D303" s="35"/>
      <c r="E303" s="35"/>
      <c r="F303" s="35"/>
      <c r="G303" s="35"/>
      <c r="H303" s="11"/>
      <c r="I303" s="35"/>
      <c r="J303" s="35"/>
      <c r="K303" s="11"/>
      <c r="L303" s="35"/>
    </row>
    <row r="304" spans="1:12" hidden="1" x14ac:dyDescent="0.25">
      <c r="A304" s="33"/>
      <c r="B304" s="33"/>
      <c r="C304" s="33"/>
      <c r="D304" s="35"/>
      <c r="E304" s="35"/>
      <c r="F304" s="35"/>
      <c r="G304" s="35"/>
      <c r="H304" s="11"/>
      <c r="I304" s="35"/>
      <c r="J304" s="35"/>
      <c r="K304" s="11"/>
      <c r="L304" s="35"/>
    </row>
    <row r="305" spans="1:12" hidden="1" x14ac:dyDescent="0.25">
      <c r="A305" s="33"/>
      <c r="B305" s="33"/>
      <c r="C305" s="33"/>
      <c r="D305" s="35"/>
      <c r="E305" s="35"/>
      <c r="F305" s="35"/>
      <c r="G305" s="35"/>
      <c r="H305" s="11"/>
      <c r="I305" s="35"/>
      <c r="J305" s="35"/>
      <c r="K305" s="11"/>
      <c r="L305" s="35"/>
    </row>
    <row r="306" spans="1:12" hidden="1" x14ac:dyDescent="0.25">
      <c r="A306" s="33"/>
      <c r="B306" s="33"/>
      <c r="C306" s="33"/>
      <c r="D306" s="35"/>
      <c r="E306" s="35"/>
      <c r="F306" s="35"/>
      <c r="G306" s="35"/>
      <c r="H306" s="11"/>
      <c r="I306" s="35"/>
      <c r="J306" s="35"/>
      <c r="K306" s="11"/>
      <c r="L306" s="35"/>
    </row>
    <row r="307" spans="1:12" hidden="1" x14ac:dyDescent="0.25">
      <c r="A307" s="33"/>
      <c r="B307" s="33"/>
      <c r="C307" s="33"/>
      <c r="D307" s="35"/>
      <c r="E307" s="35"/>
      <c r="F307" s="35"/>
      <c r="G307" s="35"/>
      <c r="H307" s="11"/>
      <c r="I307" s="35"/>
      <c r="J307" s="35"/>
      <c r="K307" s="11"/>
      <c r="L307" s="35"/>
    </row>
    <row r="308" spans="1:12" hidden="1" x14ac:dyDescent="0.25">
      <c r="A308" s="33"/>
      <c r="B308" s="33"/>
      <c r="C308" s="33"/>
      <c r="D308" s="35"/>
      <c r="E308" s="35"/>
      <c r="F308" s="35"/>
      <c r="G308" s="35"/>
      <c r="H308" s="11"/>
      <c r="I308" s="35"/>
      <c r="J308" s="35"/>
      <c r="K308" s="11"/>
      <c r="L308" s="35"/>
    </row>
    <row r="309" spans="1:12" hidden="1" x14ac:dyDescent="0.25">
      <c r="A309" s="33"/>
      <c r="B309" s="33"/>
      <c r="C309" s="33"/>
      <c r="D309" s="35"/>
      <c r="E309" s="35"/>
      <c r="F309" s="35"/>
      <c r="G309" s="35"/>
      <c r="H309" s="11"/>
      <c r="I309" s="35"/>
      <c r="J309" s="35"/>
      <c r="K309" s="11"/>
      <c r="L309" s="35"/>
    </row>
    <row r="310" spans="1:12" hidden="1" x14ac:dyDescent="0.25">
      <c r="A310" s="33"/>
      <c r="B310" s="33"/>
      <c r="C310" s="33"/>
      <c r="D310" s="35"/>
      <c r="E310" s="35"/>
      <c r="F310" s="35"/>
      <c r="G310" s="35"/>
      <c r="H310" s="11"/>
      <c r="I310" s="35"/>
      <c r="J310" s="35"/>
      <c r="K310" s="11"/>
      <c r="L310" s="35"/>
    </row>
    <row r="311" spans="1:12" hidden="1" x14ac:dyDescent="0.25">
      <c r="A311" s="33"/>
      <c r="B311" s="33"/>
      <c r="C311" s="33"/>
      <c r="D311" s="35"/>
      <c r="E311" s="35"/>
      <c r="F311" s="35"/>
      <c r="G311" s="35"/>
      <c r="H311" s="11"/>
      <c r="I311" s="35"/>
      <c r="J311" s="35"/>
      <c r="K311" s="11"/>
      <c r="L311" s="35"/>
    </row>
    <row r="312" spans="1:12" hidden="1" x14ac:dyDescent="0.25">
      <c r="A312" s="33"/>
      <c r="B312" s="33"/>
      <c r="C312" s="33"/>
      <c r="D312" s="35"/>
      <c r="E312" s="35"/>
      <c r="F312" s="35"/>
      <c r="G312" s="35"/>
      <c r="H312" s="11"/>
      <c r="I312" s="35"/>
      <c r="J312" s="35"/>
      <c r="K312" s="11"/>
      <c r="L312" s="35"/>
    </row>
    <row r="313" spans="1:12" hidden="1" x14ac:dyDescent="0.25">
      <c r="A313" s="33"/>
      <c r="B313" s="33"/>
      <c r="C313" s="33"/>
      <c r="D313" s="35"/>
      <c r="E313" s="35"/>
      <c r="F313" s="35"/>
      <c r="G313" s="35"/>
      <c r="H313" s="11"/>
      <c r="I313" s="35"/>
      <c r="J313" s="35"/>
      <c r="K313" s="11"/>
      <c r="L313" s="35"/>
    </row>
    <row r="314" spans="1:12" hidden="1" x14ac:dyDescent="0.25">
      <c r="A314" s="33"/>
      <c r="B314" s="33"/>
      <c r="C314" s="33"/>
      <c r="D314" s="35"/>
      <c r="E314" s="35"/>
      <c r="F314" s="35"/>
      <c r="G314" s="35"/>
      <c r="H314" s="11"/>
      <c r="I314" s="35"/>
      <c r="J314" s="35"/>
      <c r="K314" s="11"/>
      <c r="L314" s="35"/>
    </row>
    <row r="315" spans="1:12" hidden="1" x14ac:dyDescent="0.25">
      <c r="A315" s="33"/>
      <c r="B315" s="33"/>
      <c r="C315" s="33"/>
      <c r="D315" s="35"/>
      <c r="E315" s="35"/>
      <c r="F315" s="35"/>
      <c r="G315" s="35"/>
      <c r="H315" s="11"/>
      <c r="I315" s="35"/>
      <c r="J315" s="35"/>
      <c r="K315" s="11"/>
      <c r="L315" s="35"/>
    </row>
    <row r="316" spans="1:12" hidden="1" x14ac:dyDescent="0.25">
      <c r="A316" s="33"/>
      <c r="B316" s="33"/>
      <c r="C316" s="33"/>
      <c r="D316" s="35"/>
      <c r="E316" s="35"/>
      <c r="F316" s="35"/>
      <c r="G316" s="35"/>
      <c r="H316" s="11"/>
      <c r="I316" s="35"/>
      <c r="J316" s="35"/>
      <c r="K316" s="11"/>
      <c r="L316" s="35"/>
    </row>
    <row r="317" spans="1:12" hidden="1" x14ac:dyDescent="0.25">
      <c r="A317" s="33"/>
      <c r="B317" s="33"/>
      <c r="C317" s="33"/>
      <c r="D317" s="35"/>
      <c r="E317" s="35"/>
      <c r="F317" s="35"/>
      <c r="G317" s="35"/>
      <c r="H317" s="11"/>
      <c r="I317" s="35"/>
      <c r="J317" s="35"/>
      <c r="K317" s="11"/>
      <c r="L317" s="35"/>
    </row>
    <row r="318" spans="1:12" hidden="1" x14ac:dyDescent="0.25">
      <c r="A318" s="33"/>
      <c r="B318" s="33"/>
      <c r="C318" s="33"/>
      <c r="D318" s="35"/>
      <c r="E318" s="35"/>
      <c r="F318" s="35"/>
      <c r="G318" s="35"/>
      <c r="H318" s="11"/>
      <c r="I318" s="35"/>
      <c r="J318" s="35"/>
      <c r="K318" s="11"/>
      <c r="L318" s="35"/>
    </row>
    <row r="319" spans="1:12" hidden="1" x14ac:dyDescent="0.25">
      <c r="A319" s="33"/>
      <c r="B319" s="33"/>
      <c r="C319" s="33"/>
      <c r="D319" s="35"/>
      <c r="E319" s="35"/>
      <c r="F319" s="35"/>
      <c r="G319" s="35"/>
      <c r="H319" s="11"/>
      <c r="I319" s="35"/>
      <c r="J319" s="35"/>
      <c r="K319" s="11"/>
      <c r="L319" s="35"/>
    </row>
    <row r="320" spans="1:12" hidden="1" x14ac:dyDescent="0.25">
      <c r="A320" s="33"/>
      <c r="B320" s="33"/>
      <c r="C320" s="33"/>
      <c r="D320" s="35"/>
      <c r="E320" s="35"/>
      <c r="F320" s="35"/>
      <c r="G320" s="35"/>
      <c r="H320" s="11"/>
      <c r="I320" s="35"/>
      <c r="J320" s="35"/>
      <c r="K320" s="11"/>
      <c r="L320" s="35"/>
    </row>
    <row r="321" spans="1:12" hidden="1" x14ac:dyDescent="0.25">
      <c r="A321" s="33"/>
      <c r="B321" s="33"/>
      <c r="C321" s="33"/>
      <c r="D321" s="35"/>
      <c r="E321" s="35"/>
      <c r="F321" s="35"/>
      <c r="G321" s="35"/>
      <c r="H321" s="11"/>
      <c r="I321" s="35"/>
      <c r="J321" s="35"/>
      <c r="K321" s="11"/>
      <c r="L321" s="35"/>
    </row>
    <row r="322" spans="1:12" hidden="1" x14ac:dyDescent="0.25">
      <c r="A322" s="33"/>
      <c r="B322" s="33"/>
      <c r="C322" s="33"/>
      <c r="D322" s="35"/>
      <c r="E322" s="35"/>
      <c r="F322" s="35"/>
      <c r="G322" s="35"/>
      <c r="H322" s="11"/>
      <c r="I322" s="35"/>
      <c r="J322" s="35"/>
      <c r="K322" s="11"/>
      <c r="L322" s="35"/>
    </row>
    <row r="323" spans="1:12" hidden="1" x14ac:dyDescent="0.25">
      <c r="A323" s="33"/>
      <c r="B323" s="33"/>
      <c r="C323" s="33"/>
      <c r="D323" s="35"/>
      <c r="E323" s="35"/>
      <c r="F323" s="35"/>
      <c r="G323" s="35"/>
      <c r="H323" s="11"/>
      <c r="I323" s="35"/>
      <c r="J323" s="35"/>
      <c r="K323" s="11"/>
      <c r="L323" s="35"/>
    </row>
    <row r="324" spans="1:12" hidden="1" x14ac:dyDescent="0.25">
      <c r="A324" s="33"/>
      <c r="B324" s="33"/>
      <c r="C324" s="33"/>
      <c r="D324" s="35"/>
      <c r="E324" s="35"/>
      <c r="F324" s="35"/>
      <c r="G324" s="35"/>
      <c r="H324" s="11"/>
      <c r="I324" s="35"/>
      <c r="J324" s="35"/>
      <c r="K324" s="11"/>
      <c r="L324" s="35"/>
    </row>
    <row r="325" spans="1:12" hidden="1" x14ac:dyDescent="0.25">
      <c r="A325" s="33"/>
      <c r="B325" s="33"/>
      <c r="C325" s="33"/>
      <c r="D325" s="35"/>
      <c r="E325" s="35"/>
      <c r="F325" s="35"/>
      <c r="G325" s="35"/>
      <c r="H325" s="11"/>
      <c r="I325" s="35"/>
      <c r="J325" s="35"/>
      <c r="K325" s="11"/>
      <c r="L325" s="35"/>
    </row>
    <row r="326" spans="1:12" hidden="1" x14ac:dyDescent="0.25">
      <c r="A326" s="33"/>
      <c r="B326" s="33"/>
      <c r="C326" s="33"/>
      <c r="D326" s="35"/>
      <c r="E326" s="35"/>
      <c r="F326" s="35"/>
      <c r="G326" s="35"/>
      <c r="H326" s="11"/>
      <c r="I326" s="35"/>
      <c r="J326" s="35"/>
      <c r="K326" s="11"/>
      <c r="L326" s="35"/>
    </row>
    <row r="327" spans="1:12" hidden="1" x14ac:dyDescent="0.25">
      <c r="A327" s="33"/>
      <c r="B327" s="33"/>
      <c r="C327" s="33"/>
      <c r="D327" s="35"/>
      <c r="E327" s="35"/>
      <c r="F327" s="35"/>
      <c r="G327" s="35"/>
      <c r="H327" s="11"/>
      <c r="I327" s="35"/>
      <c r="J327" s="35"/>
      <c r="K327" s="11"/>
      <c r="L327" s="35"/>
    </row>
    <row r="328" spans="1:12" hidden="1" x14ac:dyDescent="0.25">
      <c r="A328" s="33"/>
      <c r="B328" s="33"/>
      <c r="C328" s="33"/>
      <c r="D328" s="35"/>
      <c r="E328" s="35"/>
      <c r="F328" s="35"/>
      <c r="G328" s="35"/>
      <c r="H328" s="11"/>
      <c r="I328" s="35"/>
      <c r="J328" s="35"/>
      <c r="K328" s="11"/>
      <c r="L328" s="35"/>
    </row>
    <row r="329" spans="1:12" hidden="1" x14ac:dyDescent="0.25">
      <c r="A329" s="33"/>
      <c r="B329" s="33"/>
      <c r="C329" s="33"/>
      <c r="D329" s="35"/>
      <c r="E329" s="35"/>
      <c r="F329" s="35"/>
      <c r="G329" s="35"/>
      <c r="H329" s="11"/>
      <c r="I329" s="35"/>
      <c r="J329" s="35"/>
      <c r="K329" s="11"/>
      <c r="L329" s="35"/>
    </row>
    <row r="330" spans="1:12" hidden="1" x14ac:dyDescent="0.25">
      <c r="A330" s="33"/>
      <c r="B330" s="33"/>
      <c r="C330" s="33"/>
      <c r="D330" s="35"/>
      <c r="E330" s="35"/>
      <c r="F330" s="35"/>
      <c r="G330" s="35"/>
      <c r="H330" s="11"/>
      <c r="I330" s="35"/>
      <c r="J330" s="35"/>
      <c r="K330" s="11"/>
      <c r="L330" s="35"/>
    </row>
    <row r="331" spans="1:12" hidden="1" x14ac:dyDescent="0.25">
      <c r="A331" s="33"/>
      <c r="B331" s="33"/>
      <c r="C331" s="33"/>
      <c r="D331" s="35"/>
      <c r="E331" s="35"/>
      <c r="F331" s="35"/>
      <c r="G331" s="35"/>
      <c r="H331" s="11"/>
      <c r="I331" s="35"/>
      <c r="J331" s="35"/>
      <c r="K331" s="11"/>
      <c r="L331" s="35"/>
    </row>
    <row r="332" spans="1:12" hidden="1" x14ac:dyDescent="0.25">
      <c r="A332" s="33"/>
      <c r="B332" s="33"/>
      <c r="C332" s="33"/>
      <c r="D332" s="35"/>
      <c r="E332" s="35"/>
      <c r="F332" s="35"/>
      <c r="G332" s="35"/>
      <c r="H332" s="11"/>
      <c r="I332" s="35"/>
      <c r="J332" s="35"/>
      <c r="K332" s="11"/>
      <c r="L332" s="35"/>
    </row>
    <row r="333" spans="1:12" hidden="1" x14ac:dyDescent="0.25">
      <c r="A333" s="33"/>
      <c r="B333" s="33"/>
      <c r="C333" s="33"/>
      <c r="D333" s="35"/>
      <c r="E333" s="35"/>
      <c r="F333" s="35"/>
      <c r="G333" s="35"/>
      <c r="H333" s="11"/>
      <c r="I333" s="35"/>
      <c r="J333" s="35"/>
      <c r="K333" s="11"/>
      <c r="L333" s="35"/>
    </row>
    <row r="334" spans="1:12" hidden="1" x14ac:dyDescent="0.25">
      <c r="A334" s="33"/>
      <c r="B334" s="33"/>
      <c r="C334" s="33"/>
      <c r="D334" s="35"/>
      <c r="E334" s="35"/>
      <c r="F334" s="35"/>
      <c r="G334" s="35"/>
      <c r="H334" s="11"/>
      <c r="I334" s="35"/>
      <c r="J334" s="35"/>
      <c r="K334" s="11"/>
      <c r="L334" s="35"/>
    </row>
    <row r="335" spans="1:12" hidden="1" x14ac:dyDescent="0.25">
      <c r="A335" s="33"/>
      <c r="B335" s="33"/>
      <c r="C335" s="33"/>
      <c r="D335" s="35"/>
      <c r="E335" s="35"/>
      <c r="F335" s="35"/>
      <c r="G335" s="35"/>
      <c r="H335" s="11"/>
      <c r="I335" s="35"/>
      <c r="J335" s="35"/>
      <c r="K335" s="11"/>
      <c r="L335" s="35"/>
    </row>
    <row r="336" spans="1:12" hidden="1" x14ac:dyDescent="0.25">
      <c r="A336" s="33"/>
      <c r="B336" s="33"/>
      <c r="C336" s="33"/>
      <c r="D336" s="35"/>
      <c r="E336" s="35"/>
      <c r="F336" s="35"/>
      <c r="G336" s="35"/>
      <c r="H336" s="11"/>
      <c r="I336" s="35"/>
      <c r="J336" s="35"/>
      <c r="K336" s="11"/>
      <c r="L336" s="35"/>
    </row>
    <row r="337" spans="1:12" hidden="1" x14ac:dyDescent="0.25">
      <c r="A337" s="33"/>
      <c r="B337" s="33"/>
      <c r="C337" s="33"/>
      <c r="D337" s="35"/>
      <c r="E337" s="35"/>
      <c r="F337" s="35"/>
      <c r="G337" s="35"/>
      <c r="H337" s="11"/>
      <c r="I337" s="35"/>
      <c r="J337" s="35"/>
      <c r="K337" s="11"/>
      <c r="L337" s="35"/>
    </row>
    <row r="338" spans="1:12" hidden="1" x14ac:dyDescent="0.25">
      <c r="A338" s="33"/>
      <c r="B338" s="33"/>
      <c r="C338" s="33"/>
      <c r="D338" s="35"/>
      <c r="E338" s="35"/>
      <c r="F338" s="35"/>
      <c r="G338" s="35"/>
      <c r="H338" s="11"/>
      <c r="I338" s="35"/>
      <c r="J338" s="35"/>
      <c r="K338" s="11"/>
      <c r="L338" s="35"/>
    </row>
    <row r="339" spans="1:12" hidden="1" x14ac:dyDescent="0.25">
      <c r="A339" s="33"/>
      <c r="B339" s="33"/>
      <c r="C339" s="33"/>
      <c r="D339" s="35"/>
      <c r="E339" s="35"/>
      <c r="F339" s="35"/>
      <c r="G339" s="35"/>
      <c r="H339" s="11"/>
      <c r="I339" s="35"/>
      <c r="J339" s="35"/>
      <c r="K339" s="11"/>
      <c r="L339" s="35"/>
    </row>
    <row r="340" spans="1:12" hidden="1" x14ac:dyDescent="0.25">
      <c r="A340" s="33"/>
      <c r="B340" s="33"/>
      <c r="C340" s="33"/>
      <c r="D340" s="35"/>
      <c r="E340" s="35"/>
      <c r="F340" s="35"/>
      <c r="G340" s="35"/>
      <c r="H340" s="11"/>
      <c r="I340" s="35"/>
      <c r="J340" s="35"/>
      <c r="K340" s="11"/>
      <c r="L340" s="35"/>
    </row>
    <row r="341" spans="1:12" hidden="1" x14ac:dyDescent="0.25">
      <c r="A341" s="33"/>
      <c r="B341" s="33"/>
      <c r="C341" s="33"/>
      <c r="D341" s="35"/>
      <c r="E341" s="35"/>
      <c r="F341" s="35"/>
      <c r="G341" s="35"/>
      <c r="H341" s="11"/>
      <c r="I341" s="35"/>
      <c r="J341" s="35"/>
      <c r="K341" s="11"/>
      <c r="L341" s="35"/>
    </row>
    <row r="342" spans="1:12" hidden="1" x14ac:dyDescent="0.25">
      <c r="A342" s="33"/>
      <c r="B342" s="33"/>
      <c r="C342" s="33"/>
      <c r="D342" s="35"/>
      <c r="E342" s="35"/>
      <c r="F342" s="35"/>
      <c r="G342" s="35"/>
      <c r="H342" s="11"/>
      <c r="I342" s="35"/>
      <c r="J342" s="35"/>
      <c r="K342" s="11"/>
      <c r="L342" s="35"/>
    </row>
    <row r="343" spans="1:12" hidden="1" x14ac:dyDescent="0.25">
      <c r="A343" s="33"/>
      <c r="B343" s="33"/>
      <c r="C343" s="33"/>
      <c r="D343" s="35"/>
      <c r="E343" s="35"/>
      <c r="F343" s="35"/>
      <c r="G343" s="35"/>
      <c r="H343" s="11"/>
      <c r="I343" s="35"/>
      <c r="J343" s="35"/>
      <c r="K343" s="11"/>
      <c r="L343" s="35"/>
    </row>
    <row r="344" spans="1:12" hidden="1" x14ac:dyDescent="0.25">
      <c r="A344" s="33"/>
      <c r="B344" s="33"/>
      <c r="C344" s="33"/>
      <c r="D344" s="35"/>
      <c r="E344" s="35"/>
      <c r="F344" s="35"/>
      <c r="G344" s="35"/>
      <c r="H344" s="11"/>
      <c r="I344" s="35"/>
      <c r="J344" s="35"/>
      <c r="K344" s="11"/>
      <c r="L344" s="35"/>
    </row>
    <row r="345" spans="1:12" hidden="1" x14ac:dyDescent="0.25">
      <c r="A345" s="33"/>
      <c r="B345" s="33"/>
      <c r="C345" s="33"/>
      <c r="D345" s="35"/>
      <c r="E345" s="35"/>
      <c r="F345" s="35"/>
      <c r="G345" s="35"/>
      <c r="H345" s="11"/>
      <c r="I345" s="35"/>
      <c r="J345" s="35"/>
      <c r="K345" s="11"/>
      <c r="L345" s="35"/>
    </row>
    <row r="346" spans="1:12" hidden="1" x14ac:dyDescent="0.25">
      <c r="A346" s="33"/>
      <c r="B346" s="33"/>
      <c r="C346" s="33"/>
      <c r="D346" s="35"/>
      <c r="E346" s="35"/>
      <c r="F346" s="35"/>
      <c r="G346" s="35"/>
      <c r="H346" s="11"/>
      <c r="I346" s="35"/>
      <c r="J346" s="35"/>
      <c r="K346" s="11"/>
      <c r="L346" s="35"/>
    </row>
    <row r="347" spans="1:12" hidden="1" x14ac:dyDescent="0.25">
      <c r="A347" s="33"/>
      <c r="B347" s="33"/>
      <c r="C347" s="33"/>
      <c r="D347" s="35"/>
      <c r="E347" s="35"/>
      <c r="F347" s="35"/>
      <c r="G347" s="35"/>
      <c r="H347" s="11"/>
      <c r="I347" s="35"/>
      <c r="J347" s="35"/>
      <c r="K347" s="11"/>
      <c r="L347" s="35"/>
    </row>
    <row r="348" spans="1:12" hidden="1" x14ac:dyDescent="0.25">
      <c r="A348" s="33"/>
      <c r="B348" s="33"/>
      <c r="C348" s="33"/>
      <c r="D348" s="35"/>
      <c r="E348" s="35"/>
      <c r="F348" s="35"/>
      <c r="G348" s="35"/>
      <c r="H348" s="11"/>
      <c r="I348" s="35"/>
      <c r="J348" s="35"/>
      <c r="K348" s="11"/>
      <c r="L348" s="35"/>
    </row>
    <row r="349" spans="1:12" hidden="1" x14ac:dyDescent="0.25">
      <c r="A349" s="33"/>
      <c r="B349" s="33"/>
      <c r="C349" s="33"/>
      <c r="D349" s="35"/>
      <c r="E349" s="35"/>
      <c r="F349" s="35"/>
      <c r="G349" s="35"/>
      <c r="H349" s="11"/>
      <c r="I349" s="35"/>
      <c r="J349" s="35"/>
      <c r="K349" s="11"/>
      <c r="L349" s="35"/>
    </row>
    <row r="350" spans="1:12" hidden="1" x14ac:dyDescent="0.25">
      <c r="A350" s="33"/>
      <c r="B350" s="33"/>
      <c r="C350" s="33"/>
      <c r="D350" s="35"/>
      <c r="E350" s="35"/>
      <c r="F350" s="35"/>
      <c r="G350" s="35"/>
      <c r="H350" s="11"/>
      <c r="I350" s="35"/>
      <c r="J350" s="35"/>
      <c r="K350" s="11"/>
      <c r="L350" s="35"/>
    </row>
    <row r="351" spans="1:12" hidden="1" x14ac:dyDescent="0.25">
      <c r="A351" s="33"/>
      <c r="B351" s="33"/>
      <c r="C351" s="33"/>
      <c r="D351" s="35"/>
      <c r="E351" s="35"/>
      <c r="F351" s="35"/>
      <c r="G351" s="35"/>
      <c r="H351" s="11"/>
      <c r="I351" s="35"/>
      <c r="J351" s="35"/>
      <c r="K351" s="11"/>
      <c r="L351" s="35"/>
    </row>
    <row r="352" spans="1:12" hidden="1" x14ac:dyDescent="0.25">
      <c r="A352" s="33"/>
      <c r="B352" s="33"/>
      <c r="C352" s="33"/>
      <c r="D352" s="35"/>
      <c r="E352" s="35"/>
      <c r="F352" s="35"/>
      <c r="G352" s="35"/>
      <c r="H352" s="11"/>
      <c r="I352" s="35"/>
      <c r="J352" s="35"/>
      <c r="K352" s="11"/>
      <c r="L352" s="35"/>
    </row>
    <row r="353" spans="1:12" hidden="1" x14ac:dyDescent="0.25">
      <c r="A353" s="33"/>
      <c r="B353" s="33"/>
      <c r="C353" s="33"/>
      <c r="D353" s="35"/>
      <c r="E353" s="35"/>
      <c r="F353" s="35"/>
      <c r="G353" s="35"/>
      <c r="H353" s="11"/>
      <c r="I353" s="35"/>
      <c r="J353" s="35"/>
      <c r="K353" s="11"/>
      <c r="L353" s="35"/>
    </row>
    <row r="354" spans="1:12" hidden="1" x14ac:dyDescent="0.25">
      <c r="A354" s="33"/>
      <c r="B354" s="33"/>
      <c r="C354" s="33"/>
      <c r="D354" s="35"/>
      <c r="E354" s="35"/>
      <c r="F354" s="35"/>
      <c r="G354" s="35"/>
      <c r="H354" s="11"/>
      <c r="I354" s="35"/>
      <c r="J354" s="35"/>
      <c r="K354" s="11"/>
      <c r="L354" s="35"/>
    </row>
    <row r="355" spans="1:12" hidden="1" x14ac:dyDescent="0.25">
      <c r="A355" s="33"/>
      <c r="B355" s="33"/>
      <c r="C355" s="33"/>
      <c r="D355" s="35"/>
      <c r="E355" s="35"/>
      <c r="F355" s="35"/>
      <c r="G355" s="35"/>
      <c r="H355" s="11"/>
      <c r="I355" s="35"/>
      <c r="J355" s="35"/>
      <c r="K355" s="11"/>
      <c r="L355" s="35"/>
    </row>
    <row r="356" spans="1:12" hidden="1" x14ac:dyDescent="0.25">
      <c r="A356" s="33"/>
      <c r="B356" s="33"/>
      <c r="C356" s="33"/>
      <c r="D356" s="35"/>
      <c r="E356" s="35"/>
      <c r="F356" s="35"/>
      <c r="G356" s="35"/>
      <c r="H356" s="11"/>
      <c r="I356" s="35"/>
      <c r="J356" s="35"/>
      <c r="K356" s="11"/>
      <c r="L356" s="35"/>
    </row>
    <row r="357" spans="1:12" hidden="1" x14ac:dyDescent="0.25">
      <c r="A357" s="33"/>
      <c r="B357" s="33"/>
      <c r="C357" s="33"/>
      <c r="D357" s="35"/>
      <c r="E357" s="35"/>
      <c r="F357" s="35"/>
      <c r="G357" s="35"/>
      <c r="H357" s="11"/>
      <c r="I357" s="35"/>
      <c r="J357" s="35"/>
      <c r="K357" s="11"/>
      <c r="L357" s="35"/>
    </row>
    <row r="358" spans="1:12" hidden="1" x14ac:dyDescent="0.25">
      <c r="D358" s="11"/>
      <c r="E358" s="11"/>
      <c r="F358" s="11"/>
      <c r="G358" s="11"/>
      <c r="H358" s="11"/>
      <c r="I358" s="11"/>
      <c r="J358" s="11"/>
      <c r="K358" s="11"/>
      <c r="L358" s="11"/>
    </row>
    <row r="359" spans="1:12" hidden="1" x14ac:dyDescent="0.25">
      <c r="D359" s="11"/>
      <c r="E359" s="11"/>
      <c r="F359" s="11"/>
      <c r="G359" s="11"/>
      <c r="H359" s="11"/>
      <c r="I359" s="11"/>
      <c r="J359" s="11"/>
      <c r="K359" s="11"/>
      <c r="L359" s="11"/>
    </row>
    <row r="360" spans="1:12" hidden="1" x14ac:dyDescent="0.25">
      <c r="D360" s="11"/>
      <c r="E360" s="11"/>
      <c r="F360" s="11"/>
      <c r="G360" s="11"/>
      <c r="H360" s="11"/>
      <c r="I360" s="11"/>
      <c r="J360" s="11"/>
      <c r="K360" s="11"/>
      <c r="L360" s="11"/>
    </row>
    <row r="361" spans="1:12" hidden="1" x14ac:dyDescent="0.25">
      <c r="D361" s="11"/>
      <c r="E361" s="11"/>
      <c r="F361" s="11"/>
      <c r="G361" s="11"/>
      <c r="H361" s="11"/>
      <c r="I361" s="11"/>
      <c r="J361" s="11"/>
      <c r="K361" s="11"/>
      <c r="L361" s="11"/>
    </row>
    <row r="362" spans="1:12" hidden="1" x14ac:dyDescent="0.25">
      <c r="D362" s="11"/>
      <c r="E362" s="11"/>
      <c r="F362" s="11"/>
      <c r="G362" s="11"/>
      <c r="H362" s="11"/>
      <c r="I362" s="11"/>
      <c r="J362" s="11"/>
      <c r="K362" s="11"/>
      <c r="L362" s="11"/>
    </row>
    <row r="363" spans="1:12" hidden="1" x14ac:dyDescent="0.25">
      <c r="D363" s="11"/>
      <c r="E363" s="11"/>
      <c r="F363" s="11"/>
      <c r="G363" s="11"/>
      <c r="H363" s="11"/>
      <c r="I363" s="11"/>
      <c r="J363" s="11"/>
      <c r="K363" s="11"/>
      <c r="L363" s="11"/>
    </row>
    <row r="364" spans="1:12" hidden="1" x14ac:dyDescent="0.25">
      <c r="D364" s="11"/>
      <c r="E364" s="11"/>
      <c r="F364" s="11"/>
      <c r="G364" s="11"/>
      <c r="H364" s="11"/>
      <c r="I364" s="11"/>
      <c r="J364" s="11"/>
      <c r="K364" s="11"/>
      <c r="L364" s="11"/>
    </row>
    <row r="365" spans="1:12" hidden="1" x14ac:dyDescent="0.25">
      <c r="D365" s="11"/>
      <c r="E365" s="11"/>
      <c r="F365" s="11"/>
      <c r="G365" s="11"/>
      <c r="H365" s="11"/>
      <c r="I365" s="11"/>
      <c r="J365" s="11"/>
      <c r="K365" s="11"/>
      <c r="L365" s="11"/>
    </row>
    <row r="366" spans="1:12" hidden="1" x14ac:dyDescent="0.25">
      <c r="D366" s="11"/>
      <c r="E366" s="11"/>
      <c r="F366" s="11"/>
      <c r="G366" s="11"/>
      <c r="H366" s="11"/>
      <c r="I366" s="11"/>
      <c r="J366" s="11"/>
      <c r="K366" s="11"/>
      <c r="L366" s="11"/>
    </row>
    <row r="367" spans="1:12" hidden="1" x14ac:dyDescent="0.25">
      <c r="D367" s="11"/>
      <c r="E367" s="11"/>
      <c r="F367" s="11"/>
      <c r="G367" s="11"/>
      <c r="H367" s="11"/>
      <c r="I367" s="11"/>
      <c r="J367" s="11"/>
      <c r="K367" s="11"/>
      <c r="L367" s="11"/>
    </row>
    <row r="368" spans="1:12" hidden="1" x14ac:dyDescent="0.25">
      <c r="D368" s="11"/>
      <c r="E368" s="11"/>
      <c r="F368" s="11"/>
      <c r="G368" s="11"/>
      <c r="H368" s="11"/>
      <c r="I368" s="11"/>
      <c r="J368" s="11"/>
      <c r="K368" s="11"/>
      <c r="L368" s="11"/>
    </row>
    <row r="369" spans="4:12" hidden="1" x14ac:dyDescent="0.25">
      <c r="D369" s="11"/>
      <c r="E369" s="11"/>
      <c r="F369" s="11"/>
      <c r="G369" s="11"/>
      <c r="H369" s="11"/>
      <c r="I369" s="11"/>
      <c r="J369" s="11"/>
      <c r="K369" s="11"/>
      <c r="L369" s="11"/>
    </row>
    <row r="370" spans="4:12" hidden="1" x14ac:dyDescent="0.25">
      <c r="D370" s="11"/>
      <c r="E370" s="11"/>
      <c r="F370" s="11"/>
      <c r="G370" s="11"/>
      <c r="H370" s="11"/>
      <c r="I370" s="11"/>
      <c r="J370" s="11"/>
      <c r="K370" s="11"/>
      <c r="L370" s="11"/>
    </row>
    <row r="371" spans="4:12" hidden="1" x14ac:dyDescent="0.25">
      <c r="D371" s="11"/>
      <c r="E371" s="11"/>
      <c r="F371" s="11"/>
      <c r="G371" s="11"/>
      <c r="H371" s="11"/>
      <c r="I371" s="11"/>
      <c r="J371" s="11"/>
      <c r="K371" s="11"/>
      <c r="L371" s="11"/>
    </row>
    <row r="372" spans="4:12" hidden="1" x14ac:dyDescent="0.25">
      <c r="D372" s="11"/>
      <c r="E372" s="11"/>
      <c r="F372" s="11"/>
      <c r="G372" s="11"/>
      <c r="H372" s="11"/>
      <c r="I372" s="11"/>
      <c r="J372" s="11"/>
      <c r="K372" s="11"/>
      <c r="L372" s="11"/>
    </row>
    <row r="373" spans="4:12" hidden="1" x14ac:dyDescent="0.25">
      <c r="D373" s="11"/>
      <c r="E373" s="11"/>
      <c r="F373" s="11"/>
      <c r="G373" s="11"/>
      <c r="H373" s="11"/>
      <c r="I373" s="11"/>
      <c r="J373" s="11"/>
      <c r="K373" s="11"/>
      <c r="L373" s="11"/>
    </row>
    <row r="374" spans="4:12" hidden="1" x14ac:dyDescent="0.25">
      <c r="D374" s="11"/>
      <c r="E374" s="11"/>
      <c r="F374" s="11"/>
      <c r="G374" s="11"/>
      <c r="H374" s="11"/>
      <c r="I374" s="11"/>
      <c r="J374" s="11"/>
      <c r="K374" s="11"/>
      <c r="L374" s="11"/>
    </row>
    <row r="375" spans="4:12" hidden="1" x14ac:dyDescent="0.25">
      <c r="D375" s="11"/>
      <c r="E375" s="11"/>
      <c r="F375" s="11"/>
      <c r="G375" s="11"/>
      <c r="H375" s="11"/>
      <c r="I375" s="11"/>
      <c r="J375" s="11"/>
      <c r="K375" s="11"/>
      <c r="L375" s="11"/>
    </row>
    <row r="376" spans="4:12" hidden="1" x14ac:dyDescent="0.25">
      <c r="D376" s="11"/>
      <c r="E376" s="11"/>
      <c r="F376" s="11"/>
      <c r="G376" s="11"/>
      <c r="H376" s="11"/>
      <c r="I376" s="11"/>
      <c r="J376" s="11"/>
      <c r="K376" s="11"/>
      <c r="L376" s="11"/>
    </row>
    <row r="377" spans="4:12" hidden="1" x14ac:dyDescent="0.25">
      <c r="D377" s="11"/>
      <c r="E377" s="11"/>
      <c r="F377" s="11"/>
      <c r="G377" s="11"/>
      <c r="H377" s="11"/>
      <c r="I377" s="11"/>
      <c r="J377" s="11"/>
      <c r="K377" s="11"/>
      <c r="L377" s="11"/>
    </row>
    <row r="378" spans="4:12" hidden="1" x14ac:dyDescent="0.25">
      <c r="D378" s="11"/>
      <c r="E378" s="11"/>
      <c r="F378" s="11"/>
      <c r="G378" s="11"/>
      <c r="H378" s="11"/>
      <c r="I378" s="11"/>
      <c r="J378" s="11"/>
      <c r="K378" s="11"/>
      <c r="L378" s="11"/>
    </row>
    <row r="379" spans="4:12" hidden="1" x14ac:dyDescent="0.25">
      <c r="D379" s="11"/>
      <c r="E379" s="11"/>
      <c r="F379" s="11"/>
      <c r="G379" s="11"/>
      <c r="H379" s="11"/>
      <c r="I379" s="11"/>
      <c r="J379" s="11"/>
      <c r="K379" s="11"/>
      <c r="L379" s="11"/>
    </row>
    <row r="380" spans="4:12" hidden="1" x14ac:dyDescent="0.25">
      <c r="D380" s="11"/>
      <c r="E380" s="11"/>
      <c r="F380" s="11"/>
      <c r="G380" s="11"/>
      <c r="H380" s="11"/>
      <c r="I380" s="11"/>
      <c r="J380" s="11"/>
      <c r="K380" s="11"/>
      <c r="L380" s="11"/>
    </row>
    <row r="381" spans="4:12" hidden="1" x14ac:dyDescent="0.25">
      <c r="D381" s="11"/>
      <c r="E381" s="11"/>
      <c r="F381" s="11"/>
      <c r="G381" s="11"/>
      <c r="H381" s="11"/>
      <c r="I381" s="11"/>
      <c r="J381" s="11"/>
      <c r="K381" s="11"/>
      <c r="L381" s="11"/>
    </row>
    <row r="382" spans="4:12" hidden="1" x14ac:dyDescent="0.25">
      <c r="D382" s="11"/>
      <c r="E382" s="11"/>
      <c r="F382" s="11"/>
      <c r="G382" s="11"/>
      <c r="H382" s="11"/>
      <c r="I382" s="11"/>
      <c r="J382" s="11"/>
      <c r="K382" s="11"/>
      <c r="L382" s="11"/>
    </row>
    <row r="383" spans="4:12" hidden="1" x14ac:dyDescent="0.25">
      <c r="D383" s="11"/>
      <c r="E383" s="11"/>
      <c r="F383" s="11"/>
      <c r="G383" s="11"/>
      <c r="H383" s="11"/>
      <c r="I383" s="11"/>
      <c r="J383" s="11"/>
      <c r="K383" s="11"/>
      <c r="L383" s="11"/>
    </row>
    <row r="384" spans="4:12" hidden="1" x14ac:dyDescent="0.25">
      <c r="D384" s="11"/>
      <c r="E384" s="11"/>
      <c r="F384" s="11"/>
      <c r="G384" s="11"/>
      <c r="H384" s="11"/>
      <c r="I384" s="11"/>
      <c r="J384" s="11"/>
      <c r="K384" s="11"/>
      <c r="L384" s="11"/>
    </row>
    <row r="385" spans="4:12" hidden="1" x14ac:dyDescent="0.25">
      <c r="D385" s="11"/>
      <c r="E385" s="11"/>
      <c r="F385" s="11"/>
      <c r="G385" s="11"/>
      <c r="H385" s="11"/>
      <c r="I385" s="11"/>
      <c r="J385" s="11"/>
      <c r="K385" s="11"/>
      <c r="L385" s="11"/>
    </row>
    <row r="386" spans="4:12" hidden="1" x14ac:dyDescent="0.25">
      <c r="D386" s="11"/>
      <c r="E386" s="11"/>
      <c r="F386" s="11"/>
      <c r="G386" s="11"/>
      <c r="H386" s="11"/>
      <c r="I386" s="11"/>
      <c r="J386" s="11"/>
      <c r="K386" s="11"/>
      <c r="L386" s="11"/>
    </row>
    <row r="387" spans="4:12" hidden="1" x14ac:dyDescent="0.25">
      <c r="D387" s="11"/>
      <c r="E387" s="11"/>
      <c r="F387" s="11"/>
      <c r="G387" s="11"/>
      <c r="H387" s="11"/>
      <c r="I387" s="11"/>
      <c r="J387" s="11"/>
      <c r="K387" s="11"/>
      <c r="L387" s="11"/>
    </row>
    <row r="388" spans="4:12" hidden="1" x14ac:dyDescent="0.25">
      <c r="D388" s="11"/>
      <c r="E388" s="11"/>
      <c r="F388" s="11"/>
      <c r="G388" s="11"/>
      <c r="H388" s="11"/>
      <c r="I388" s="11"/>
      <c r="J388" s="11"/>
      <c r="K388" s="11"/>
      <c r="L388" s="11"/>
    </row>
    <row r="389" spans="4:12" hidden="1" x14ac:dyDescent="0.25">
      <c r="D389" s="11"/>
      <c r="E389" s="11"/>
      <c r="F389" s="11"/>
      <c r="G389" s="11"/>
      <c r="H389" s="11"/>
      <c r="I389" s="11"/>
      <c r="J389" s="11"/>
      <c r="K389" s="11"/>
      <c r="L389" s="11"/>
    </row>
    <row r="390" spans="4:12" hidden="1" x14ac:dyDescent="0.25">
      <c r="D390" s="11"/>
      <c r="E390" s="11"/>
      <c r="F390" s="11"/>
      <c r="G390" s="11"/>
      <c r="H390" s="11"/>
      <c r="I390" s="11"/>
      <c r="J390" s="11"/>
      <c r="K390" s="11"/>
      <c r="L390" s="11"/>
    </row>
    <row r="391" spans="4:12" hidden="1" x14ac:dyDescent="0.25">
      <c r="D391" s="11"/>
      <c r="E391" s="11"/>
      <c r="F391" s="11"/>
      <c r="G391" s="11"/>
      <c r="H391" s="11"/>
      <c r="I391" s="11"/>
      <c r="J391" s="11"/>
      <c r="K391" s="11"/>
      <c r="L391" s="11"/>
    </row>
    <row r="392" spans="4:12" hidden="1" x14ac:dyDescent="0.25">
      <c r="D392" s="11"/>
      <c r="E392" s="11"/>
      <c r="F392" s="11"/>
      <c r="G392" s="11"/>
      <c r="H392" s="11"/>
      <c r="I392" s="11"/>
      <c r="J392" s="11"/>
      <c r="K392" s="11"/>
      <c r="L392" s="11"/>
    </row>
    <row r="393" spans="4:12" hidden="1" x14ac:dyDescent="0.25">
      <c r="D393" s="11"/>
      <c r="E393" s="11"/>
      <c r="F393" s="11"/>
      <c r="G393" s="11"/>
      <c r="H393" s="11"/>
      <c r="I393" s="11"/>
      <c r="J393" s="11"/>
      <c r="K393" s="11"/>
      <c r="L393" s="11"/>
    </row>
    <row r="394" spans="4:12" hidden="1" x14ac:dyDescent="0.25">
      <c r="D394" s="11"/>
      <c r="E394" s="11"/>
      <c r="F394" s="11"/>
      <c r="G394" s="11"/>
      <c r="H394" s="11"/>
      <c r="I394" s="11"/>
      <c r="J394" s="11"/>
      <c r="K394" s="11"/>
      <c r="L394" s="11"/>
    </row>
    <row r="395" spans="4:12" hidden="1" x14ac:dyDescent="0.25">
      <c r="D395" s="11"/>
      <c r="E395" s="11"/>
      <c r="F395" s="11"/>
      <c r="G395" s="11"/>
      <c r="H395" s="11"/>
      <c r="I395" s="11"/>
      <c r="J395" s="11"/>
      <c r="K395" s="11"/>
      <c r="L395" s="11"/>
    </row>
    <row r="396" spans="4:12" hidden="1" x14ac:dyDescent="0.25">
      <c r="D396" s="11"/>
      <c r="E396" s="11"/>
      <c r="F396" s="11"/>
      <c r="G396" s="11"/>
      <c r="H396" s="11"/>
      <c r="I396" s="11"/>
      <c r="J396" s="11"/>
      <c r="K396" s="11"/>
      <c r="L396" s="11"/>
    </row>
    <row r="397" spans="4:12" hidden="1" x14ac:dyDescent="0.25">
      <c r="D397" s="11"/>
      <c r="E397" s="11"/>
      <c r="F397" s="11"/>
      <c r="G397" s="11"/>
      <c r="H397" s="11"/>
      <c r="I397" s="11"/>
      <c r="J397" s="11"/>
      <c r="K397" s="11"/>
      <c r="L397" s="11"/>
    </row>
    <row r="398" spans="4:12" hidden="1" x14ac:dyDescent="0.25">
      <c r="D398" s="11"/>
      <c r="E398" s="11"/>
      <c r="F398" s="11"/>
      <c r="G398" s="11"/>
      <c r="H398" s="11"/>
      <c r="I398" s="11"/>
      <c r="J398" s="11"/>
      <c r="K398" s="11"/>
      <c r="L398" s="11"/>
    </row>
    <row r="399" spans="4:12" hidden="1" x14ac:dyDescent="0.25">
      <c r="D399" s="11"/>
      <c r="E399" s="11"/>
      <c r="F399" s="11"/>
      <c r="G399" s="11"/>
      <c r="H399" s="11"/>
      <c r="I399" s="11"/>
      <c r="J399" s="11"/>
      <c r="K399" s="11"/>
      <c r="L399" s="11"/>
    </row>
    <row r="400" spans="4:12" hidden="1" x14ac:dyDescent="0.25">
      <c r="D400" s="11"/>
      <c r="E400" s="11"/>
      <c r="F400" s="11"/>
      <c r="G400" s="11"/>
      <c r="H400" s="11"/>
      <c r="I400" s="11"/>
      <c r="J400" s="11"/>
      <c r="K400" s="11"/>
      <c r="L400" s="11"/>
    </row>
    <row r="401" spans="4:12" hidden="1" x14ac:dyDescent="0.25">
      <c r="D401" s="11"/>
      <c r="E401" s="11"/>
      <c r="F401" s="11"/>
      <c r="G401" s="11"/>
      <c r="H401" s="11"/>
      <c r="I401" s="11"/>
      <c r="J401" s="11"/>
      <c r="K401" s="11"/>
      <c r="L401" s="11"/>
    </row>
    <row r="402" spans="4:12" hidden="1" x14ac:dyDescent="0.25">
      <c r="D402" s="11"/>
      <c r="E402" s="11"/>
      <c r="F402" s="11"/>
      <c r="G402" s="11"/>
      <c r="H402" s="11"/>
      <c r="I402" s="11"/>
      <c r="J402" s="11"/>
      <c r="K402" s="11"/>
      <c r="L402" s="11"/>
    </row>
    <row r="403" spans="4:12" hidden="1" x14ac:dyDescent="0.25">
      <c r="D403" s="11"/>
      <c r="E403" s="11"/>
      <c r="F403" s="11"/>
      <c r="G403" s="11"/>
      <c r="H403" s="11"/>
      <c r="I403" s="11"/>
      <c r="J403" s="11"/>
      <c r="K403" s="11"/>
      <c r="L403" s="11"/>
    </row>
    <row r="404" spans="4:12" hidden="1" x14ac:dyDescent="0.25">
      <c r="D404" s="11"/>
      <c r="E404" s="11"/>
      <c r="F404" s="11"/>
      <c r="G404" s="11"/>
      <c r="H404" s="11"/>
      <c r="I404" s="11"/>
      <c r="J404" s="11"/>
      <c r="K404" s="11"/>
      <c r="L404" s="11"/>
    </row>
    <row r="405" spans="4:12" hidden="1" x14ac:dyDescent="0.25">
      <c r="D405" s="11"/>
      <c r="E405" s="11"/>
      <c r="F405" s="11"/>
      <c r="G405" s="11"/>
      <c r="H405" s="11"/>
      <c r="I405" s="11"/>
      <c r="J405" s="11"/>
      <c r="K405" s="11"/>
      <c r="L405" s="11"/>
    </row>
    <row r="406" spans="4:12" hidden="1" x14ac:dyDescent="0.25">
      <c r="D406" s="11"/>
      <c r="E406" s="11"/>
      <c r="F406" s="11"/>
      <c r="G406" s="11"/>
      <c r="H406" s="11"/>
      <c r="I406" s="11"/>
      <c r="J406" s="11"/>
      <c r="K406" s="11"/>
      <c r="L406" s="11"/>
    </row>
    <row r="407" spans="4:12" hidden="1" x14ac:dyDescent="0.25">
      <c r="D407" s="11"/>
      <c r="E407" s="11"/>
      <c r="F407" s="11"/>
      <c r="G407" s="11"/>
      <c r="H407" s="11"/>
      <c r="I407" s="11"/>
      <c r="J407" s="11"/>
      <c r="K407" s="11"/>
      <c r="L407" s="11"/>
    </row>
    <row r="408" spans="4:12" hidden="1" x14ac:dyDescent="0.25">
      <c r="D408" s="11"/>
      <c r="E408" s="11"/>
      <c r="F408" s="11"/>
      <c r="G408" s="11"/>
      <c r="H408" s="11"/>
      <c r="I408" s="11"/>
      <c r="J408" s="11"/>
      <c r="K408" s="11"/>
      <c r="L408" s="11"/>
    </row>
    <row r="409" spans="4:12" hidden="1" x14ac:dyDescent="0.25">
      <c r="D409" s="11"/>
      <c r="E409" s="11"/>
      <c r="F409" s="11"/>
      <c r="G409" s="11"/>
      <c r="H409" s="11"/>
      <c r="I409" s="11"/>
      <c r="J409" s="11"/>
      <c r="K409" s="11"/>
      <c r="L409" s="11"/>
    </row>
    <row r="410" spans="4:12" hidden="1" x14ac:dyDescent="0.25">
      <c r="D410" s="11"/>
      <c r="E410" s="11"/>
      <c r="F410" s="11"/>
      <c r="G410" s="11"/>
      <c r="H410" s="11"/>
      <c r="I410" s="11"/>
      <c r="J410" s="11"/>
      <c r="K410" s="11"/>
      <c r="L410" s="11"/>
    </row>
    <row r="411" spans="4:12" hidden="1" x14ac:dyDescent="0.25">
      <c r="D411" s="11"/>
      <c r="E411" s="11"/>
      <c r="F411" s="11"/>
      <c r="G411" s="11"/>
      <c r="H411" s="11"/>
      <c r="I411" s="11"/>
      <c r="J411" s="11"/>
      <c r="K411" s="11"/>
      <c r="L411" s="11"/>
    </row>
    <row r="412" spans="4:12" hidden="1" x14ac:dyDescent="0.25">
      <c r="D412" s="11"/>
      <c r="E412" s="11"/>
      <c r="F412" s="11"/>
      <c r="G412" s="11"/>
      <c r="H412" s="11"/>
      <c r="I412" s="11"/>
      <c r="J412" s="11"/>
      <c r="K412" s="11"/>
      <c r="L412" s="11"/>
    </row>
    <row r="413" spans="4:12" hidden="1" x14ac:dyDescent="0.25">
      <c r="D413" s="11"/>
      <c r="E413" s="11"/>
      <c r="F413" s="11"/>
      <c r="G413" s="11"/>
      <c r="H413" s="11"/>
      <c r="I413" s="11"/>
      <c r="J413" s="11"/>
      <c r="K413" s="11"/>
      <c r="L413" s="11"/>
    </row>
    <row r="414" spans="4:12" hidden="1" x14ac:dyDescent="0.25">
      <c r="D414" s="11"/>
      <c r="E414" s="11"/>
      <c r="F414" s="11"/>
      <c r="G414" s="11"/>
      <c r="H414" s="11"/>
      <c r="I414" s="11"/>
      <c r="J414" s="11"/>
      <c r="K414" s="11"/>
      <c r="L414" s="11"/>
    </row>
    <row r="415" spans="4:12" hidden="1" x14ac:dyDescent="0.25">
      <c r="D415" s="11"/>
      <c r="E415" s="11"/>
      <c r="F415" s="11"/>
      <c r="G415" s="11"/>
      <c r="H415" s="11"/>
      <c r="I415" s="11"/>
      <c r="J415" s="11"/>
      <c r="K415" s="11"/>
      <c r="L415" s="11"/>
    </row>
    <row r="416" spans="4:12" hidden="1" x14ac:dyDescent="0.25">
      <c r="D416" s="11"/>
      <c r="E416" s="11"/>
      <c r="F416" s="11"/>
      <c r="G416" s="11"/>
      <c r="H416" s="11"/>
      <c r="I416" s="11"/>
      <c r="J416" s="11"/>
      <c r="K416" s="11"/>
      <c r="L416" s="11"/>
    </row>
    <row r="417" spans="4:12" hidden="1" x14ac:dyDescent="0.25">
      <c r="D417" s="11"/>
      <c r="E417" s="11"/>
      <c r="F417" s="11"/>
      <c r="G417" s="11"/>
      <c r="H417" s="11"/>
      <c r="I417" s="11"/>
      <c r="J417" s="11"/>
      <c r="K417" s="11"/>
      <c r="L417" s="11"/>
    </row>
    <row r="418" spans="4:12" hidden="1" x14ac:dyDescent="0.25">
      <c r="D418" s="11"/>
      <c r="E418" s="11"/>
      <c r="F418" s="11"/>
      <c r="G418" s="11"/>
      <c r="H418" s="11"/>
      <c r="I418" s="11"/>
      <c r="J418" s="11"/>
      <c r="K418" s="11"/>
      <c r="L418" s="11"/>
    </row>
    <row r="419" spans="4:12" hidden="1" x14ac:dyDescent="0.25">
      <c r="D419" s="11"/>
      <c r="E419" s="11"/>
      <c r="F419" s="11"/>
      <c r="G419" s="11"/>
      <c r="H419" s="11"/>
      <c r="I419" s="11"/>
      <c r="J419" s="11"/>
      <c r="K419" s="11"/>
      <c r="L419" s="11"/>
    </row>
    <row r="420" spans="4:12" hidden="1" x14ac:dyDescent="0.25">
      <c r="D420" s="11"/>
      <c r="E420" s="11"/>
      <c r="F420" s="11"/>
      <c r="G420" s="11"/>
      <c r="H420" s="11"/>
      <c r="I420" s="11"/>
      <c r="J420" s="11"/>
      <c r="K420" s="11"/>
      <c r="L420" s="11"/>
    </row>
    <row r="421" spans="4:12" hidden="1" x14ac:dyDescent="0.25">
      <c r="D421" s="11"/>
      <c r="E421" s="11"/>
      <c r="F421" s="11"/>
      <c r="G421" s="11"/>
      <c r="H421" s="11"/>
      <c r="I421" s="11"/>
      <c r="J421" s="11"/>
      <c r="K421" s="11"/>
      <c r="L421" s="11"/>
    </row>
    <row r="422" spans="4:12" hidden="1" x14ac:dyDescent="0.25">
      <c r="D422" s="11"/>
      <c r="E422" s="11"/>
      <c r="F422" s="11"/>
      <c r="G422" s="11"/>
      <c r="H422" s="11"/>
      <c r="I422" s="11"/>
      <c r="J422" s="11"/>
      <c r="K422" s="11"/>
      <c r="L422" s="11"/>
    </row>
    <row r="423" spans="4:12" hidden="1" x14ac:dyDescent="0.25">
      <c r="D423" s="11"/>
      <c r="E423" s="11"/>
      <c r="F423" s="11"/>
      <c r="G423" s="11"/>
      <c r="H423" s="11"/>
      <c r="I423" s="11"/>
      <c r="J423" s="11"/>
      <c r="K423" s="11"/>
      <c r="L423" s="11"/>
    </row>
    <row r="424" spans="4:12" hidden="1" x14ac:dyDescent="0.25">
      <c r="D424" s="11"/>
      <c r="E424" s="11"/>
      <c r="F424" s="11"/>
      <c r="G424" s="11"/>
      <c r="H424" s="11"/>
      <c r="I424" s="11"/>
      <c r="J424" s="11"/>
      <c r="K424" s="11"/>
      <c r="L424" s="11"/>
    </row>
    <row r="425" spans="4:12" hidden="1" x14ac:dyDescent="0.25">
      <c r="D425" s="11"/>
      <c r="E425" s="11"/>
      <c r="F425" s="11"/>
      <c r="G425" s="11"/>
      <c r="H425" s="11"/>
      <c r="I425" s="11"/>
      <c r="J425" s="11"/>
      <c r="K425" s="11"/>
      <c r="L425" s="11"/>
    </row>
    <row r="426" spans="4:12" hidden="1" x14ac:dyDescent="0.25">
      <c r="D426" s="11"/>
      <c r="E426" s="11"/>
      <c r="F426" s="11"/>
      <c r="G426" s="11"/>
      <c r="H426" s="11"/>
      <c r="I426" s="11"/>
      <c r="J426" s="11"/>
      <c r="K426" s="11"/>
      <c r="L426" s="11"/>
    </row>
    <row r="427" spans="4:12" hidden="1" x14ac:dyDescent="0.25">
      <c r="D427" s="11"/>
      <c r="E427" s="11"/>
      <c r="F427" s="11"/>
      <c r="G427" s="11"/>
      <c r="H427" s="11"/>
      <c r="I427" s="11"/>
      <c r="J427" s="11"/>
      <c r="K427" s="11"/>
      <c r="L427" s="11"/>
    </row>
    <row r="428" spans="4:12" hidden="1" x14ac:dyDescent="0.25">
      <c r="D428" s="11"/>
      <c r="E428" s="11"/>
      <c r="F428" s="11"/>
      <c r="G428" s="11"/>
      <c r="H428" s="11"/>
      <c r="I428" s="11"/>
      <c r="J428" s="11"/>
      <c r="K428" s="11"/>
      <c r="L428" s="11"/>
    </row>
    <row r="429" spans="4:12" hidden="1" x14ac:dyDescent="0.25">
      <c r="D429" s="11"/>
      <c r="E429" s="11"/>
      <c r="F429" s="11"/>
      <c r="G429" s="11"/>
      <c r="H429" s="11"/>
      <c r="I429" s="11"/>
      <c r="J429" s="11"/>
      <c r="K429" s="11"/>
      <c r="L429" s="11"/>
    </row>
    <row r="430" spans="4:12" hidden="1" x14ac:dyDescent="0.25">
      <c r="D430" s="11"/>
      <c r="E430" s="11"/>
      <c r="F430" s="11"/>
      <c r="G430" s="11"/>
      <c r="H430" s="11"/>
      <c r="I430" s="11"/>
      <c r="J430" s="11"/>
      <c r="K430" s="11"/>
      <c r="L430" s="11"/>
    </row>
    <row r="431" spans="4:12" hidden="1" x14ac:dyDescent="0.25">
      <c r="D431" s="11"/>
      <c r="E431" s="11"/>
      <c r="F431" s="11"/>
      <c r="G431" s="11"/>
      <c r="H431" s="11"/>
      <c r="I431" s="11"/>
      <c r="J431" s="11"/>
      <c r="K431" s="11"/>
      <c r="L431" s="11"/>
    </row>
    <row r="432" spans="4:12" hidden="1" x14ac:dyDescent="0.25">
      <c r="D432" s="11"/>
      <c r="E432" s="11"/>
      <c r="F432" s="11"/>
      <c r="G432" s="11"/>
      <c r="H432" s="11"/>
      <c r="I432" s="11"/>
      <c r="J432" s="11"/>
      <c r="K432" s="11"/>
      <c r="L432" s="11"/>
    </row>
    <row r="433" spans="4:12" hidden="1" x14ac:dyDescent="0.25">
      <c r="D433" s="11"/>
      <c r="E433" s="11"/>
      <c r="F433" s="11"/>
      <c r="G433" s="11"/>
      <c r="H433" s="11"/>
      <c r="I433" s="11"/>
      <c r="J433" s="11"/>
      <c r="K433" s="11"/>
      <c r="L433" s="11"/>
    </row>
    <row r="434" spans="4:12" hidden="1" x14ac:dyDescent="0.25">
      <c r="D434" s="11"/>
      <c r="E434" s="11"/>
      <c r="F434" s="11"/>
      <c r="G434" s="11"/>
      <c r="H434" s="11"/>
      <c r="I434" s="11"/>
      <c r="J434" s="11"/>
      <c r="K434" s="11"/>
      <c r="L434" s="11"/>
    </row>
    <row r="435" spans="4:12" hidden="1" x14ac:dyDescent="0.25">
      <c r="D435" s="11"/>
      <c r="E435" s="11"/>
      <c r="F435" s="11"/>
      <c r="G435" s="11"/>
      <c r="H435" s="11"/>
      <c r="I435" s="11"/>
      <c r="J435" s="11"/>
      <c r="K435" s="11"/>
      <c r="L435" s="11"/>
    </row>
    <row r="436" spans="4:12" hidden="1" x14ac:dyDescent="0.25">
      <c r="D436" s="11"/>
      <c r="E436" s="11"/>
      <c r="F436" s="11"/>
      <c r="G436" s="11"/>
      <c r="H436" s="11"/>
      <c r="I436" s="11"/>
      <c r="J436" s="11"/>
      <c r="K436" s="11"/>
      <c r="L436" s="11"/>
    </row>
    <row r="437" spans="4:12" hidden="1" x14ac:dyDescent="0.25">
      <c r="D437" s="11"/>
      <c r="E437" s="11"/>
      <c r="F437" s="11"/>
      <c r="G437" s="11"/>
      <c r="H437" s="11"/>
      <c r="I437" s="11"/>
      <c r="J437" s="11"/>
      <c r="K437" s="11"/>
      <c r="L437" s="11"/>
    </row>
    <row r="438" spans="4:12" hidden="1" x14ac:dyDescent="0.25">
      <c r="D438" s="11"/>
      <c r="E438" s="11"/>
      <c r="F438" s="11"/>
      <c r="G438" s="11"/>
      <c r="H438" s="11"/>
      <c r="I438" s="11"/>
      <c r="J438" s="11"/>
      <c r="K438" s="11"/>
      <c r="L438" s="11"/>
    </row>
    <row r="439" spans="4:12" hidden="1" x14ac:dyDescent="0.25">
      <c r="D439" s="11"/>
      <c r="E439" s="11"/>
      <c r="F439" s="11"/>
      <c r="G439" s="11"/>
      <c r="H439" s="11"/>
      <c r="I439" s="11"/>
      <c r="J439" s="11"/>
      <c r="K439" s="11"/>
      <c r="L439" s="11"/>
    </row>
    <row r="440" spans="4:12" hidden="1" x14ac:dyDescent="0.25">
      <c r="D440" s="11"/>
      <c r="E440" s="11"/>
      <c r="F440" s="11"/>
      <c r="G440" s="11"/>
      <c r="H440" s="11"/>
      <c r="I440" s="11"/>
      <c r="J440" s="11"/>
      <c r="K440" s="11"/>
      <c r="L440" s="11"/>
    </row>
    <row r="441" spans="4:12" hidden="1" x14ac:dyDescent="0.25">
      <c r="D441" s="11"/>
      <c r="E441" s="11"/>
      <c r="F441" s="11"/>
      <c r="G441" s="11"/>
      <c r="H441" s="11"/>
      <c r="I441" s="11"/>
      <c r="J441" s="11"/>
      <c r="K441" s="11"/>
      <c r="L441" s="11"/>
    </row>
    <row r="442" spans="4:12" hidden="1" x14ac:dyDescent="0.25">
      <c r="D442" s="11"/>
      <c r="E442" s="11"/>
      <c r="F442" s="11"/>
      <c r="G442" s="11"/>
      <c r="H442" s="11"/>
      <c r="I442" s="11"/>
      <c r="J442" s="11"/>
      <c r="K442" s="11"/>
      <c r="L442" s="11"/>
    </row>
    <row r="443" spans="4:12" hidden="1" x14ac:dyDescent="0.25">
      <c r="D443" s="11"/>
      <c r="E443" s="11"/>
      <c r="F443" s="11"/>
      <c r="G443" s="11"/>
      <c r="H443" s="11"/>
      <c r="I443" s="11"/>
      <c r="J443" s="11"/>
      <c r="K443" s="11"/>
      <c r="L443" s="11"/>
    </row>
    <row r="444" spans="4:12" hidden="1" x14ac:dyDescent="0.25">
      <c r="D444" s="11"/>
      <c r="E444" s="11"/>
      <c r="F444" s="11"/>
      <c r="G444" s="11"/>
      <c r="H444" s="11"/>
      <c r="I444" s="11"/>
      <c r="J444" s="11"/>
      <c r="K444" s="11"/>
      <c r="L444" s="11"/>
    </row>
    <row r="445" spans="4:12" hidden="1" x14ac:dyDescent="0.25">
      <c r="D445" s="11"/>
      <c r="E445" s="11"/>
      <c r="F445" s="11"/>
      <c r="G445" s="11"/>
      <c r="H445" s="11"/>
      <c r="I445" s="11"/>
      <c r="J445" s="11"/>
      <c r="K445" s="11"/>
      <c r="L445" s="11"/>
    </row>
    <row r="446" spans="4:12" hidden="1" x14ac:dyDescent="0.25">
      <c r="D446" s="11"/>
      <c r="E446" s="11"/>
      <c r="F446" s="11"/>
      <c r="G446" s="11"/>
      <c r="H446" s="11"/>
      <c r="I446" s="11"/>
      <c r="J446" s="11"/>
      <c r="K446" s="11"/>
      <c r="L446" s="11"/>
    </row>
    <row r="447" spans="4:12" hidden="1" x14ac:dyDescent="0.25">
      <c r="D447" s="11"/>
      <c r="E447" s="11"/>
      <c r="F447" s="11"/>
      <c r="G447" s="11"/>
      <c r="H447" s="11"/>
      <c r="I447" s="11"/>
      <c r="J447" s="11"/>
      <c r="K447" s="11"/>
      <c r="L447" s="11"/>
    </row>
    <row r="448" spans="4:12" hidden="1" x14ac:dyDescent="0.25">
      <c r="D448" s="11"/>
      <c r="E448" s="11"/>
      <c r="F448" s="11"/>
      <c r="G448" s="11"/>
      <c r="H448" s="11"/>
      <c r="I448" s="11"/>
      <c r="J448" s="11"/>
      <c r="K448" s="11"/>
      <c r="L448" s="11"/>
    </row>
    <row r="449" spans="4:12" hidden="1" x14ac:dyDescent="0.25">
      <c r="D449" s="11"/>
      <c r="E449" s="11"/>
      <c r="F449" s="11"/>
      <c r="G449" s="11"/>
      <c r="H449" s="11"/>
      <c r="I449" s="11"/>
      <c r="J449" s="11"/>
      <c r="K449" s="11"/>
      <c r="L449" s="11"/>
    </row>
    <row r="450" spans="4:12" hidden="1" x14ac:dyDescent="0.25">
      <c r="D450" s="11"/>
      <c r="E450" s="11"/>
      <c r="F450" s="11"/>
      <c r="G450" s="11"/>
      <c r="H450" s="11"/>
      <c r="I450" s="11"/>
      <c r="J450" s="11"/>
      <c r="K450" s="11"/>
      <c r="L450" s="11"/>
    </row>
    <row r="451" spans="4:12" hidden="1" x14ac:dyDescent="0.25">
      <c r="D451" s="11"/>
      <c r="E451" s="11"/>
      <c r="F451" s="11"/>
      <c r="G451" s="11"/>
      <c r="H451" s="11"/>
      <c r="I451" s="11"/>
      <c r="J451" s="11"/>
      <c r="K451" s="11"/>
      <c r="L451" s="11"/>
    </row>
    <row r="452" spans="4:12" hidden="1" x14ac:dyDescent="0.25">
      <c r="D452" s="11"/>
      <c r="E452" s="11"/>
      <c r="F452" s="11"/>
      <c r="G452" s="11"/>
      <c r="H452" s="11"/>
      <c r="I452" s="11"/>
      <c r="J452" s="11"/>
      <c r="K452" s="11"/>
      <c r="L452" s="11"/>
    </row>
    <row r="453" spans="4:12" hidden="1" x14ac:dyDescent="0.25">
      <c r="D453" s="11"/>
      <c r="E453" s="11"/>
      <c r="F453" s="11"/>
      <c r="G453" s="11"/>
      <c r="H453" s="11"/>
      <c r="I453" s="11"/>
      <c r="J453" s="11"/>
      <c r="K453" s="11"/>
      <c r="L453" s="11"/>
    </row>
    <row r="454" spans="4:12" hidden="1" x14ac:dyDescent="0.25">
      <c r="D454" s="11"/>
      <c r="E454" s="11"/>
      <c r="F454" s="11"/>
      <c r="G454" s="11"/>
      <c r="H454" s="11"/>
      <c r="I454" s="11"/>
      <c r="J454" s="11"/>
      <c r="K454" s="11"/>
      <c r="L454" s="11"/>
    </row>
    <row r="455" spans="4:12" hidden="1" x14ac:dyDescent="0.25">
      <c r="D455" s="11"/>
      <c r="E455" s="11"/>
      <c r="F455" s="11"/>
      <c r="G455" s="11"/>
      <c r="H455" s="11"/>
      <c r="I455" s="11"/>
      <c r="J455" s="11"/>
      <c r="K455" s="11"/>
      <c r="L455" s="11"/>
    </row>
    <row r="456" spans="4:12" hidden="1" x14ac:dyDescent="0.25">
      <c r="D456" s="11"/>
      <c r="E456" s="11"/>
      <c r="F456" s="11"/>
      <c r="G456" s="11"/>
      <c r="H456" s="11"/>
      <c r="I456" s="11"/>
      <c r="J456" s="11"/>
      <c r="K456" s="11"/>
      <c r="L456" s="11"/>
    </row>
    <row r="457" spans="4:12" hidden="1" x14ac:dyDescent="0.25">
      <c r="D457" s="11"/>
      <c r="E457" s="11"/>
      <c r="F457" s="11"/>
      <c r="G457" s="11"/>
      <c r="H457" s="11"/>
      <c r="I457" s="11"/>
      <c r="J457" s="11"/>
      <c r="K457" s="11"/>
      <c r="L457" s="11"/>
    </row>
    <row r="458" spans="4:12" hidden="1" x14ac:dyDescent="0.25">
      <c r="D458" s="11"/>
      <c r="E458" s="11"/>
      <c r="F458" s="11"/>
      <c r="G458" s="11"/>
      <c r="H458" s="11"/>
      <c r="I458" s="11"/>
      <c r="J458" s="11"/>
      <c r="K458" s="11"/>
      <c r="L458" s="11"/>
    </row>
    <row r="459" spans="4:12" hidden="1" x14ac:dyDescent="0.25">
      <c r="D459" s="11"/>
      <c r="E459" s="11"/>
      <c r="F459" s="11"/>
      <c r="G459" s="11"/>
      <c r="H459" s="11"/>
      <c r="I459" s="11"/>
      <c r="J459" s="11"/>
      <c r="K459" s="11"/>
      <c r="L459" s="11"/>
    </row>
    <row r="460" spans="4:12" hidden="1" x14ac:dyDescent="0.25">
      <c r="D460" s="11"/>
      <c r="E460" s="11"/>
      <c r="F460" s="11"/>
      <c r="G460" s="11"/>
      <c r="H460" s="11"/>
      <c r="I460" s="11"/>
      <c r="J460" s="11"/>
      <c r="K460" s="11"/>
      <c r="L460" s="11"/>
    </row>
    <row r="461" spans="4:12" hidden="1" x14ac:dyDescent="0.25">
      <c r="D461" s="11"/>
      <c r="E461" s="11"/>
      <c r="F461" s="11"/>
      <c r="G461" s="11"/>
      <c r="H461" s="11"/>
      <c r="I461" s="11"/>
      <c r="J461" s="11"/>
      <c r="K461" s="11"/>
      <c r="L461" s="11"/>
    </row>
    <row r="462" spans="4:12" hidden="1" x14ac:dyDescent="0.25">
      <c r="D462" s="11"/>
      <c r="E462" s="11"/>
      <c r="F462" s="11"/>
      <c r="G462" s="11"/>
      <c r="H462" s="11"/>
      <c r="I462" s="11"/>
      <c r="J462" s="11"/>
      <c r="K462" s="11"/>
      <c r="L462" s="11"/>
    </row>
    <row r="463" spans="4:12" hidden="1" x14ac:dyDescent="0.25">
      <c r="D463" s="11"/>
      <c r="E463" s="11"/>
      <c r="F463" s="11"/>
      <c r="G463" s="11"/>
      <c r="H463" s="11"/>
      <c r="I463" s="11"/>
      <c r="J463" s="11"/>
      <c r="K463" s="11"/>
      <c r="L463" s="11"/>
    </row>
    <row r="464" spans="4:12" hidden="1" x14ac:dyDescent="0.25">
      <c r="D464" s="11"/>
      <c r="E464" s="11"/>
      <c r="F464" s="11"/>
      <c r="G464" s="11"/>
      <c r="H464" s="11"/>
      <c r="I464" s="11"/>
      <c r="J464" s="11"/>
      <c r="K464" s="11"/>
      <c r="L464" s="11"/>
    </row>
    <row r="465" spans="4:12" hidden="1" x14ac:dyDescent="0.25">
      <c r="D465" s="11"/>
      <c r="E465" s="11"/>
      <c r="F465" s="11"/>
      <c r="G465" s="11"/>
      <c r="H465" s="11"/>
      <c r="I465" s="11"/>
      <c r="J465" s="11"/>
      <c r="K465" s="11"/>
      <c r="L465" s="11"/>
    </row>
    <row r="466" spans="4:12" hidden="1" x14ac:dyDescent="0.25">
      <c r="D466" s="11"/>
      <c r="E466" s="11"/>
      <c r="F466" s="11"/>
      <c r="G466" s="11"/>
      <c r="H466" s="11"/>
      <c r="I466" s="11"/>
      <c r="J466" s="11"/>
      <c r="K466" s="11"/>
      <c r="L466" s="11"/>
    </row>
    <row r="467" spans="4:12" hidden="1" x14ac:dyDescent="0.25">
      <c r="D467" s="11"/>
      <c r="E467" s="11"/>
      <c r="F467" s="11"/>
      <c r="G467" s="11"/>
      <c r="H467" s="11"/>
      <c r="I467" s="11"/>
      <c r="J467" s="11"/>
      <c r="K467" s="11"/>
      <c r="L467" s="11"/>
    </row>
    <row r="468" spans="4:12" hidden="1" x14ac:dyDescent="0.25">
      <c r="D468" s="11"/>
      <c r="E468" s="11"/>
      <c r="F468" s="11"/>
      <c r="G468" s="11"/>
      <c r="H468" s="11"/>
      <c r="I468" s="11"/>
      <c r="J468" s="11"/>
      <c r="K468" s="11"/>
      <c r="L468" s="11"/>
    </row>
    <row r="469" spans="4:12" hidden="1" x14ac:dyDescent="0.25">
      <c r="D469" s="11"/>
      <c r="E469" s="11"/>
      <c r="F469" s="11"/>
      <c r="G469" s="11"/>
      <c r="H469" s="11"/>
      <c r="I469" s="11"/>
      <c r="J469" s="11"/>
      <c r="K469" s="11"/>
      <c r="L469" s="11"/>
    </row>
    <row r="470" spans="4:12" hidden="1" x14ac:dyDescent="0.25">
      <c r="D470" s="11"/>
      <c r="E470" s="11"/>
      <c r="F470" s="11"/>
      <c r="G470" s="11"/>
      <c r="H470" s="11"/>
      <c r="I470" s="11"/>
      <c r="J470" s="11"/>
      <c r="K470" s="11"/>
      <c r="L470" s="11"/>
    </row>
    <row r="471" spans="4:12" hidden="1" x14ac:dyDescent="0.25">
      <c r="D471" s="11"/>
      <c r="E471" s="11"/>
      <c r="F471" s="11"/>
      <c r="G471" s="11"/>
      <c r="H471" s="11"/>
      <c r="I471" s="11"/>
      <c r="J471" s="11"/>
      <c r="K471" s="11"/>
      <c r="L471" s="11"/>
    </row>
    <row r="472" spans="4:12" hidden="1" x14ac:dyDescent="0.25">
      <c r="D472" s="11"/>
      <c r="E472" s="11"/>
      <c r="F472" s="11"/>
      <c r="G472" s="11"/>
      <c r="H472" s="11"/>
      <c r="I472" s="11"/>
      <c r="J472" s="11"/>
      <c r="K472" s="11"/>
      <c r="L472" s="11"/>
    </row>
    <row r="473" spans="4:12" hidden="1" x14ac:dyDescent="0.25">
      <c r="D473" s="11"/>
      <c r="E473" s="11"/>
      <c r="F473" s="11"/>
      <c r="G473" s="11"/>
      <c r="H473" s="11"/>
      <c r="I473" s="11"/>
      <c r="J473" s="11"/>
      <c r="K473" s="11"/>
      <c r="L473" s="11"/>
    </row>
    <row r="474" spans="4:12" hidden="1" x14ac:dyDescent="0.25">
      <c r="D474" s="11"/>
      <c r="E474" s="11"/>
      <c r="F474" s="11"/>
      <c r="G474" s="11"/>
      <c r="H474" s="11"/>
      <c r="I474" s="11"/>
      <c r="J474" s="11"/>
      <c r="K474" s="11"/>
      <c r="L474" s="11"/>
    </row>
    <row r="475" spans="4:12" hidden="1" x14ac:dyDescent="0.25">
      <c r="D475" s="11"/>
      <c r="E475" s="11"/>
      <c r="F475" s="11"/>
      <c r="G475" s="11"/>
      <c r="H475" s="11"/>
      <c r="I475" s="11"/>
      <c r="J475" s="11"/>
      <c r="K475" s="11"/>
      <c r="L475" s="11"/>
    </row>
    <row r="476" spans="4:12" hidden="1" x14ac:dyDescent="0.25">
      <c r="D476" s="11"/>
      <c r="E476" s="11"/>
      <c r="F476" s="11"/>
      <c r="G476" s="11"/>
      <c r="H476" s="11"/>
      <c r="I476" s="11"/>
      <c r="J476" s="11"/>
      <c r="K476" s="11"/>
      <c r="L476" s="11"/>
    </row>
    <row r="477" spans="4:12" hidden="1" x14ac:dyDescent="0.25">
      <c r="D477" s="11"/>
      <c r="E477" s="11"/>
      <c r="F477" s="11"/>
      <c r="G477" s="11"/>
      <c r="H477" s="11"/>
      <c r="I477" s="11"/>
      <c r="J477" s="11"/>
      <c r="K477" s="11"/>
      <c r="L477" s="11"/>
    </row>
    <row r="478" spans="4:12" hidden="1" x14ac:dyDescent="0.25">
      <c r="D478" s="11"/>
      <c r="E478" s="11"/>
      <c r="F478" s="11"/>
      <c r="G478" s="11"/>
      <c r="H478" s="11"/>
      <c r="I478" s="11"/>
      <c r="J478" s="11"/>
      <c r="K478" s="11"/>
      <c r="L478" s="11"/>
    </row>
    <row r="479" spans="4:12" hidden="1" x14ac:dyDescent="0.25">
      <c r="D479" s="11"/>
      <c r="E479" s="11"/>
      <c r="F479" s="11"/>
      <c r="G479" s="11"/>
      <c r="H479" s="11"/>
      <c r="I479" s="11"/>
      <c r="J479" s="11"/>
      <c r="K479" s="11"/>
      <c r="L479" s="11"/>
    </row>
    <row r="480" spans="4:12" hidden="1" x14ac:dyDescent="0.25">
      <c r="D480" s="11"/>
      <c r="E480" s="11"/>
      <c r="F480" s="11"/>
      <c r="G480" s="11"/>
      <c r="H480" s="11"/>
      <c r="I480" s="11"/>
      <c r="J480" s="11"/>
      <c r="K480" s="11"/>
      <c r="L480" s="11"/>
    </row>
    <row r="481" spans="4:12" hidden="1" x14ac:dyDescent="0.25">
      <c r="D481" s="11"/>
      <c r="E481" s="11"/>
      <c r="F481" s="11"/>
      <c r="G481" s="11"/>
      <c r="H481" s="11"/>
      <c r="I481" s="11"/>
      <c r="J481" s="11"/>
      <c r="K481" s="11"/>
      <c r="L481" s="11"/>
    </row>
    <row r="482" spans="4:12" hidden="1" x14ac:dyDescent="0.25">
      <c r="D482" s="11"/>
      <c r="E482" s="11"/>
      <c r="F482" s="11"/>
      <c r="G482" s="11"/>
      <c r="H482" s="11"/>
      <c r="I482" s="11"/>
      <c r="J482" s="11"/>
      <c r="K482" s="11"/>
      <c r="L482" s="11"/>
    </row>
    <row r="483" spans="4:12" hidden="1" x14ac:dyDescent="0.25">
      <c r="D483" s="11"/>
      <c r="E483" s="11"/>
      <c r="F483" s="11"/>
      <c r="G483" s="11"/>
      <c r="H483" s="11"/>
      <c r="I483" s="11"/>
      <c r="J483" s="11"/>
      <c r="K483" s="11"/>
      <c r="L483" s="11"/>
    </row>
    <row r="484" spans="4:12" hidden="1" x14ac:dyDescent="0.25">
      <c r="D484" s="11"/>
      <c r="E484" s="11"/>
      <c r="F484" s="11"/>
      <c r="G484" s="11"/>
      <c r="H484" s="11"/>
      <c r="I484" s="11"/>
      <c r="J484" s="11"/>
      <c r="K484" s="11"/>
      <c r="L484" s="11"/>
    </row>
    <row r="485" spans="4:12" hidden="1" x14ac:dyDescent="0.25">
      <c r="D485" s="11"/>
      <c r="E485" s="11"/>
      <c r="F485" s="11"/>
      <c r="G485" s="11"/>
      <c r="H485" s="11"/>
      <c r="I485" s="11"/>
      <c r="J485" s="11"/>
      <c r="K485" s="11"/>
      <c r="L485" s="11"/>
    </row>
    <row r="486" spans="4:12" hidden="1" x14ac:dyDescent="0.25">
      <c r="D486" s="11"/>
      <c r="E486" s="11"/>
      <c r="F486" s="11"/>
      <c r="G486" s="11"/>
      <c r="H486" s="11"/>
      <c r="I486" s="11"/>
      <c r="J486" s="11"/>
      <c r="K486" s="11"/>
      <c r="L486" s="11"/>
    </row>
    <row r="487" spans="4:12" hidden="1" x14ac:dyDescent="0.25">
      <c r="D487" s="11"/>
      <c r="E487" s="11"/>
      <c r="F487" s="11"/>
      <c r="G487" s="11"/>
      <c r="H487" s="11"/>
      <c r="I487" s="11"/>
      <c r="J487" s="11"/>
      <c r="K487" s="11"/>
      <c r="L487" s="11"/>
    </row>
    <row r="488" spans="4:12" hidden="1" x14ac:dyDescent="0.25">
      <c r="D488" s="11"/>
      <c r="E488" s="11"/>
      <c r="F488" s="11"/>
      <c r="G488" s="11"/>
      <c r="H488" s="11"/>
      <c r="I488" s="11"/>
      <c r="J488" s="11"/>
      <c r="K488" s="11"/>
      <c r="L488" s="11"/>
    </row>
    <row r="489" spans="4:12" hidden="1" x14ac:dyDescent="0.25">
      <c r="D489" s="11"/>
      <c r="E489" s="11"/>
      <c r="F489" s="11"/>
      <c r="G489" s="11"/>
      <c r="H489" s="11"/>
      <c r="I489" s="11"/>
      <c r="J489" s="11"/>
      <c r="K489" s="11"/>
      <c r="L489" s="11"/>
    </row>
    <row r="490" spans="4:12" hidden="1" x14ac:dyDescent="0.25">
      <c r="D490" s="11"/>
      <c r="E490" s="11"/>
      <c r="F490" s="11"/>
      <c r="G490" s="11"/>
      <c r="H490" s="11"/>
      <c r="I490" s="11"/>
      <c r="J490" s="11"/>
      <c r="K490" s="11"/>
      <c r="L490" s="11"/>
    </row>
    <row r="491" spans="4:12" hidden="1" x14ac:dyDescent="0.25">
      <c r="D491" s="11"/>
      <c r="E491" s="11"/>
      <c r="F491" s="11"/>
      <c r="G491" s="11"/>
      <c r="H491" s="11"/>
      <c r="I491" s="11"/>
      <c r="J491" s="11"/>
      <c r="K491" s="11"/>
      <c r="L491" s="11"/>
    </row>
    <row r="492" spans="4:12" hidden="1" x14ac:dyDescent="0.25">
      <c r="D492" s="11"/>
      <c r="E492" s="11"/>
      <c r="F492" s="11"/>
      <c r="G492" s="11"/>
      <c r="H492" s="11"/>
      <c r="I492" s="11"/>
      <c r="J492" s="11"/>
      <c r="K492" s="11"/>
      <c r="L492" s="11"/>
    </row>
    <row r="493" spans="4:12" hidden="1" x14ac:dyDescent="0.25">
      <c r="D493" s="11"/>
      <c r="E493" s="11"/>
      <c r="F493" s="11"/>
      <c r="G493" s="11"/>
      <c r="H493" s="11"/>
      <c r="I493" s="11"/>
      <c r="J493" s="11"/>
      <c r="K493" s="11"/>
      <c r="L493" s="11"/>
    </row>
    <row r="494" spans="4:12" hidden="1" x14ac:dyDescent="0.25">
      <c r="D494" s="11"/>
      <c r="E494" s="11"/>
      <c r="F494" s="11"/>
      <c r="G494" s="11"/>
      <c r="H494" s="11"/>
      <c r="I494" s="11"/>
      <c r="J494" s="11"/>
      <c r="K494" s="11"/>
      <c r="L494" s="11"/>
    </row>
    <row r="495" spans="4:12" hidden="1" x14ac:dyDescent="0.25">
      <c r="D495" s="11"/>
      <c r="E495" s="11"/>
      <c r="F495" s="11"/>
      <c r="G495" s="11"/>
      <c r="H495" s="11"/>
      <c r="I495" s="11"/>
      <c r="J495" s="11"/>
      <c r="K495" s="11"/>
      <c r="L495" s="11"/>
    </row>
    <row r="496" spans="4:12" hidden="1" x14ac:dyDescent="0.25">
      <c r="D496" s="11"/>
      <c r="E496" s="11"/>
      <c r="F496" s="11"/>
      <c r="G496" s="11"/>
      <c r="H496" s="11"/>
      <c r="I496" s="11"/>
      <c r="J496" s="11"/>
      <c r="K496" s="11"/>
      <c r="L496" s="11"/>
    </row>
    <row r="497" spans="4:12" hidden="1" x14ac:dyDescent="0.25">
      <c r="D497" s="11"/>
      <c r="E497" s="11"/>
      <c r="F497" s="11"/>
      <c r="G497" s="11"/>
      <c r="H497" s="11"/>
      <c r="I497" s="11"/>
      <c r="J497" s="11"/>
      <c r="K497" s="11"/>
      <c r="L497" s="11"/>
    </row>
    <row r="498" spans="4:12" hidden="1" x14ac:dyDescent="0.25">
      <c r="D498" s="11"/>
      <c r="E498" s="11"/>
      <c r="F498" s="11"/>
      <c r="G498" s="11"/>
      <c r="H498" s="11"/>
      <c r="I498" s="11"/>
      <c r="J498" s="11"/>
      <c r="K498" s="11"/>
      <c r="L498" s="11"/>
    </row>
    <row r="499" spans="4:12" hidden="1" x14ac:dyDescent="0.25">
      <c r="D499" s="11"/>
      <c r="E499" s="11"/>
      <c r="F499" s="11"/>
      <c r="G499" s="11"/>
      <c r="H499" s="11"/>
      <c r="I499" s="11"/>
      <c r="J499" s="11"/>
      <c r="K499" s="11"/>
      <c r="L499" s="11"/>
    </row>
    <row r="500" spans="4:12" hidden="1" x14ac:dyDescent="0.25">
      <c r="D500" s="11"/>
      <c r="E500" s="11"/>
      <c r="F500" s="11"/>
      <c r="G500" s="11"/>
      <c r="H500" s="11"/>
      <c r="I500" s="11"/>
      <c r="J500" s="11"/>
      <c r="K500" s="11"/>
      <c r="L500" s="11"/>
    </row>
    <row r="501" spans="4:12" hidden="1" x14ac:dyDescent="0.25">
      <c r="D501" s="11"/>
      <c r="E501" s="11"/>
      <c r="F501" s="11"/>
      <c r="G501" s="11"/>
      <c r="H501" s="11"/>
      <c r="I501" s="11"/>
      <c r="J501" s="11"/>
      <c r="K501" s="11"/>
      <c r="L501" s="11"/>
    </row>
    <row r="502" spans="4:12" hidden="1" x14ac:dyDescent="0.25">
      <c r="D502" s="11"/>
      <c r="E502" s="11"/>
      <c r="F502" s="11"/>
      <c r="G502" s="11"/>
      <c r="H502" s="11"/>
      <c r="I502" s="11"/>
      <c r="J502" s="11"/>
      <c r="K502" s="11"/>
      <c r="L502" s="11"/>
    </row>
    <row r="503" spans="4:12" hidden="1" x14ac:dyDescent="0.25">
      <c r="D503" s="11"/>
      <c r="E503" s="11"/>
      <c r="F503" s="11"/>
      <c r="G503" s="11"/>
      <c r="H503" s="11"/>
      <c r="I503" s="11"/>
      <c r="J503" s="11"/>
      <c r="K503" s="11"/>
      <c r="L503" s="11"/>
    </row>
    <row r="504" spans="4:12" hidden="1" x14ac:dyDescent="0.25">
      <c r="D504" s="11"/>
      <c r="E504" s="11"/>
      <c r="F504" s="11"/>
      <c r="G504" s="11"/>
      <c r="H504" s="11"/>
      <c r="I504" s="11"/>
      <c r="J504" s="11"/>
      <c r="K504" s="11"/>
      <c r="L504" s="11"/>
    </row>
    <row r="505" spans="4:12" hidden="1" x14ac:dyDescent="0.25">
      <c r="D505" s="11"/>
      <c r="E505" s="11"/>
      <c r="F505" s="11"/>
      <c r="G505" s="11"/>
      <c r="H505" s="11"/>
      <c r="I505" s="11"/>
      <c r="J505" s="11"/>
      <c r="K505" s="11"/>
      <c r="L505" s="11"/>
    </row>
    <row r="506" spans="4:12" hidden="1" x14ac:dyDescent="0.25">
      <c r="D506" s="11"/>
      <c r="E506" s="11"/>
      <c r="F506" s="11"/>
      <c r="G506" s="11"/>
      <c r="H506" s="11"/>
      <c r="I506" s="11"/>
      <c r="J506" s="11"/>
      <c r="K506" s="11"/>
      <c r="L506" s="11"/>
    </row>
    <row r="507" spans="4:12" hidden="1" x14ac:dyDescent="0.25">
      <c r="D507" s="11"/>
      <c r="E507" s="11"/>
      <c r="F507" s="11"/>
      <c r="G507" s="11"/>
      <c r="H507" s="11"/>
      <c r="I507" s="11"/>
      <c r="J507" s="11"/>
      <c r="K507" s="11"/>
      <c r="L507" s="11"/>
    </row>
    <row r="508" spans="4:12" hidden="1" x14ac:dyDescent="0.25">
      <c r="D508" s="11"/>
      <c r="E508" s="11"/>
      <c r="F508" s="11"/>
      <c r="G508" s="11"/>
      <c r="H508" s="11"/>
      <c r="I508" s="11"/>
      <c r="J508" s="11"/>
      <c r="K508" s="11"/>
      <c r="L508" s="11"/>
    </row>
    <row r="509" spans="4:12" hidden="1" x14ac:dyDescent="0.25">
      <c r="D509" s="11"/>
      <c r="E509" s="11"/>
      <c r="F509" s="11"/>
      <c r="G509" s="11"/>
      <c r="H509" s="11"/>
      <c r="I509" s="11"/>
      <c r="J509" s="11"/>
      <c r="K509" s="11"/>
      <c r="L509" s="11"/>
    </row>
    <row r="510" spans="4:12" hidden="1" x14ac:dyDescent="0.25">
      <c r="D510" s="11"/>
      <c r="E510" s="11"/>
      <c r="F510" s="11"/>
      <c r="G510" s="11"/>
      <c r="H510" s="11"/>
      <c r="I510" s="11"/>
      <c r="J510" s="11"/>
      <c r="K510" s="11"/>
      <c r="L510" s="11"/>
    </row>
    <row r="511" spans="4:12" hidden="1" x14ac:dyDescent="0.25">
      <c r="D511" s="11"/>
      <c r="E511" s="11"/>
      <c r="F511" s="11"/>
      <c r="G511" s="11"/>
      <c r="H511" s="11"/>
      <c r="I511" s="11"/>
      <c r="J511" s="11"/>
      <c r="K511" s="11"/>
      <c r="L511" s="11"/>
    </row>
    <row r="512" spans="4:12" hidden="1" x14ac:dyDescent="0.25">
      <c r="D512" s="11"/>
      <c r="E512" s="11"/>
      <c r="F512" s="11"/>
      <c r="G512" s="11"/>
      <c r="H512" s="11"/>
      <c r="I512" s="11"/>
      <c r="J512" s="11"/>
      <c r="K512" s="11"/>
      <c r="L512" s="11"/>
    </row>
    <row r="513" spans="4:12" hidden="1" x14ac:dyDescent="0.25">
      <c r="D513" s="11"/>
      <c r="E513" s="11"/>
      <c r="F513" s="11"/>
      <c r="G513" s="11"/>
      <c r="H513" s="11"/>
      <c r="I513" s="11"/>
      <c r="J513" s="11"/>
      <c r="K513" s="11"/>
      <c r="L513" s="11"/>
    </row>
    <row r="514" spans="4:12" hidden="1" x14ac:dyDescent="0.25">
      <c r="D514" s="11"/>
      <c r="E514" s="11"/>
      <c r="F514" s="11"/>
      <c r="G514" s="11"/>
      <c r="H514" s="11"/>
      <c r="I514" s="11"/>
      <c r="J514" s="11"/>
      <c r="K514" s="11"/>
      <c r="L514" s="11"/>
    </row>
    <row r="515" spans="4:12" hidden="1" x14ac:dyDescent="0.25">
      <c r="D515" s="11"/>
      <c r="E515" s="11"/>
      <c r="F515" s="11"/>
      <c r="G515" s="11"/>
      <c r="H515" s="11"/>
      <c r="I515" s="11"/>
      <c r="J515" s="11"/>
      <c r="K515" s="11"/>
      <c r="L515" s="11"/>
    </row>
    <row r="516" spans="4:12" hidden="1" x14ac:dyDescent="0.25">
      <c r="D516" s="11"/>
      <c r="E516" s="11"/>
      <c r="F516" s="11"/>
      <c r="G516" s="11"/>
      <c r="H516" s="11"/>
      <c r="I516" s="11"/>
      <c r="J516" s="11"/>
      <c r="K516" s="11"/>
      <c r="L516" s="11"/>
    </row>
    <row r="517" spans="4:12" hidden="1" x14ac:dyDescent="0.25">
      <c r="D517" s="11"/>
      <c r="E517" s="11"/>
      <c r="F517" s="11"/>
      <c r="G517" s="11"/>
      <c r="H517" s="11"/>
      <c r="I517" s="11"/>
      <c r="J517" s="11"/>
      <c r="K517" s="11"/>
      <c r="L517" s="11"/>
    </row>
    <row r="518" spans="4:12" hidden="1" x14ac:dyDescent="0.25">
      <c r="D518" s="11"/>
      <c r="E518" s="11"/>
      <c r="F518" s="11"/>
      <c r="G518" s="11"/>
      <c r="H518" s="11"/>
      <c r="I518" s="11"/>
      <c r="J518" s="11"/>
      <c r="K518" s="11"/>
      <c r="L518" s="11"/>
    </row>
    <row r="519" spans="4:12" hidden="1" x14ac:dyDescent="0.25">
      <c r="D519" s="11"/>
      <c r="E519" s="11"/>
      <c r="F519" s="11"/>
      <c r="G519" s="11"/>
      <c r="H519" s="11"/>
      <c r="I519" s="11"/>
      <c r="J519" s="11"/>
      <c r="K519" s="11"/>
      <c r="L519" s="11"/>
    </row>
    <row r="520" spans="4:12" hidden="1" x14ac:dyDescent="0.25">
      <c r="D520" s="11"/>
      <c r="E520" s="11"/>
      <c r="F520" s="11"/>
      <c r="G520" s="11"/>
      <c r="H520" s="11"/>
      <c r="I520" s="11"/>
      <c r="J520" s="11"/>
      <c r="K520" s="11"/>
      <c r="L520" s="11"/>
    </row>
    <row r="521" spans="4:12" hidden="1" x14ac:dyDescent="0.25">
      <c r="D521" s="11"/>
      <c r="E521" s="11"/>
      <c r="F521" s="11"/>
      <c r="G521" s="11"/>
      <c r="H521" s="11"/>
      <c r="I521" s="11"/>
      <c r="J521" s="11"/>
      <c r="K521" s="11"/>
      <c r="L521" s="11"/>
    </row>
    <row r="522" spans="4:12" hidden="1" x14ac:dyDescent="0.25">
      <c r="D522" s="11"/>
      <c r="E522" s="11"/>
      <c r="F522" s="11"/>
      <c r="G522" s="11"/>
      <c r="H522" s="11"/>
      <c r="I522" s="11"/>
      <c r="J522" s="11"/>
      <c r="K522" s="11"/>
      <c r="L522" s="11"/>
    </row>
    <row r="523" spans="4:12" hidden="1" x14ac:dyDescent="0.25">
      <c r="D523" s="11"/>
      <c r="E523" s="11"/>
      <c r="F523" s="11"/>
      <c r="G523" s="11"/>
      <c r="H523" s="11"/>
      <c r="I523" s="11"/>
      <c r="J523" s="11"/>
      <c r="K523" s="11"/>
      <c r="L523" s="11"/>
    </row>
    <row r="524" spans="4:12" hidden="1" x14ac:dyDescent="0.25">
      <c r="D524" s="11"/>
      <c r="E524" s="11"/>
      <c r="F524" s="11"/>
      <c r="G524" s="11"/>
      <c r="H524" s="11"/>
      <c r="I524" s="11"/>
      <c r="J524" s="11"/>
      <c r="K524" s="11"/>
      <c r="L524" s="11"/>
    </row>
    <row r="525" spans="4:12" hidden="1" x14ac:dyDescent="0.25">
      <c r="D525" s="11"/>
      <c r="E525" s="11"/>
      <c r="F525" s="11"/>
      <c r="G525" s="11"/>
      <c r="H525" s="11"/>
      <c r="I525" s="11"/>
      <c r="J525" s="11"/>
      <c r="K525" s="11"/>
      <c r="L525" s="11"/>
    </row>
    <row r="526" spans="4:12" hidden="1" x14ac:dyDescent="0.25">
      <c r="D526" s="11"/>
      <c r="E526" s="11"/>
      <c r="F526" s="11"/>
      <c r="G526" s="11"/>
      <c r="H526" s="11"/>
      <c r="I526" s="11"/>
      <c r="J526" s="11"/>
      <c r="K526" s="11"/>
      <c r="L526" s="11"/>
    </row>
    <row r="527" spans="4:12" hidden="1" x14ac:dyDescent="0.25">
      <c r="D527" s="11"/>
      <c r="E527" s="11"/>
      <c r="F527" s="11"/>
      <c r="G527" s="11"/>
      <c r="H527" s="11"/>
      <c r="I527" s="11"/>
      <c r="J527" s="11"/>
      <c r="K527" s="11"/>
      <c r="L527" s="11"/>
    </row>
    <row r="528" spans="4:12" hidden="1" x14ac:dyDescent="0.25">
      <c r="D528" s="11"/>
      <c r="E528" s="11"/>
      <c r="F528" s="11"/>
      <c r="G528" s="11"/>
      <c r="H528" s="11"/>
      <c r="I528" s="11"/>
      <c r="J528" s="11"/>
      <c r="K528" s="11"/>
      <c r="L528" s="11"/>
    </row>
    <row r="529" spans="4:12" hidden="1" x14ac:dyDescent="0.25">
      <c r="D529" s="11"/>
      <c r="E529" s="11"/>
      <c r="F529" s="11"/>
      <c r="G529" s="11"/>
      <c r="H529" s="11"/>
      <c r="I529" s="11"/>
      <c r="J529" s="11"/>
      <c r="K529" s="11"/>
      <c r="L529" s="11"/>
    </row>
    <row r="530" spans="4:12" hidden="1" x14ac:dyDescent="0.25">
      <c r="D530" s="11"/>
      <c r="E530" s="11"/>
      <c r="F530" s="11"/>
      <c r="G530" s="11"/>
      <c r="H530" s="11"/>
      <c r="I530" s="11"/>
      <c r="J530" s="11"/>
      <c r="K530" s="11"/>
      <c r="L530" s="11"/>
    </row>
    <row r="531" spans="4:12" hidden="1" x14ac:dyDescent="0.25">
      <c r="D531" s="11"/>
      <c r="E531" s="11"/>
      <c r="F531" s="11"/>
      <c r="G531" s="11"/>
      <c r="H531" s="11"/>
      <c r="I531" s="11"/>
      <c r="J531" s="11"/>
      <c r="K531" s="11"/>
      <c r="L531" s="11"/>
    </row>
    <row r="532" spans="4:12" hidden="1" x14ac:dyDescent="0.25">
      <c r="D532" s="11"/>
      <c r="E532" s="11"/>
      <c r="F532" s="11"/>
      <c r="G532" s="11"/>
      <c r="H532" s="11"/>
      <c r="I532" s="11"/>
      <c r="J532" s="11"/>
      <c r="K532" s="11"/>
      <c r="L532" s="11"/>
    </row>
    <row r="533" spans="4:12" hidden="1" x14ac:dyDescent="0.25">
      <c r="D533" s="11"/>
      <c r="E533" s="11"/>
      <c r="F533" s="11"/>
      <c r="G533" s="11"/>
      <c r="H533" s="11"/>
      <c r="I533" s="11"/>
      <c r="J533" s="11"/>
      <c r="K533" s="11"/>
      <c r="L533" s="11"/>
    </row>
    <row r="534" spans="4:12" hidden="1" x14ac:dyDescent="0.25">
      <c r="D534" s="11"/>
      <c r="E534" s="11"/>
      <c r="F534" s="11"/>
      <c r="G534" s="11"/>
      <c r="H534" s="11"/>
      <c r="I534" s="11"/>
      <c r="J534" s="11"/>
      <c r="K534" s="11"/>
      <c r="L534" s="11"/>
    </row>
    <row r="535" spans="4:12" hidden="1" x14ac:dyDescent="0.25">
      <c r="D535" s="11"/>
      <c r="E535" s="11"/>
      <c r="F535" s="11"/>
      <c r="G535" s="11"/>
      <c r="H535" s="11"/>
      <c r="I535" s="11"/>
      <c r="J535" s="11"/>
      <c r="K535" s="11"/>
      <c r="L535" s="11"/>
    </row>
    <row r="536" spans="4:12" hidden="1" x14ac:dyDescent="0.25">
      <c r="D536" s="11"/>
      <c r="E536" s="11"/>
      <c r="F536" s="11"/>
      <c r="G536" s="11"/>
      <c r="H536" s="11"/>
      <c r="I536" s="11"/>
      <c r="J536" s="11"/>
      <c r="K536" s="11"/>
      <c r="L536" s="11"/>
    </row>
    <row r="537" spans="4:12" hidden="1" x14ac:dyDescent="0.25">
      <c r="D537" s="11"/>
      <c r="E537" s="11"/>
      <c r="F537" s="11"/>
      <c r="G537" s="11"/>
      <c r="H537" s="11"/>
      <c r="I537" s="11"/>
      <c r="J537" s="11"/>
      <c r="K537" s="11"/>
      <c r="L537" s="11"/>
    </row>
    <row r="538" spans="4:12" hidden="1" x14ac:dyDescent="0.25">
      <c r="D538" s="11"/>
      <c r="E538" s="11"/>
      <c r="F538" s="11"/>
      <c r="G538" s="11"/>
      <c r="H538" s="11"/>
      <c r="I538" s="11"/>
      <c r="J538" s="11"/>
      <c r="K538" s="11"/>
      <c r="L538" s="11"/>
    </row>
    <row r="539" spans="4:12" hidden="1" x14ac:dyDescent="0.25">
      <c r="D539" s="11"/>
      <c r="E539" s="11"/>
      <c r="F539" s="11"/>
      <c r="G539" s="11"/>
      <c r="H539" s="11"/>
      <c r="I539" s="11"/>
      <c r="J539" s="11"/>
      <c r="K539" s="11"/>
      <c r="L539" s="11"/>
    </row>
    <row r="540" spans="4:12" hidden="1" x14ac:dyDescent="0.25">
      <c r="D540" s="11"/>
      <c r="E540" s="11"/>
      <c r="F540" s="11"/>
      <c r="G540" s="11"/>
      <c r="H540" s="11"/>
      <c r="I540" s="11"/>
      <c r="J540" s="11"/>
      <c r="K540" s="11"/>
      <c r="L540" s="11"/>
    </row>
    <row r="541" spans="4:12" hidden="1" x14ac:dyDescent="0.25">
      <c r="D541" s="11"/>
      <c r="E541" s="11"/>
      <c r="F541" s="11"/>
      <c r="G541" s="11"/>
      <c r="H541" s="11"/>
      <c r="I541" s="11"/>
      <c r="J541" s="11"/>
      <c r="K541" s="11"/>
      <c r="L541" s="11"/>
    </row>
    <row r="542" spans="4:12" hidden="1" x14ac:dyDescent="0.25">
      <c r="D542" s="11"/>
      <c r="E542" s="11"/>
      <c r="F542" s="11"/>
      <c r="G542" s="11"/>
      <c r="H542" s="11"/>
      <c r="I542" s="11"/>
      <c r="J542" s="11"/>
      <c r="K542" s="11"/>
      <c r="L542" s="11"/>
    </row>
    <row r="543" spans="4:12" hidden="1" x14ac:dyDescent="0.25">
      <c r="D543" s="11"/>
      <c r="E543" s="11"/>
      <c r="F543" s="11"/>
      <c r="G543" s="11"/>
      <c r="H543" s="11"/>
      <c r="I543" s="11"/>
      <c r="J543" s="11"/>
      <c r="K543" s="11"/>
      <c r="L543" s="11"/>
    </row>
    <row r="544" spans="4:12" hidden="1" x14ac:dyDescent="0.25">
      <c r="D544" s="11"/>
      <c r="E544" s="11"/>
      <c r="F544" s="11"/>
      <c r="G544" s="11"/>
      <c r="H544" s="11"/>
      <c r="I544" s="11"/>
      <c r="J544" s="11"/>
      <c r="K544" s="11"/>
      <c r="L544" s="11"/>
    </row>
    <row r="545" spans="4:12" hidden="1" x14ac:dyDescent="0.25">
      <c r="D545" s="11"/>
      <c r="E545" s="11"/>
      <c r="F545" s="11"/>
      <c r="G545" s="11"/>
      <c r="H545" s="11"/>
      <c r="I545" s="11"/>
      <c r="J545" s="11"/>
      <c r="K545" s="11"/>
      <c r="L545" s="11"/>
    </row>
    <row r="546" spans="4:12" hidden="1" x14ac:dyDescent="0.25">
      <c r="D546" s="11"/>
      <c r="E546" s="11"/>
      <c r="F546" s="11"/>
      <c r="G546" s="11"/>
      <c r="H546" s="11"/>
      <c r="I546" s="11"/>
      <c r="J546" s="11"/>
      <c r="K546" s="11"/>
      <c r="L546" s="11"/>
    </row>
    <row r="547" spans="4:12" hidden="1" x14ac:dyDescent="0.25">
      <c r="D547" s="11"/>
      <c r="E547" s="11"/>
      <c r="F547" s="11"/>
      <c r="G547" s="11"/>
      <c r="H547" s="11"/>
      <c r="I547" s="11"/>
      <c r="J547" s="11"/>
      <c r="K547" s="11"/>
      <c r="L547" s="11"/>
    </row>
    <row r="548" spans="4:12" hidden="1" x14ac:dyDescent="0.25">
      <c r="D548" s="11"/>
      <c r="E548" s="11"/>
      <c r="F548" s="11"/>
      <c r="G548" s="11"/>
      <c r="H548" s="11"/>
      <c r="I548" s="11"/>
      <c r="J548" s="11"/>
      <c r="K548" s="11"/>
      <c r="L548" s="11"/>
    </row>
    <row r="549" spans="4:12" hidden="1" x14ac:dyDescent="0.25">
      <c r="D549" s="11"/>
      <c r="E549" s="11"/>
      <c r="F549" s="11"/>
      <c r="G549" s="11"/>
      <c r="H549" s="11"/>
      <c r="I549" s="11"/>
      <c r="J549" s="11"/>
      <c r="K549" s="11"/>
      <c r="L549" s="11"/>
    </row>
    <row r="550" spans="4:12" hidden="1" x14ac:dyDescent="0.25">
      <c r="D550" s="11"/>
      <c r="E550" s="11"/>
      <c r="F550" s="11"/>
      <c r="G550" s="11"/>
      <c r="H550" s="11"/>
      <c r="I550" s="11"/>
      <c r="J550" s="11"/>
      <c r="K550" s="11"/>
      <c r="L550" s="11"/>
    </row>
    <row r="551" spans="4:12" hidden="1" x14ac:dyDescent="0.25">
      <c r="D551" s="11"/>
      <c r="E551" s="11"/>
      <c r="F551" s="11"/>
      <c r="G551" s="11"/>
      <c r="H551" s="11"/>
      <c r="I551" s="11"/>
      <c r="J551" s="11"/>
      <c r="K551" s="11"/>
      <c r="L551" s="11"/>
    </row>
    <row r="552" spans="4:12" hidden="1" x14ac:dyDescent="0.25">
      <c r="D552" s="11"/>
      <c r="E552" s="11"/>
      <c r="F552" s="11"/>
      <c r="G552" s="11"/>
      <c r="H552" s="11"/>
      <c r="I552" s="11"/>
      <c r="J552" s="11"/>
      <c r="K552" s="11"/>
      <c r="L552" s="11"/>
    </row>
    <row r="553" spans="4:12" hidden="1" x14ac:dyDescent="0.25">
      <c r="D553" s="11"/>
      <c r="E553" s="11"/>
      <c r="F553" s="11"/>
      <c r="G553" s="11"/>
      <c r="H553" s="11"/>
      <c r="I553" s="11"/>
      <c r="J553" s="11"/>
      <c r="K553" s="11"/>
      <c r="L553" s="11"/>
    </row>
    <row r="554" spans="4:12" hidden="1" x14ac:dyDescent="0.25">
      <c r="D554" s="11"/>
      <c r="E554" s="11"/>
      <c r="F554" s="11"/>
      <c r="G554" s="11"/>
      <c r="H554" s="11"/>
      <c r="I554" s="11"/>
      <c r="J554" s="11"/>
      <c r="K554" s="11"/>
      <c r="L554" s="11"/>
    </row>
    <row r="555" spans="4:12" hidden="1" x14ac:dyDescent="0.25">
      <c r="D555" s="11"/>
      <c r="E555" s="11"/>
      <c r="F555" s="11"/>
      <c r="G555" s="11"/>
      <c r="H555" s="11"/>
      <c r="I555" s="11"/>
      <c r="J555" s="11"/>
      <c r="K555" s="11"/>
      <c r="L555" s="11"/>
    </row>
    <row r="556" spans="4:12" hidden="1" x14ac:dyDescent="0.25">
      <c r="D556" s="11"/>
      <c r="E556" s="11"/>
      <c r="F556" s="11"/>
      <c r="G556" s="11"/>
      <c r="H556" s="11"/>
      <c r="I556" s="11"/>
      <c r="J556" s="11"/>
      <c r="K556" s="11"/>
      <c r="L556" s="11"/>
    </row>
    <row r="557" spans="4:12" hidden="1" x14ac:dyDescent="0.25">
      <c r="D557" s="11"/>
      <c r="E557" s="11"/>
      <c r="F557" s="11"/>
      <c r="G557" s="11"/>
      <c r="H557" s="11"/>
      <c r="I557" s="11"/>
      <c r="J557" s="11"/>
      <c r="K557" s="11"/>
      <c r="L557" s="11"/>
    </row>
    <row r="558" spans="4:12" hidden="1" x14ac:dyDescent="0.25">
      <c r="D558" s="11"/>
      <c r="E558" s="11"/>
      <c r="F558" s="11"/>
      <c r="G558" s="11"/>
      <c r="H558" s="11"/>
      <c r="I558" s="11"/>
      <c r="J558" s="11"/>
      <c r="K558" s="11"/>
      <c r="L558" s="11"/>
    </row>
    <row r="559" spans="4:12" hidden="1" x14ac:dyDescent="0.25">
      <c r="D559" s="11"/>
      <c r="E559" s="11"/>
      <c r="F559" s="11"/>
      <c r="G559" s="11"/>
      <c r="H559" s="11"/>
      <c r="I559" s="11"/>
      <c r="J559" s="11"/>
      <c r="K559" s="11"/>
      <c r="L559" s="11"/>
    </row>
    <row r="560" spans="4:12" hidden="1" x14ac:dyDescent="0.25">
      <c r="D560" s="11"/>
      <c r="E560" s="11"/>
      <c r="F560" s="11"/>
      <c r="G560" s="11"/>
      <c r="H560" s="11"/>
      <c r="I560" s="11"/>
      <c r="J560" s="11"/>
      <c r="K560" s="11"/>
      <c r="L560" s="11"/>
    </row>
    <row r="561" spans="4:12" hidden="1" x14ac:dyDescent="0.25">
      <c r="D561" s="11"/>
      <c r="E561" s="11"/>
      <c r="F561" s="11"/>
      <c r="G561" s="11"/>
      <c r="H561" s="11"/>
      <c r="I561" s="11"/>
      <c r="J561" s="11"/>
      <c r="K561" s="11"/>
      <c r="L561" s="11"/>
    </row>
    <row r="562" spans="4:12" hidden="1" x14ac:dyDescent="0.25">
      <c r="D562" s="11"/>
      <c r="E562" s="11"/>
      <c r="F562" s="11"/>
      <c r="G562" s="11"/>
      <c r="H562" s="11"/>
      <c r="I562" s="11"/>
      <c r="J562" s="11"/>
      <c r="K562" s="11"/>
      <c r="L562" s="11"/>
    </row>
    <row r="563" spans="4:12" hidden="1" x14ac:dyDescent="0.25">
      <c r="D563" s="11"/>
      <c r="E563" s="11"/>
      <c r="F563" s="11"/>
      <c r="G563" s="11"/>
      <c r="H563" s="11"/>
      <c r="I563" s="11"/>
      <c r="J563" s="11"/>
      <c r="K563" s="11"/>
      <c r="L563" s="11"/>
    </row>
    <row r="564" spans="4:12" hidden="1" x14ac:dyDescent="0.25">
      <c r="D564" s="11"/>
      <c r="E564" s="11"/>
      <c r="F564" s="11"/>
      <c r="G564" s="11"/>
      <c r="H564" s="11"/>
      <c r="I564" s="11"/>
      <c r="J564" s="11"/>
      <c r="K564" s="11"/>
      <c r="L564" s="11"/>
    </row>
    <row r="565" spans="4:12" hidden="1" x14ac:dyDescent="0.25">
      <c r="D565" s="11"/>
      <c r="E565" s="11"/>
      <c r="F565" s="11"/>
      <c r="G565" s="11"/>
      <c r="H565" s="11"/>
      <c r="I565" s="11"/>
      <c r="J565" s="11"/>
      <c r="K565" s="11"/>
      <c r="L565" s="11"/>
    </row>
    <row r="566" spans="4:12" hidden="1" x14ac:dyDescent="0.25">
      <c r="D566" s="11"/>
      <c r="E566" s="11"/>
      <c r="F566" s="11"/>
      <c r="G566" s="11"/>
      <c r="H566" s="11"/>
      <c r="I566" s="11"/>
      <c r="J566" s="11"/>
      <c r="K566" s="11"/>
      <c r="L566" s="11"/>
    </row>
    <row r="567" spans="4:12" hidden="1" x14ac:dyDescent="0.25">
      <c r="D567" s="11"/>
      <c r="E567" s="11"/>
      <c r="F567" s="11"/>
      <c r="G567" s="11"/>
      <c r="H567" s="11"/>
      <c r="I567" s="11"/>
      <c r="J567" s="11"/>
      <c r="K567" s="11"/>
      <c r="L567" s="11"/>
    </row>
    <row r="568" spans="4:12" hidden="1" x14ac:dyDescent="0.25">
      <c r="D568" s="11"/>
      <c r="E568" s="11"/>
      <c r="F568" s="11"/>
      <c r="G568" s="11"/>
      <c r="H568" s="11"/>
      <c r="I568" s="11"/>
      <c r="J568" s="11"/>
      <c r="K568" s="11"/>
      <c r="L568" s="11"/>
    </row>
    <row r="569" spans="4:12" hidden="1" x14ac:dyDescent="0.25">
      <c r="D569" s="11"/>
      <c r="E569" s="11"/>
      <c r="F569" s="11"/>
      <c r="G569" s="11"/>
      <c r="H569" s="11"/>
      <c r="I569" s="11"/>
      <c r="J569" s="11"/>
      <c r="K569" s="11"/>
      <c r="L569" s="11"/>
    </row>
    <row r="570" spans="4:12" hidden="1" x14ac:dyDescent="0.25">
      <c r="D570" s="11"/>
      <c r="E570" s="11"/>
      <c r="F570" s="11"/>
      <c r="G570" s="11"/>
      <c r="H570" s="11"/>
      <c r="I570" s="11"/>
      <c r="J570" s="11"/>
      <c r="K570" s="11"/>
      <c r="L570" s="11"/>
    </row>
    <row r="571" spans="4:12" hidden="1" x14ac:dyDescent="0.25">
      <c r="D571" s="11"/>
      <c r="E571" s="11"/>
      <c r="F571" s="11"/>
      <c r="G571" s="11"/>
      <c r="H571" s="11"/>
      <c r="I571" s="11"/>
      <c r="J571" s="11"/>
      <c r="K571" s="11"/>
      <c r="L571" s="11"/>
    </row>
    <row r="572" spans="4:12" hidden="1" x14ac:dyDescent="0.25">
      <c r="D572" s="11"/>
      <c r="E572" s="11"/>
      <c r="F572" s="11"/>
      <c r="G572" s="11"/>
      <c r="H572" s="11"/>
      <c r="I572" s="11"/>
      <c r="J572" s="11"/>
      <c r="K572" s="11"/>
      <c r="L572" s="11"/>
    </row>
    <row r="573" spans="4:12" hidden="1" x14ac:dyDescent="0.25">
      <c r="D573" s="11"/>
      <c r="E573" s="11"/>
      <c r="F573" s="11"/>
      <c r="G573" s="11"/>
      <c r="H573" s="11"/>
      <c r="I573" s="11"/>
      <c r="J573" s="11"/>
      <c r="K573" s="11"/>
      <c r="L573" s="11"/>
    </row>
    <row r="574" spans="4:12" hidden="1" x14ac:dyDescent="0.25">
      <c r="D574" s="11"/>
      <c r="E574" s="11"/>
      <c r="F574" s="11"/>
      <c r="G574" s="11"/>
      <c r="H574" s="11"/>
      <c r="I574" s="11"/>
      <c r="J574" s="11"/>
      <c r="K574" s="11"/>
      <c r="L574" s="11"/>
    </row>
    <row r="575" spans="4:12" hidden="1" x14ac:dyDescent="0.25">
      <c r="D575" s="11"/>
      <c r="E575" s="11"/>
      <c r="F575" s="11"/>
      <c r="G575" s="11"/>
      <c r="H575" s="11"/>
      <c r="I575" s="11"/>
      <c r="J575" s="11"/>
      <c r="K575" s="11"/>
      <c r="L575" s="11"/>
    </row>
    <row r="576" spans="4:12" hidden="1" x14ac:dyDescent="0.25">
      <c r="D576" s="11"/>
      <c r="E576" s="11"/>
      <c r="F576" s="11"/>
      <c r="G576" s="11"/>
      <c r="H576" s="11"/>
      <c r="I576" s="11"/>
      <c r="J576" s="11"/>
      <c r="K576" s="11"/>
      <c r="L576" s="11"/>
    </row>
    <row r="577" spans="4:12" hidden="1" x14ac:dyDescent="0.25">
      <c r="D577" s="11"/>
      <c r="E577" s="11"/>
      <c r="F577" s="11"/>
      <c r="G577" s="11"/>
      <c r="H577" s="11"/>
      <c r="I577" s="11"/>
      <c r="J577" s="11"/>
      <c r="K577" s="11"/>
      <c r="L577" s="11"/>
    </row>
    <row r="578" spans="4:12" hidden="1" x14ac:dyDescent="0.25">
      <c r="D578" s="11"/>
      <c r="E578" s="11"/>
      <c r="F578" s="11"/>
      <c r="G578" s="11"/>
      <c r="H578" s="11"/>
      <c r="I578" s="11"/>
      <c r="J578" s="11"/>
      <c r="K578" s="11"/>
      <c r="L578" s="11"/>
    </row>
    <row r="579" spans="4:12" hidden="1" x14ac:dyDescent="0.25">
      <c r="D579" s="11"/>
      <c r="E579" s="11"/>
      <c r="F579" s="11"/>
      <c r="G579" s="11"/>
      <c r="H579" s="11"/>
      <c r="I579" s="11"/>
      <c r="J579" s="11"/>
      <c r="K579" s="11"/>
      <c r="L579" s="11"/>
    </row>
    <row r="580" spans="4:12" hidden="1" x14ac:dyDescent="0.25">
      <c r="D580" s="11"/>
      <c r="E580" s="11"/>
      <c r="F580" s="11"/>
      <c r="G580" s="11"/>
      <c r="H580" s="11"/>
      <c r="I580" s="11"/>
      <c r="J580" s="11"/>
      <c r="K580" s="11"/>
      <c r="L580" s="11"/>
    </row>
    <row r="581" spans="4:12" hidden="1" x14ac:dyDescent="0.25">
      <c r="D581" s="11"/>
      <c r="E581" s="11"/>
      <c r="F581" s="11"/>
      <c r="G581" s="11"/>
      <c r="H581" s="11"/>
      <c r="I581" s="11"/>
      <c r="J581" s="11"/>
      <c r="K581" s="11"/>
      <c r="L581" s="11"/>
    </row>
    <row r="582" spans="4:12" hidden="1" x14ac:dyDescent="0.25">
      <c r="D582" s="11"/>
      <c r="E582" s="11"/>
      <c r="F582" s="11"/>
      <c r="G582" s="11"/>
      <c r="H582" s="11"/>
      <c r="I582" s="11"/>
      <c r="J582" s="11"/>
      <c r="K582" s="11"/>
      <c r="L582" s="11"/>
    </row>
    <row r="583" spans="4:12" hidden="1" x14ac:dyDescent="0.25">
      <c r="D583" s="11"/>
      <c r="E583" s="11"/>
      <c r="F583" s="11"/>
      <c r="G583" s="11"/>
      <c r="H583" s="11"/>
      <c r="I583" s="11"/>
      <c r="J583" s="11"/>
      <c r="K583" s="11"/>
      <c r="L583" s="11"/>
    </row>
    <row r="584" spans="4:12" hidden="1" x14ac:dyDescent="0.25">
      <c r="D584" s="11"/>
      <c r="E584" s="11"/>
      <c r="F584" s="11"/>
      <c r="G584" s="11"/>
      <c r="H584" s="11"/>
      <c r="I584" s="11"/>
      <c r="J584" s="11"/>
      <c r="K584" s="11"/>
      <c r="L584" s="11"/>
    </row>
    <row r="585" spans="4:12" hidden="1" x14ac:dyDescent="0.25">
      <c r="D585" s="11"/>
      <c r="E585" s="11"/>
      <c r="F585" s="11"/>
      <c r="G585" s="11"/>
      <c r="H585" s="11"/>
      <c r="I585" s="11"/>
      <c r="J585" s="11"/>
      <c r="K585" s="11"/>
      <c r="L585" s="11"/>
    </row>
    <row r="586" spans="4:12" hidden="1" x14ac:dyDescent="0.25">
      <c r="D586" s="11"/>
      <c r="E586" s="11"/>
      <c r="F586" s="11"/>
      <c r="G586" s="11"/>
      <c r="H586" s="11"/>
      <c r="I586" s="11"/>
      <c r="J586" s="11"/>
      <c r="K586" s="11"/>
      <c r="L586" s="11"/>
    </row>
    <row r="587" spans="4:12" hidden="1" x14ac:dyDescent="0.25">
      <c r="D587" s="11"/>
      <c r="E587" s="11"/>
      <c r="F587" s="11"/>
      <c r="G587" s="11"/>
      <c r="H587" s="11"/>
      <c r="I587" s="11"/>
      <c r="J587" s="11"/>
      <c r="K587" s="11"/>
      <c r="L587" s="11"/>
    </row>
    <row r="588" spans="4:12" hidden="1" x14ac:dyDescent="0.25">
      <c r="D588" s="11"/>
      <c r="E588" s="11"/>
      <c r="F588" s="11"/>
      <c r="G588" s="11"/>
      <c r="H588" s="11"/>
      <c r="I588" s="11"/>
      <c r="J588" s="11"/>
      <c r="K588" s="11"/>
      <c r="L588" s="11"/>
    </row>
    <row r="589" spans="4:12" hidden="1" x14ac:dyDescent="0.25">
      <c r="D589" s="11"/>
      <c r="E589" s="11"/>
      <c r="F589" s="11"/>
      <c r="G589" s="11"/>
      <c r="H589" s="11"/>
      <c r="I589" s="11"/>
      <c r="J589" s="11"/>
      <c r="K589" s="11"/>
      <c r="L589" s="11"/>
    </row>
    <row r="590" spans="4:12" hidden="1" x14ac:dyDescent="0.25">
      <c r="D590" s="11"/>
      <c r="E590" s="11"/>
      <c r="F590" s="11"/>
      <c r="G590" s="11"/>
      <c r="H590" s="11"/>
      <c r="I590" s="11"/>
      <c r="J590" s="11"/>
      <c r="K590" s="11"/>
      <c r="L590" s="11"/>
    </row>
    <row r="591" spans="4:12" hidden="1" x14ac:dyDescent="0.25">
      <c r="D591" s="11"/>
      <c r="E591" s="11"/>
      <c r="F591" s="11"/>
      <c r="G591" s="11"/>
      <c r="H591" s="11"/>
      <c r="I591" s="11"/>
      <c r="J591" s="11"/>
      <c r="K591" s="11"/>
      <c r="L591" s="11"/>
    </row>
    <row r="592" spans="4:12" hidden="1" x14ac:dyDescent="0.25">
      <c r="D592" s="11"/>
      <c r="E592" s="11"/>
      <c r="F592" s="11"/>
      <c r="G592" s="11"/>
      <c r="H592" s="11"/>
      <c r="I592" s="11"/>
      <c r="J592" s="11"/>
      <c r="K592" s="11"/>
      <c r="L592" s="11"/>
    </row>
    <row r="593" spans="4:12" hidden="1" x14ac:dyDescent="0.25">
      <c r="D593" s="11"/>
      <c r="E593" s="11"/>
      <c r="F593" s="11"/>
      <c r="G593" s="11"/>
      <c r="H593" s="11"/>
      <c r="I593" s="11"/>
      <c r="J593" s="11"/>
      <c r="K593" s="11"/>
      <c r="L593" s="11"/>
    </row>
    <row r="594" spans="4:12" hidden="1" x14ac:dyDescent="0.25">
      <c r="D594" s="11"/>
      <c r="E594" s="11"/>
      <c r="F594" s="11"/>
      <c r="G594" s="11"/>
      <c r="H594" s="11"/>
      <c r="I594" s="11"/>
      <c r="J594" s="11"/>
      <c r="K594" s="11"/>
      <c r="L594" s="11"/>
    </row>
    <row r="595" spans="4:12" hidden="1" x14ac:dyDescent="0.25">
      <c r="D595" s="11"/>
      <c r="E595" s="11"/>
      <c r="F595" s="11"/>
      <c r="G595" s="11"/>
      <c r="H595" s="11"/>
      <c r="I595" s="11"/>
      <c r="J595" s="11"/>
      <c r="K595" s="11"/>
      <c r="L595" s="11"/>
    </row>
    <row r="596" spans="4:12" hidden="1" x14ac:dyDescent="0.25">
      <c r="D596" s="11"/>
      <c r="E596" s="11"/>
      <c r="F596" s="11"/>
      <c r="G596" s="11"/>
      <c r="H596" s="11"/>
      <c r="I596" s="11"/>
      <c r="J596" s="11"/>
      <c r="K596" s="11"/>
      <c r="L596" s="11"/>
    </row>
    <row r="597" spans="4:12" hidden="1" x14ac:dyDescent="0.25">
      <c r="D597" s="11"/>
      <c r="E597" s="11"/>
      <c r="F597" s="11"/>
      <c r="G597" s="11"/>
      <c r="H597" s="11"/>
      <c r="I597" s="11"/>
      <c r="J597" s="11"/>
      <c r="K597" s="11"/>
      <c r="L597" s="11"/>
    </row>
    <row r="598" spans="4:12" hidden="1" x14ac:dyDescent="0.25">
      <c r="D598" s="11"/>
      <c r="E598" s="11"/>
      <c r="F598" s="11"/>
      <c r="G598" s="11"/>
      <c r="H598" s="11"/>
      <c r="I598" s="11"/>
      <c r="J598" s="11"/>
      <c r="K598" s="11"/>
      <c r="L598" s="11"/>
    </row>
    <row r="599" spans="4:12" hidden="1" x14ac:dyDescent="0.25">
      <c r="D599" s="11"/>
      <c r="E599" s="11"/>
      <c r="F599" s="11"/>
      <c r="G599" s="11"/>
      <c r="H599" s="11"/>
      <c r="I599" s="11"/>
      <c r="J599" s="11"/>
      <c r="K599" s="11"/>
      <c r="L599" s="11"/>
    </row>
    <row r="600" spans="4:12" hidden="1" x14ac:dyDescent="0.25">
      <c r="D600" s="11"/>
      <c r="E600" s="11"/>
      <c r="F600" s="11"/>
      <c r="G600" s="11"/>
      <c r="H600" s="11"/>
      <c r="I600" s="11"/>
      <c r="J600" s="11"/>
      <c r="K600" s="11"/>
      <c r="L600" s="11"/>
    </row>
    <row r="601" spans="4:12" hidden="1" x14ac:dyDescent="0.25">
      <c r="D601" s="11"/>
      <c r="E601" s="11"/>
      <c r="F601" s="11"/>
      <c r="G601" s="11"/>
      <c r="H601" s="11"/>
      <c r="I601" s="11"/>
      <c r="J601" s="11"/>
      <c r="K601" s="11"/>
      <c r="L601" s="11"/>
    </row>
    <row r="602" spans="4:12" hidden="1" x14ac:dyDescent="0.25">
      <c r="D602" s="11"/>
      <c r="E602" s="11"/>
      <c r="F602" s="11"/>
      <c r="G602" s="11"/>
      <c r="H602" s="11"/>
      <c r="I602" s="11"/>
      <c r="J602" s="11"/>
      <c r="K602" s="11"/>
      <c r="L602" s="11"/>
    </row>
    <row r="603" spans="4:12" hidden="1" x14ac:dyDescent="0.25">
      <c r="D603" s="11"/>
      <c r="E603" s="11"/>
      <c r="F603" s="11"/>
      <c r="G603" s="11"/>
      <c r="H603" s="11"/>
      <c r="I603" s="11"/>
      <c r="J603" s="11"/>
      <c r="K603" s="11"/>
      <c r="L603" s="11"/>
    </row>
    <row r="604" spans="4:12" hidden="1" x14ac:dyDescent="0.25">
      <c r="D604" s="11"/>
      <c r="E604" s="11"/>
      <c r="F604" s="11"/>
      <c r="G604" s="11"/>
      <c r="H604" s="11"/>
      <c r="I604" s="11"/>
      <c r="J604" s="11"/>
      <c r="K604" s="11"/>
      <c r="L604" s="11"/>
    </row>
    <row r="605" spans="4:12" hidden="1" x14ac:dyDescent="0.25">
      <c r="D605" s="11"/>
      <c r="E605" s="11"/>
      <c r="F605" s="11"/>
      <c r="G605" s="11"/>
      <c r="H605" s="11"/>
      <c r="I605" s="11"/>
      <c r="J605" s="11"/>
      <c r="K605" s="11"/>
      <c r="L605" s="11"/>
    </row>
    <row r="606" spans="4:12" hidden="1" x14ac:dyDescent="0.25">
      <c r="D606" s="11"/>
      <c r="E606" s="11"/>
      <c r="F606" s="11"/>
      <c r="G606" s="11"/>
      <c r="H606" s="11"/>
      <c r="I606" s="11"/>
      <c r="J606" s="11"/>
      <c r="K606" s="11"/>
      <c r="L606" s="11"/>
    </row>
    <row r="607" spans="4:12" hidden="1" x14ac:dyDescent="0.25">
      <c r="D607" s="11"/>
      <c r="E607" s="11"/>
      <c r="F607" s="11"/>
      <c r="G607" s="11"/>
      <c r="H607" s="11"/>
      <c r="I607" s="11"/>
      <c r="J607" s="11"/>
      <c r="K607" s="11"/>
      <c r="L607" s="11"/>
    </row>
    <row r="608" spans="4:12" hidden="1" x14ac:dyDescent="0.25">
      <c r="D608" s="11"/>
      <c r="E608" s="11"/>
      <c r="F608" s="11"/>
      <c r="G608" s="11"/>
      <c r="H608" s="11"/>
      <c r="I608" s="11"/>
      <c r="J608" s="11"/>
      <c r="K608" s="11"/>
      <c r="L608" s="11"/>
    </row>
    <row r="609" spans="4:12" hidden="1" x14ac:dyDescent="0.25">
      <c r="D609" s="11"/>
      <c r="E609" s="11"/>
      <c r="F609" s="11"/>
      <c r="G609" s="11"/>
      <c r="H609" s="11"/>
      <c r="I609" s="11"/>
      <c r="J609" s="11"/>
      <c r="K609" s="11"/>
      <c r="L609" s="11"/>
    </row>
    <row r="610" spans="4:12" hidden="1" x14ac:dyDescent="0.25">
      <c r="D610" s="11"/>
      <c r="E610" s="11"/>
      <c r="F610" s="11"/>
      <c r="G610" s="11"/>
      <c r="H610" s="11"/>
      <c r="I610" s="11"/>
      <c r="J610" s="11"/>
      <c r="K610" s="11"/>
      <c r="L610" s="11"/>
    </row>
    <row r="611" spans="4:12" hidden="1" x14ac:dyDescent="0.25">
      <c r="D611" s="11"/>
      <c r="E611" s="11"/>
      <c r="F611" s="11"/>
      <c r="G611" s="11"/>
      <c r="H611" s="11"/>
      <c r="I611" s="11"/>
      <c r="J611" s="11"/>
      <c r="K611" s="11"/>
      <c r="L611" s="11"/>
    </row>
    <row r="612" spans="4:12" hidden="1" x14ac:dyDescent="0.25">
      <c r="D612" s="11"/>
      <c r="E612" s="11"/>
      <c r="F612" s="11"/>
      <c r="G612" s="11"/>
      <c r="H612" s="11"/>
      <c r="I612" s="11"/>
      <c r="J612" s="11"/>
      <c r="K612" s="11"/>
      <c r="L612" s="11"/>
    </row>
    <row r="613" spans="4:12" hidden="1" x14ac:dyDescent="0.25">
      <c r="D613" s="11"/>
      <c r="E613" s="11"/>
      <c r="F613" s="11"/>
      <c r="G613" s="11"/>
      <c r="H613" s="11"/>
      <c r="I613" s="11"/>
      <c r="J613" s="11"/>
      <c r="K613" s="11"/>
      <c r="L613" s="11"/>
    </row>
    <row r="614" spans="4:12" hidden="1" x14ac:dyDescent="0.25">
      <c r="D614" s="11"/>
      <c r="E614" s="11"/>
      <c r="F614" s="11"/>
      <c r="G614" s="11"/>
      <c r="H614" s="11"/>
      <c r="I614" s="11"/>
      <c r="J614" s="11"/>
      <c r="K614" s="11"/>
      <c r="L614" s="11"/>
    </row>
    <row r="615" spans="4:12" hidden="1" x14ac:dyDescent="0.25">
      <c r="D615" s="11"/>
      <c r="E615" s="11"/>
      <c r="F615" s="11"/>
      <c r="G615" s="11"/>
      <c r="H615" s="11"/>
      <c r="I615" s="11"/>
      <c r="J615" s="11"/>
      <c r="K615" s="11"/>
      <c r="L615" s="11"/>
    </row>
    <row r="616" spans="4:12" hidden="1" x14ac:dyDescent="0.25">
      <c r="D616" s="11"/>
      <c r="E616" s="11"/>
      <c r="F616" s="11"/>
      <c r="G616" s="11"/>
      <c r="H616" s="11"/>
      <c r="I616" s="11"/>
      <c r="J616" s="11"/>
      <c r="K616" s="11"/>
      <c r="L616" s="11"/>
    </row>
    <row r="617" spans="4:12" hidden="1" x14ac:dyDescent="0.25">
      <c r="D617" s="11"/>
      <c r="E617" s="11"/>
      <c r="F617" s="11"/>
      <c r="G617" s="11"/>
      <c r="H617" s="11"/>
      <c r="I617" s="11"/>
      <c r="J617" s="11"/>
      <c r="K617" s="11"/>
      <c r="L617" s="11"/>
    </row>
    <row r="618" spans="4:12" hidden="1" x14ac:dyDescent="0.25">
      <c r="D618" s="11"/>
      <c r="E618" s="11"/>
      <c r="F618" s="11"/>
      <c r="G618" s="11"/>
      <c r="H618" s="11"/>
      <c r="I618" s="11"/>
      <c r="J618" s="11"/>
      <c r="K618" s="11"/>
      <c r="L618" s="11"/>
    </row>
    <row r="619" spans="4:12" hidden="1" x14ac:dyDescent="0.25">
      <c r="D619" s="11"/>
      <c r="E619" s="11"/>
      <c r="F619" s="11"/>
      <c r="G619" s="11"/>
      <c r="H619" s="11"/>
      <c r="I619" s="11"/>
      <c r="J619" s="11"/>
      <c r="K619" s="11"/>
      <c r="L619" s="11"/>
    </row>
    <row r="620" spans="4:12" hidden="1" x14ac:dyDescent="0.25">
      <c r="D620" s="11"/>
      <c r="E620" s="11"/>
      <c r="F620" s="11"/>
      <c r="G620" s="11"/>
      <c r="H620" s="11"/>
      <c r="I620" s="11"/>
      <c r="J620" s="11"/>
      <c r="K620" s="11"/>
      <c r="L620" s="11"/>
    </row>
    <row r="621" spans="4:12" hidden="1" x14ac:dyDescent="0.25">
      <c r="D621" s="11"/>
      <c r="E621" s="11"/>
      <c r="F621" s="11"/>
      <c r="G621" s="11"/>
      <c r="H621" s="11"/>
      <c r="I621" s="11"/>
      <c r="J621" s="11"/>
      <c r="K621" s="11"/>
      <c r="L621" s="11"/>
    </row>
    <row r="622" spans="4:12" hidden="1" x14ac:dyDescent="0.25">
      <c r="D622" s="11"/>
      <c r="E622" s="11"/>
      <c r="F622" s="11"/>
      <c r="G622" s="11"/>
      <c r="H622" s="11"/>
      <c r="I622" s="11"/>
      <c r="J622" s="11"/>
      <c r="K622" s="11"/>
      <c r="L622" s="11"/>
    </row>
    <row r="623" spans="4:12" hidden="1" x14ac:dyDescent="0.25">
      <c r="D623" s="11"/>
      <c r="E623" s="11"/>
      <c r="F623" s="11"/>
      <c r="G623" s="11"/>
      <c r="H623" s="11"/>
      <c r="I623" s="11"/>
      <c r="J623" s="11"/>
      <c r="K623" s="11"/>
      <c r="L623" s="11"/>
    </row>
    <row r="624" spans="4:12" hidden="1" x14ac:dyDescent="0.25">
      <c r="D624" s="11"/>
      <c r="E624" s="11"/>
      <c r="F624" s="11"/>
      <c r="G624" s="11"/>
      <c r="H624" s="11"/>
      <c r="I624" s="11"/>
      <c r="J624" s="11"/>
      <c r="K624" s="11"/>
      <c r="L624" s="11"/>
    </row>
    <row r="625" spans="4:12" hidden="1" x14ac:dyDescent="0.25">
      <c r="D625" s="11"/>
      <c r="E625" s="11"/>
      <c r="F625" s="11"/>
      <c r="G625" s="11"/>
      <c r="H625" s="11"/>
      <c r="I625" s="11"/>
      <c r="J625" s="11"/>
      <c r="K625" s="11"/>
      <c r="L625" s="11"/>
    </row>
    <row r="626" spans="4:12" hidden="1" x14ac:dyDescent="0.25">
      <c r="D626" s="11"/>
      <c r="E626" s="11"/>
      <c r="F626" s="11"/>
      <c r="G626" s="11"/>
      <c r="H626" s="11"/>
      <c r="I626" s="11"/>
      <c r="J626" s="11"/>
      <c r="K626" s="11"/>
      <c r="L626" s="11"/>
    </row>
    <row r="627" spans="4:12" hidden="1" x14ac:dyDescent="0.25">
      <c r="D627" s="11"/>
      <c r="E627" s="11"/>
      <c r="F627" s="11"/>
      <c r="G627" s="11"/>
      <c r="H627" s="11"/>
      <c r="I627" s="11"/>
      <c r="J627" s="11"/>
      <c r="K627" s="11"/>
      <c r="L627" s="11"/>
    </row>
    <row r="628" spans="4:12" hidden="1" x14ac:dyDescent="0.25">
      <c r="D628" s="11"/>
      <c r="E628" s="11"/>
      <c r="F628" s="11"/>
      <c r="G628" s="11"/>
      <c r="H628" s="11"/>
      <c r="I628" s="11"/>
      <c r="J628" s="11"/>
      <c r="K628" s="11"/>
      <c r="L628" s="11"/>
    </row>
    <row r="629" spans="4:12" hidden="1" x14ac:dyDescent="0.25">
      <c r="D629" s="11"/>
      <c r="E629" s="11"/>
      <c r="F629" s="11"/>
      <c r="G629" s="11"/>
      <c r="H629" s="11"/>
      <c r="I629" s="11"/>
      <c r="J629" s="11"/>
      <c r="K629" s="11"/>
      <c r="L629" s="11"/>
    </row>
    <row r="630" spans="4:12" hidden="1" x14ac:dyDescent="0.25">
      <c r="D630" s="11"/>
      <c r="E630" s="11"/>
      <c r="F630" s="11"/>
      <c r="G630" s="11"/>
      <c r="H630" s="11"/>
      <c r="I630" s="11"/>
      <c r="J630" s="11"/>
      <c r="K630" s="11"/>
      <c r="L630" s="11"/>
    </row>
    <row r="631" spans="4:12" hidden="1" x14ac:dyDescent="0.25">
      <c r="D631" s="11"/>
      <c r="E631" s="11"/>
      <c r="F631" s="11"/>
      <c r="G631" s="11"/>
      <c r="H631" s="11"/>
      <c r="I631" s="11"/>
      <c r="J631" s="11"/>
      <c r="K631" s="11"/>
      <c r="L631" s="11"/>
    </row>
    <row r="632" spans="4:12" hidden="1" x14ac:dyDescent="0.25">
      <c r="D632" s="11"/>
      <c r="E632" s="11"/>
      <c r="F632" s="11"/>
      <c r="G632" s="11"/>
      <c r="H632" s="11"/>
      <c r="I632" s="11"/>
      <c r="J632" s="11"/>
      <c r="K632" s="11"/>
      <c r="L632" s="11"/>
    </row>
    <row r="633" spans="4:12" hidden="1" x14ac:dyDescent="0.25">
      <c r="D633" s="11"/>
      <c r="E633" s="11"/>
      <c r="F633" s="11"/>
      <c r="G633" s="11"/>
      <c r="H633" s="11"/>
      <c r="I633" s="11"/>
      <c r="J633" s="11"/>
      <c r="K633" s="11"/>
      <c r="L633" s="11"/>
    </row>
    <row r="634" spans="4:12" hidden="1" x14ac:dyDescent="0.25">
      <c r="D634" s="11"/>
      <c r="E634" s="11"/>
      <c r="F634" s="11"/>
      <c r="G634" s="11"/>
      <c r="H634" s="11"/>
      <c r="I634" s="11"/>
      <c r="J634" s="11"/>
      <c r="K634" s="11"/>
      <c r="L634" s="11"/>
    </row>
    <row r="635" spans="4:12" hidden="1" x14ac:dyDescent="0.25">
      <c r="D635" s="11"/>
      <c r="E635" s="11"/>
      <c r="F635" s="11"/>
      <c r="G635" s="11"/>
      <c r="H635" s="11"/>
      <c r="I635" s="11"/>
      <c r="J635" s="11"/>
      <c r="K635" s="11"/>
      <c r="L635" s="11"/>
    </row>
    <row r="636" spans="4:12" hidden="1" x14ac:dyDescent="0.25">
      <c r="D636" s="11"/>
      <c r="E636" s="11"/>
      <c r="F636" s="11"/>
      <c r="G636" s="11"/>
      <c r="H636" s="11"/>
      <c r="I636" s="11"/>
      <c r="J636" s="11"/>
      <c r="K636" s="11"/>
      <c r="L636" s="11"/>
    </row>
    <row r="637" spans="4:12" hidden="1" x14ac:dyDescent="0.25">
      <c r="D637" s="11"/>
      <c r="E637" s="11"/>
      <c r="F637" s="11"/>
      <c r="G637" s="11"/>
      <c r="H637" s="11"/>
      <c r="I637" s="11"/>
      <c r="J637" s="11"/>
      <c r="K637" s="11"/>
      <c r="L637" s="11"/>
    </row>
    <row r="638" spans="4:12" hidden="1" x14ac:dyDescent="0.25">
      <c r="D638" s="11"/>
      <c r="E638" s="11"/>
      <c r="F638" s="11"/>
      <c r="G638" s="11"/>
      <c r="H638" s="11"/>
      <c r="I638" s="11"/>
      <c r="J638" s="11"/>
      <c r="K638" s="11"/>
      <c r="L638" s="11"/>
    </row>
    <row r="639" spans="4:12" hidden="1" x14ac:dyDescent="0.25">
      <c r="D639" s="11"/>
      <c r="E639" s="11"/>
      <c r="F639" s="11"/>
      <c r="G639" s="11"/>
      <c r="H639" s="11"/>
      <c r="I639" s="11"/>
      <c r="J639" s="11"/>
      <c r="K639" s="11"/>
      <c r="L639" s="11"/>
    </row>
    <row r="640" spans="4:12" hidden="1" x14ac:dyDescent="0.25">
      <c r="D640" s="11"/>
      <c r="E640" s="11"/>
      <c r="F640" s="11"/>
      <c r="G640" s="11"/>
      <c r="H640" s="11"/>
      <c r="I640" s="11"/>
      <c r="J640" s="11"/>
      <c r="K640" s="11"/>
      <c r="L640" s="11"/>
    </row>
    <row r="641" spans="4:12" hidden="1" x14ac:dyDescent="0.25">
      <c r="D641" s="11"/>
      <c r="E641" s="11"/>
      <c r="F641" s="11"/>
      <c r="G641" s="11"/>
      <c r="H641" s="11"/>
      <c r="I641" s="11"/>
      <c r="J641" s="11"/>
      <c r="K641" s="11"/>
      <c r="L641" s="11"/>
    </row>
    <row r="642" spans="4:12" hidden="1" x14ac:dyDescent="0.25">
      <c r="D642" s="11"/>
      <c r="E642" s="11"/>
      <c r="F642" s="11"/>
      <c r="G642" s="11"/>
      <c r="H642" s="11"/>
      <c r="I642" s="11"/>
      <c r="J642" s="11"/>
      <c r="K642" s="11"/>
      <c r="L642" s="11"/>
    </row>
    <row r="643" spans="4:12" hidden="1" x14ac:dyDescent="0.25">
      <c r="D643" s="11"/>
      <c r="E643" s="11"/>
      <c r="F643" s="11"/>
      <c r="G643" s="11"/>
      <c r="H643" s="11"/>
      <c r="I643" s="11"/>
      <c r="J643" s="11"/>
      <c r="K643" s="11"/>
      <c r="L643" s="11"/>
    </row>
    <row r="644" spans="4:12" hidden="1" x14ac:dyDescent="0.25">
      <c r="D644" s="11"/>
      <c r="E644" s="11"/>
      <c r="F644" s="11"/>
      <c r="G644" s="11"/>
      <c r="H644" s="11"/>
      <c r="I644" s="11"/>
      <c r="J644" s="11"/>
      <c r="K644" s="11"/>
      <c r="L644" s="11"/>
    </row>
    <row r="645" spans="4:12" hidden="1" x14ac:dyDescent="0.25">
      <c r="D645" s="11"/>
      <c r="E645" s="11"/>
      <c r="F645" s="11"/>
      <c r="G645" s="11"/>
      <c r="H645" s="11"/>
      <c r="I645" s="11"/>
      <c r="J645" s="11"/>
      <c r="K645" s="11"/>
      <c r="L645" s="11"/>
    </row>
    <row r="646" spans="4:12" hidden="1" x14ac:dyDescent="0.25">
      <c r="D646" s="11"/>
      <c r="E646" s="11"/>
      <c r="F646" s="11"/>
      <c r="G646" s="11"/>
      <c r="H646" s="11"/>
      <c r="I646" s="11"/>
      <c r="J646" s="11"/>
      <c r="K646" s="11"/>
      <c r="L646" s="11"/>
    </row>
    <row r="647" spans="4:12" hidden="1" x14ac:dyDescent="0.25">
      <c r="D647" s="11"/>
      <c r="E647" s="11"/>
      <c r="F647" s="11"/>
      <c r="G647" s="11"/>
      <c r="H647" s="11"/>
      <c r="I647" s="11"/>
      <c r="J647" s="11"/>
      <c r="K647" s="11"/>
      <c r="L647" s="11"/>
    </row>
    <row r="648" spans="4:12" hidden="1" x14ac:dyDescent="0.25">
      <c r="D648" s="11"/>
      <c r="E648" s="11"/>
      <c r="F648" s="11"/>
      <c r="G648" s="11"/>
      <c r="H648" s="11"/>
      <c r="I648" s="11"/>
      <c r="J648" s="11"/>
      <c r="K648" s="11"/>
      <c r="L648" s="11"/>
    </row>
    <row r="649" spans="4:12" hidden="1" x14ac:dyDescent="0.25">
      <c r="D649" s="11"/>
      <c r="E649" s="11"/>
      <c r="F649" s="11"/>
      <c r="G649" s="11"/>
      <c r="H649" s="11"/>
      <c r="I649" s="11"/>
      <c r="J649" s="11"/>
      <c r="K649" s="11"/>
      <c r="L649" s="11"/>
    </row>
    <row r="650" spans="4:12" hidden="1" x14ac:dyDescent="0.25">
      <c r="D650" s="11"/>
      <c r="E650" s="11"/>
      <c r="F650" s="11"/>
      <c r="G650" s="11"/>
      <c r="H650" s="11"/>
      <c r="I650" s="11"/>
      <c r="J650" s="11"/>
      <c r="K650" s="11"/>
      <c r="L650" s="11"/>
    </row>
    <row r="651" spans="4:12" hidden="1" x14ac:dyDescent="0.25">
      <c r="D651" s="11"/>
      <c r="E651" s="11"/>
      <c r="F651" s="11"/>
      <c r="G651" s="11"/>
      <c r="H651" s="11"/>
      <c r="I651" s="11"/>
      <c r="J651" s="11"/>
      <c r="K651" s="11"/>
      <c r="L651" s="11"/>
    </row>
    <row r="652" spans="4:12" hidden="1" x14ac:dyDescent="0.25">
      <c r="D652" s="11"/>
      <c r="E652" s="11"/>
      <c r="F652" s="11"/>
      <c r="G652" s="11"/>
      <c r="H652" s="11"/>
      <c r="I652" s="11"/>
      <c r="J652" s="11"/>
      <c r="K652" s="11"/>
      <c r="L652" s="11"/>
    </row>
    <row r="653" spans="4:12" hidden="1" x14ac:dyDescent="0.25">
      <c r="D653" s="11"/>
      <c r="E653" s="11"/>
      <c r="F653" s="11"/>
      <c r="G653" s="11"/>
      <c r="H653" s="11"/>
      <c r="I653" s="11"/>
      <c r="J653" s="11"/>
      <c r="K653" s="11"/>
      <c r="L653" s="11"/>
    </row>
    <row r="654" spans="4:12" hidden="1" x14ac:dyDescent="0.25">
      <c r="D654" s="11"/>
      <c r="E654" s="11"/>
      <c r="F654" s="11"/>
      <c r="G654" s="11"/>
      <c r="H654" s="11"/>
      <c r="I654" s="11"/>
      <c r="J654" s="11"/>
      <c r="K654" s="11"/>
      <c r="L654" s="11"/>
    </row>
    <row r="655" spans="4:12" hidden="1" x14ac:dyDescent="0.25">
      <c r="D655" s="11"/>
      <c r="E655" s="11"/>
      <c r="F655" s="11"/>
      <c r="G655" s="11"/>
      <c r="H655" s="11"/>
      <c r="I655" s="11"/>
      <c r="J655" s="11"/>
      <c r="K655" s="11"/>
      <c r="L655" s="11"/>
    </row>
    <row r="656" spans="4:12" hidden="1" x14ac:dyDescent="0.25">
      <c r="D656" s="11"/>
      <c r="E656" s="11"/>
      <c r="F656" s="11"/>
      <c r="G656" s="11"/>
      <c r="H656" s="11"/>
      <c r="I656" s="11"/>
      <c r="J656" s="11"/>
      <c r="K656" s="11"/>
      <c r="L656" s="11"/>
    </row>
    <row r="657" spans="4:12" hidden="1" x14ac:dyDescent="0.25">
      <c r="D657" s="11"/>
      <c r="E657" s="11"/>
      <c r="F657" s="11"/>
      <c r="G657" s="11"/>
      <c r="H657" s="11"/>
      <c r="I657" s="11"/>
      <c r="J657" s="11"/>
      <c r="K657" s="11"/>
      <c r="L657" s="11"/>
    </row>
    <row r="658" spans="4:12" hidden="1" x14ac:dyDescent="0.25">
      <c r="D658" s="11"/>
      <c r="E658" s="11"/>
      <c r="F658" s="11"/>
      <c r="G658" s="11"/>
      <c r="H658" s="11"/>
      <c r="I658" s="11"/>
      <c r="J658" s="11"/>
      <c r="K658" s="11"/>
      <c r="L658" s="11"/>
    </row>
    <row r="659" spans="4:12" hidden="1" x14ac:dyDescent="0.25">
      <c r="D659" s="11"/>
      <c r="E659" s="11"/>
      <c r="F659" s="11"/>
      <c r="G659" s="11"/>
      <c r="H659" s="11"/>
      <c r="I659" s="11"/>
      <c r="J659" s="11"/>
      <c r="K659" s="11"/>
      <c r="L659" s="11"/>
    </row>
    <row r="660" spans="4:12" hidden="1" x14ac:dyDescent="0.25">
      <c r="D660" s="11"/>
      <c r="E660" s="11"/>
      <c r="F660" s="11"/>
      <c r="G660" s="11"/>
      <c r="H660" s="11"/>
      <c r="I660" s="11"/>
      <c r="J660" s="11"/>
      <c r="K660" s="11"/>
      <c r="L660" s="11"/>
    </row>
    <row r="661" spans="4:12" hidden="1" x14ac:dyDescent="0.25">
      <c r="D661" s="11"/>
      <c r="E661" s="11"/>
      <c r="F661" s="11"/>
      <c r="G661" s="11"/>
      <c r="H661" s="11"/>
      <c r="I661" s="11"/>
      <c r="J661" s="11"/>
      <c r="K661" s="11"/>
      <c r="L661" s="11"/>
    </row>
    <row r="662" spans="4:12" hidden="1" x14ac:dyDescent="0.25">
      <c r="D662" s="11"/>
      <c r="E662" s="11"/>
      <c r="F662" s="11"/>
      <c r="G662" s="11"/>
      <c r="H662" s="11"/>
      <c r="I662" s="11"/>
      <c r="J662" s="11"/>
      <c r="K662" s="11"/>
      <c r="L662" s="11"/>
    </row>
    <row r="663" spans="4:12" hidden="1" x14ac:dyDescent="0.25">
      <c r="D663" s="11"/>
      <c r="E663" s="11"/>
      <c r="F663" s="11"/>
      <c r="G663" s="11"/>
      <c r="H663" s="11"/>
      <c r="I663" s="11"/>
      <c r="J663" s="11"/>
      <c r="K663" s="11"/>
      <c r="L663" s="11"/>
    </row>
    <row r="664" spans="4:12" hidden="1" x14ac:dyDescent="0.25">
      <c r="D664" s="11"/>
      <c r="E664" s="11"/>
      <c r="F664" s="11"/>
      <c r="G664" s="11"/>
      <c r="H664" s="11"/>
      <c r="I664" s="11"/>
      <c r="J664" s="11"/>
      <c r="K664" s="11"/>
      <c r="L664" s="11"/>
    </row>
    <row r="665" spans="4:12" hidden="1" x14ac:dyDescent="0.25">
      <c r="D665" s="11"/>
      <c r="E665" s="11"/>
      <c r="F665" s="11"/>
      <c r="G665" s="11"/>
      <c r="H665" s="11"/>
      <c r="I665" s="11"/>
      <c r="J665" s="11"/>
      <c r="K665" s="11"/>
      <c r="L665" s="11"/>
    </row>
    <row r="666" spans="4:12" hidden="1" x14ac:dyDescent="0.25">
      <c r="D666" s="11"/>
      <c r="E666" s="11"/>
      <c r="F666" s="11"/>
      <c r="G666" s="11"/>
      <c r="H666" s="11"/>
      <c r="I666" s="11"/>
      <c r="J666" s="11"/>
      <c r="K666" s="11"/>
      <c r="L666" s="11"/>
    </row>
    <row r="667" spans="4:12" hidden="1" x14ac:dyDescent="0.25">
      <c r="D667" s="11"/>
      <c r="E667" s="11"/>
      <c r="F667" s="11"/>
      <c r="G667" s="11"/>
      <c r="H667" s="11"/>
      <c r="I667" s="11"/>
      <c r="J667" s="11"/>
      <c r="K667" s="11"/>
      <c r="L667" s="11"/>
    </row>
    <row r="668" spans="4:12" hidden="1" x14ac:dyDescent="0.25">
      <c r="D668" s="11"/>
      <c r="E668" s="11"/>
      <c r="F668" s="11"/>
      <c r="G668" s="11"/>
      <c r="H668" s="11"/>
      <c r="I668" s="11"/>
      <c r="J668" s="11"/>
      <c r="K668" s="11"/>
      <c r="L668" s="11"/>
    </row>
    <row r="669" spans="4:12" hidden="1" x14ac:dyDescent="0.25">
      <c r="D669" s="11"/>
      <c r="E669" s="11"/>
      <c r="F669" s="11"/>
      <c r="G669" s="11"/>
      <c r="H669" s="11"/>
      <c r="I669" s="11"/>
      <c r="J669" s="11"/>
      <c r="K669" s="11"/>
      <c r="L669" s="11"/>
    </row>
    <row r="670" spans="4:12" hidden="1" x14ac:dyDescent="0.25">
      <c r="D670" s="11"/>
      <c r="E670" s="11"/>
      <c r="F670" s="11"/>
      <c r="G670" s="11"/>
      <c r="H670" s="11"/>
      <c r="I670" s="11"/>
      <c r="J670" s="11"/>
      <c r="K670" s="11"/>
      <c r="L670" s="11"/>
    </row>
    <row r="671" spans="4:12" hidden="1" x14ac:dyDescent="0.25">
      <c r="D671" s="11"/>
      <c r="E671" s="11"/>
      <c r="F671" s="11"/>
      <c r="G671" s="11"/>
      <c r="H671" s="11"/>
      <c r="I671" s="11"/>
      <c r="J671" s="11"/>
      <c r="K671" s="11"/>
      <c r="L671" s="11"/>
    </row>
    <row r="672" spans="4:12" hidden="1" x14ac:dyDescent="0.25">
      <c r="D672" s="11"/>
      <c r="E672" s="11"/>
      <c r="F672" s="11"/>
      <c r="G672" s="11"/>
      <c r="H672" s="11"/>
      <c r="I672" s="11"/>
      <c r="J672" s="11"/>
      <c r="K672" s="11"/>
      <c r="L672" s="11"/>
    </row>
    <row r="673" spans="4:12" hidden="1" x14ac:dyDescent="0.25">
      <c r="D673" s="11"/>
      <c r="E673" s="11"/>
      <c r="F673" s="11"/>
      <c r="G673" s="11"/>
      <c r="H673" s="11"/>
      <c r="I673" s="11"/>
      <c r="J673" s="11"/>
      <c r="K673" s="11"/>
      <c r="L673" s="11"/>
    </row>
    <row r="674" spans="4:12" hidden="1" x14ac:dyDescent="0.25">
      <c r="D674" s="11"/>
      <c r="E674" s="11"/>
      <c r="F674" s="11"/>
      <c r="G674" s="11"/>
      <c r="H674" s="11"/>
      <c r="I674" s="11"/>
      <c r="J674" s="11"/>
      <c r="K674" s="11"/>
      <c r="L674" s="11"/>
    </row>
    <row r="675" spans="4:12" hidden="1" x14ac:dyDescent="0.25">
      <c r="D675" s="11"/>
      <c r="E675" s="11"/>
      <c r="F675" s="11"/>
      <c r="G675" s="11"/>
      <c r="H675" s="11"/>
      <c r="I675" s="11"/>
      <c r="J675" s="11"/>
      <c r="K675" s="11"/>
      <c r="L675" s="11"/>
    </row>
    <row r="676" spans="4:12" hidden="1" x14ac:dyDescent="0.25">
      <c r="D676" s="11"/>
      <c r="E676" s="11"/>
      <c r="F676" s="11"/>
      <c r="G676" s="11"/>
      <c r="H676" s="11"/>
      <c r="I676" s="11"/>
      <c r="J676" s="11"/>
      <c r="K676" s="11"/>
      <c r="L676" s="11"/>
    </row>
    <row r="677" spans="4:12" hidden="1" x14ac:dyDescent="0.25">
      <c r="D677" s="11"/>
      <c r="E677" s="11"/>
      <c r="F677" s="11"/>
      <c r="G677" s="11"/>
      <c r="H677" s="11"/>
      <c r="I677" s="11"/>
      <c r="J677" s="11"/>
      <c r="K677" s="11"/>
      <c r="L677" s="11"/>
    </row>
    <row r="678" spans="4:12" hidden="1" x14ac:dyDescent="0.25">
      <c r="D678" s="11"/>
      <c r="E678" s="11"/>
      <c r="F678" s="11"/>
      <c r="G678" s="11"/>
      <c r="H678" s="11"/>
      <c r="I678" s="11"/>
      <c r="J678" s="11"/>
      <c r="K678" s="11"/>
      <c r="L678" s="11"/>
    </row>
    <row r="679" spans="4:12" hidden="1" x14ac:dyDescent="0.25">
      <c r="D679" s="11"/>
      <c r="E679" s="11"/>
      <c r="F679" s="11"/>
      <c r="G679" s="11"/>
      <c r="H679" s="11"/>
      <c r="I679" s="11"/>
      <c r="J679" s="11"/>
      <c r="K679" s="11"/>
      <c r="L679" s="11"/>
    </row>
    <row r="680" spans="4:12" hidden="1" x14ac:dyDescent="0.25">
      <c r="D680" s="11"/>
      <c r="E680" s="11"/>
      <c r="F680" s="11"/>
      <c r="G680" s="11"/>
      <c r="H680" s="11"/>
      <c r="I680" s="11"/>
      <c r="J680" s="11"/>
      <c r="K680" s="11"/>
      <c r="L680" s="11"/>
    </row>
    <row r="681" spans="4:12" hidden="1" x14ac:dyDescent="0.25">
      <c r="D681" s="11"/>
      <c r="E681" s="11"/>
      <c r="F681" s="11"/>
      <c r="G681" s="11"/>
      <c r="H681" s="11"/>
      <c r="I681" s="11"/>
      <c r="J681" s="11"/>
      <c r="K681" s="11"/>
      <c r="L681" s="11"/>
    </row>
    <row r="682" spans="4:12" hidden="1" x14ac:dyDescent="0.25">
      <c r="D682" s="11"/>
      <c r="E682" s="11"/>
      <c r="F682" s="11"/>
      <c r="G682" s="11"/>
      <c r="H682" s="11"/>
      <c r="I682" s="11"/>
      <c r="J682" s="11"/>
      <c r="K682" s="11"/>
      <c r="L682" s="11"/>
    </row>
    <row r="683" spans="4:12" hidden="1" x14ac:dyDescent="0.25">
      <c r="D683" s="11"/>
      <c r="E683" s="11"/>
      <c r="F683" s="11"/>
      <c r="G683" s="11"/>
      <c r="H683" s="11"/>
      <c r="I683" s="11"/>
      <c r="J683" s="11"/>
      <c r="K683" s="11"/>
      <c r="L683" s="11"/>
    </row>
    <row r="684" spans="4:12" hidden="1" x14ac:dyDescent="0.25">
      <c r="D684" s="11"/>
      <c r="E684" s="11"/>
      <c r="F684" s="11"/>
      <c r="G684" s="11"/>
      <c r="H684" s="11"/>
      <c r="I684" s="11"/>
      <c r="J684" s="11"/>
      <c r="K684" s="11"/>
      <c r="L684" s="11"/>
    </row>
    <row r="685" spans="4:12" hidden="1" x14ac:dyDescent="0.25">
      <c r="D685" s="11"/>
      <c r="E685" s="11"/>
      <c r="F685" s="11"/>
      <c r="G685" s="11"/>
      <c r="H685" s="11"/>
      <c r="I685" s="11"/>
      <c r="J685" s="11"/>
      <c r="K685" s="11"/>
      <c r="L685" s="11"/>
    </row>
    <row r="686" spans="4:12" hidden="1" x14ac:dyDescent="0.25">
      <c r="D686" s="11"/>
      <c r="E686" s="11"/>
      <c r="F686" s="11"/>
      <c r="G686" s="11"/>
      <c r="H686" s="11"/>
      <c r="I686" s="11"/>
      <c r="J686" s="11"/>
      <c r="K686" s="11"/>
      <c r="L686" s="11"/>
    </row>
    <row r="687" spans="4:12" hidden="1" x14ac:dyDescent="0.25">
      <c r="D687" s="11"/>
      <c r="E687" s="11"/>
      <c r="F687" s="11"/>
      <c r="G687" s="11"/>
      <c r="H687" s="11"/>
      <c r="I687" s="11"/>
      <c r="J687" s="11"/>
      <c r="K687" s="11"/>
      <c r="L687" s="11"/>
    </row>
    <row r="688" spans="4:12" hidden="1" x14ac:dyDescent="0.25">
      <c r="D688" s="11"/>
      <c r="E688" s="11"/>
      <c r="F688" s="11"/>
      <c r="G688" s="11"/>
      <c r="H688" s="11"/>
      <c r="I688" s="11"/>
      <c r="J688" s="11"/>
      <c r="K688" s="11"/>
      <c r="L688" s="11"/>
    </row>
    <row r="689" spans="4:12" hidden="1" x14ac:dyDescent="0.25">
      <c r="D689" s="11"/>
      <c r="E689" s="11"/>
      <c r="F689" s="11"/>
      <c r="G689" s="11"/>
      <c r="H689" s="11"/>
      <c r="I689" s="11"/>
      <c r="J689" s="11"/>
      <c r="K689" s="11"/>
      <c r="L689" s="11"/>
    </row>
    <row r="690" spans="4:12" hidden="1" x14ac:dyDescent="0.25">
      <c r="D690" s="11"/>
      <c r="E690" s="11"/>
      <c r="F690" s="11"/>
      <c r="G690" s="11"/>
      <c r="H690" s="11"/>
      <c r="I690" s="11"/>
      <c r="J690" s="11"/>
      <c r="K690" s="11"/>
      <c r="L690" s="11"/>
    </row>
    <row r="691" spans="4:12" hidden="1" x14ac:dyDescent="0.25">
      <c r="D691" s="11"/>
      <c r="E691" s="11"/>
      <c r="F691" s="11"/>
      <c r="G691" s="11"/>
      <c r="H691" s="11"/>
      <c r="I691" s="11"/>
      <c r="J691" s="11"/>
      <c r="K691" s="11"/>
      <c r="L691" s="11"/>
    </row>
    <row r="692" spans="4:12" hidden="1" x14ac:dyDescent="0.25">
      <c r="D692" s="11"/>
      <c r="E692" s="11"/>
      <c r="F692" s="11"/>
      <c r="G692" s="11"/>
      <c r="H692" s="11"/>
      <c r="I692" s="11"/>
      <c r="J692" s="11"/>
      <c r="K692" s="11"/>
      <c r="L692" s="11"/>
    </row>
    <row r="693" spans="4:12" hidden="1" x14ac:dyDescent="0.25">
      <c r="D693" s="11"/>
      <c r="E693" s="11"/>
      <c r="F693" s="11"/>
      <c r="G693" s="11"/>
      <c r="H693" s="11"/>
      <c r="I693" s="11"/>
      <c r="J693" s="11"/>
      <c r="K693" s="11"/>
      <c r="L693" s="11"/>
    </row>
    <row r="694" spans="4:12" hidden="1" x14ac:dyDescent="0.25">
      <c r="D694" s="11"/>
      <c r="E694" s="11"/>
      <c r="F694" s="11"/>
      <c r="G694" s="11"/>
      <c r="H694" s="11"/>
      <c r="I694" s="11"/>
      <c r="J694" s="11"/>
      <c r="K694" s="11"/>
      <c r="L694" s="11"/>
    </row>
    <row r="695" spans="4:12" hidden="1" x14ac:dyDescent="0.25">
      <c r="D695" s="11"/>
      <c r="E695" s="11"/>
      <c r="F695" s="11"/>
      <c r="G695" s="11"/>
      <c r="H695" s="11"/>
      <c r="I695" s="11"/>
      <c r="J695" s="11"/>
      <c r="K695" s="11"/>
      <c r="L695" s="11"/>
    </row>
    <row r="696" spans="4:12" hidden="1" x14ac:dyDescent="0.25">
      <c r="D696" s="11"/>
      <c r="E696" s="11"/>
      <c r="F696" s="11"/>
      <c r="G696" s="11"/>
      <c r="H696" s="11"/>
      <c r="I696" s="11"/>
      <c r="J696" s="11"/>
      <c r="K696" s="11"/>
      <c r="L696" s="11"/>
    </row>
    <row r="697" spans="4:12" hidden="1" x14ac:dyDescent="0.25">
      <c r="D697" s="11"/>
      <c r="E697" s="11"/>
      <c r="F697" s="11"/>
      <c r="G697" s="11"/>
      <c r="H697" s="11"/>
      <c r="I697" s="11"/>
      <c r="J697" s="11"/>
      <c r="K697" s="11"/>
      <c r="L697" s="11"/>
    </row>
    <row r="698" spans="4:12" hidden="1" x14ac:dyDescent="0.25">
      <c r="D698" s="11"/>
      <c r="E698" s="11"/>
      <c r="F698" s="11"/>
      <c r="G698" s="11"/>
      <c r="H698" s="11"/>
      <c r="I698" s="11"/>
      <c r="J698" s="11"/>
      <c r="K698" s="11"/>
      <c r="L698" s="11"/>
    </row>
    <row r="699" spans="4:12" hidden="1" x14ac:dyDescent="0.25">
      <c r="D699" s="11"/>
      <c r="E699" s="11"/>
      <c r="F699" s="11"/>
      <c r="G699" s="11"/>
      <c r="H699" s="11"/>
      <c r="I699" s="11"/>
      <c r="J699" s="11"/>
      <c r="K699" s="11"/>
      <c r="L699" s="11"/>
    </row>
    <row r="700" spans="4:12" hidden="1" x14ac:dyDescent="0.25">
      <c r="D700" s="11"/>
      <c r="E700" s="11"/>
      <c r="F700" s="11"/>
      <c r="G700" s="11"/>
      <c r="H700" s="11"/>
      <c r="I700" s="11"/>
      <c r="J700" s="11"/>
      <c r="K700" s="11"/>
      <c r="L700" s="11"/>
    </row>
    <row r="701" spans="4:12" hidden="1" x14ac:dyDescent="0.25">
      <c r="D701" s="11"/>
      <c r="E701" s="11"/>
      <c r="F701" s="11"/>
      <c r="G701" s="11"/>
      <c r="H701" s="11"/>
      <c r="I701" s="11"/>
      <c r="J701" s="11"/>
      <c r="K701" s="11"/>
      <c r="L701" s="11"/>
    </row>
    <row r="702" spans="4:12" hidden="1" x14ac:dyDescent="0.25">
      <c r="D702" s="11"/>
      <c r="E702" s="11"/>
      <c r="F702" s="11"/>
      <c r="G702" s="11"/>
      <c r="H702" s="11"/>
      <c r="I702" s="11"/>
      <c r="J702" s="11"/>
      <c r="K702" s="11"/>
      <c r="L702" s="11"/>
    </row>
    <row r="703" spans="4:12" hidden="1" x14ac:dyDescent="0.25">
      <c r="D703" s="11"/>
      <c r="E703" s="11"/>
      <c r="F703" s="11"/>
      <c r="G703" s="11"/>
      <c r="H703" s="11"/>
      <c r="I703" s="11"/>
      <c r="J703" s="11"/>
      <c r="K703" s="11"/>
      <c r="L703" s="11"/>
    </row>
    <row r="704" spans="4:12" hidden="1" x14ac:dyDescent="0.25">
      <c r="D704" s="11"/>
      <c r="E704" s="11"/>
      <c r="F704" s="11"/>
      <c r="G704" s="11"/>
      <c r="H704" s="11"/>
      <c r="I704" s="11"/>
      <c r="J704" s="11"/>
      <c r="K704" s="11"/>
      <c r="L704" s="11"/>
    </row>
    <row r="705" spans="4:12" hidden="1" x14ac:dyDescent="0.25">
      <c r="D705" s="11"/>
      <c r="E705" s="11"/>
      <c r="F705" s="11"/>
      <c r="G705" s="11"/>
      <c r="H705" s="11"/>
      <c r="I705" s="11"/>
      <c r="J705" s="11"/>
      <c r="K705" s="11"/>
      <c r="L705" s="11"/>
    </row>
    <row r="706" spans="4:12" hidden="1" x14ac:dyDescent="0.25">
      <c r="D706" s="11"/>
      <c r="E706" s="11"/>
      <c r="F706" s="11"/>
      <c r="G706" s="11"/>
      <c r="H706" s="11"/>
      <c r="I706" s="11"/>
      <c r="J706" s="11"/>
      <c r="K706" s="11"/>
      <c r="L706" s="11"/>
    </row>
    <row r="707" spans="4:12" hidden="1" x14ac:dyDescent="0.25">
      <c r="D707" s="11"/>
      <c r="E707" s="11"/>
      <c r="F707" s="11"/>
      <c r="G707" s="11"/>
      <c r="H707" s="11"/>
      <c r="I707" s="11"/>
      <c r="J707" s="11"/>
      <c r="K707" s="11"/>
      <c r="L707" s="11"/>
    </row>
    <row r="708" spans="4:12" hidden="1" x14ac:dyDescent="0.25">
      <c r="D708" s="11"/>
      <c r="E708" s="11"/>
      <c r="F708" s="11"/>
      <c r="G708" s="11"/>
      <c r="H708" s="11"/>
      <c r="I708" s="11"/>
      <c r="J708" s="11"/>
      <c r="K708" s="11"/>
      <c r="L708" s="11"/>
    </row>
    <row r="709" spans="4:12" hidden="1" x14ac:dyDescent="0.25">
      <c r="D709" s="11"/>
      <c r="E709" s="11"/>
      <c r="F709" s="11"/>
      <c r="G709" s="11"/>
      <c r="H709" s="11"/>
      <c r="I709" s="11"/>
      <c r="J709" s="11"/>
      <c r="K709" s="11"/>
      <c r="L709" s="11"/>
    </row>
    <row r="710" spans="4:12" hidden="1" x14ac:dyDescent="0.25">
      <c r="D710" s="11"/>
      <c r="E710" s="11"/>
      <c r="F710" s="11"/>
      <c r="G710" s="11"/>
      <c r="H710" s="11"/>
      <c r="I710" s="11"/>
      <c r="J710" s="11"/>
      <c r="K710" s="11"/>
      <c r="L710" s="11"/>
    </row>
    <row r="711" spans="4:12" hidden="1" x14ac:dyDescent="0.25">
      <c r="D711" s="11"/>
      <c r="E711" s="11"/>
      <c r="F711" s="11"/>
      <c r="G711" s="11"/>
      <c r="H711" s="11"/>
      <c r="I711" s="11"/>
      <c r="J711" s="11"/>
      <c r="K711" s="11"/>
      <c r="L711" s="11"/>
    </row>
    <row r="712" spans="4:12" hidden="1" x14ac:dyDescent="0.25">
      <c r="D712" s="11"/>
      <c r="E712" s="11"/>
      <c r="F712" s="11"/>
      <c r="G712" s="11"/>
      <c r="H712" s="11"/>
      <c r="I712" s="11"/>
      <c r="J712" s="11"/>
      <c r="K712" s="11"/>
      <c r="L712" s="11"/>
    </row>
    <row r="713" spans="4:12" hidden="1" x14ac:dyDescent="0.25">
      <c r="D713" s="11"/>
      <c r="E713" s="11"/>
      <c r="F713" s="11"/>
      <c r="G713" s="11"/>
      <c r="H713" s="11"/>
      <c r="I713" s="11"/>
      <c r="J713" s="11"/>
      <c r="K713" s="11"/>
      <c r="L713" s="11"/>
    </row>
    <row r="714" spans="4:12" hidden="1" x14ac:dyDescent="0.25">
      <c r="D714" s="11"/>
      <c r="E714" s="11"/>
      <c r="F714" s="11"/>
      <c r="G714" s="11"/>
      <c r="H714" s="11"/>
      <c r="I714" s="11"/>
      <c r="J714" s="11"/>
      <c r="K714" s="11"/>
      <c r="L714" s="11"/>
    </row>
    <row r="715" spans="4:12" hidden="1" x14ac:dyDescent="0.25">
      <c r="D715" s="11"/>
      <c r="E715" s="11"/>
      <c r="F715" s="11"/>
      <c r="G715" s="11"/>
      <c r="H715" s="11"/>
      <c r="I715" s="11"/>
      <c r="J715" s="11"/>
      <c r="K715" s="11"/>
      <c r="L715" s="11"/>
    </row>
    <row r="716" spans="4:12" hidden="1" x14ac:dyDescent="0.25">
      <c r="D716" s="11"/>
      <c r="E716" s="11"/>
      <c r="F716" s="11"/>
      <c r="G716" s="11"/>
      <c r="H716" s="11"/>
      <c r="I716" s="11"/>
      <c r="J716" s="11"/>
      <c r="K716" s="11"/>
      <c r="L716" s="11"/>
    </row>
    <row r="717" spans="4:12" hidden="1" x14ac:dyDescent="0.25">
      <c r="D717" s="11"/>
      <c r="E717" s="11"/>
      <c r="F717" s="11"/>
      <c r="G717" s="11"/>
      <c r="H717" s="11"/>
      <c r="I717" s="11"/>
      <c r="J717" s="11"/>
      <c r="K717" s="11"/>
      <c r="L717" s="11"/>
    </row>
    <row r="718" spans="4:12" hidden="1" x14ac:dyDescent="0.25">
      <c r="D718" s="11"/>
      <c r="E718" s="11"/>
      <c r="F718" s="11"/>
      <c r="G718" s="11"/>
      <c r="H718" s="11"/>
      <c r="I718" s="11"/>
      <c r="J718" s="11"/>
      <c r="K718" s="11"/>
      <c r="L718" s="11"/>
    </row>
    <row r="719" spans="4:12" hidden="1" x14ac:dyDescent="0.25">
      <c r="D719" s="11"/>
      <c r="E719" s="11"/>
      <c r="F719" s="11"/>
      <c r="G719" s="11"/>
      <c r="H719" s="11"/>
      <c r="I719" s="11"/>
      <c r="J719" s="11"/>
      <c r="K719" s="11"/>
      <c r="L719" s="11"/>
    </row>
    <row r="720" spans="4:12" hidden="1" x14ac:dyDescent="0.25">
      <c r="D720" s="11"/>
      <c r="E720" s="11"/>
      <c r="F720" s="11"/>
      <c r="G720" s="11"/>
      <c r="H720" s="11"/>
      <c r="I720" s="11"/>
      <c r="J720" s="11"/>
      <c r="K720" s="11"/>
      <c r="L720" s="11"/>
    </row>
    <row r="721" spans="4:12" hidden="1" x14ac:dyDescent="0.25">
      <c r="D721" s="11"/>
      <c r="E721" s="11"/>
      <c r="F721" s="11"/>
      <c r="G721" s="11"/>
      <c r="H721" s="11"/>
      <c r="I721" s="11"/>
      <c r="J721" s="11"/>
      <c r="K721" s="11"/>
      <c r="L721" s="11"/>
    </row>
    <row r="722" spans="4:12" hidden="1" x14ac:dyDescent="0.25">
      <c r="D722" s="11"/>
      <c r="E722" s="11"/>
      <c r="F722" s="11"/>
      <c r="G722" s="11"/>
      <c r="H722" s="11"/>
      <c r="I722" s="11"/>
      <c r="J722" s="11"/>
      <c r="K722" s="11"/>
      <c r="L722" s="11"/>
    </row>
    <row r="723" spans="4:12" hidden="1" x14ac:dyDescent="0.25">
      <c r="D723" s="11"/>
      <c r="E723" s="11"/>
      <c r="F723" s="11"/>
      <c r="G723" s="11"/>
      <c r="H723" s="11"/>
      <c r="I723" s="11"/>
      <c r="J723" s="11"/>
      <c r="K723" s="11"/>
      <c r="L723" s="11"/>
    </row>
    <row r="724" spans="4:12" hidden="1" x14ac:dyDescent="0.25">
      <c r="D724" s="11"/>
      <c r="E724" s="11"/>
      <c r="F724" s="11"/>
      <c r="G724" s="11"/>
      <c r="H724" s="11"/>
      <c r="I724" s="11"/>
      <c r="J724" s="11"/>
      <c r="K724" s="11"/>
      <c r="L724" s="11"/>
    </row>
    <row r="725" spans="4:12" hidden="1" x14ac:dyDescent="0.25">
      <c r="D725" s="11"/>
      <c r="E725" s="11"/>
      <c r="F725" s="11"/>
      <c r="G725" s="11"/>
      <c r="H725" s="11"/>
      <c r="I725" s="11"/>
      <c r="J725" s="11"/>
      <c r="K725" s="11"/>
      <c r="L725" s="11"/>
    </row>
    <row r="726" spans="4:12" hidden="1" x14ac:dyDescent="0.25">
      <c r="D726" s="11"/>
      <c r="E726" s="11"/>
      <c r="F726" s="11"/>
      <c r="G726" s="11"/>
      <c r="H726" s="11"/>
      <c r="I726" s="11"/>
      <c r="J726" s="11"/>
      <c r="K726" s="11"/>
      <c r="L726" s="11"/>
    </row>
    <row r="727" spans="4:12" hidden="1" x14ac:dyDescent="0.25">
      <c r="D727" s="11"/>
      <c r="E727" s="11"/>
      <c r="F727" s="11"/>
      <c r="G727" s="11"/>
      <c r="H727" s="11"/>
      <c r="I727" s="11"/>
      <c r="J727" s="11"/>
      <c r="K727" s="11"/>
      <c r="L727" s="11"/>
    </row>
    <row r="728" spans="4:12" hidden="1" x14ac:dyDescent="0.25">
      <c r="D728" s="11"/>
      <c r="E728" s="11"/>
      <c r="F728" s="11"/>
      <c r="G728" s="11"/>
      <c r="H728" s="11"/>
      <c r="I728" s="11"/>
      <c r="J728" s="11"/>
      <c r="K728" s="11"/>
      <c r="L728" s="11"/>
    </row>
    <row r="729" spans="4:12" hidden="1" x14ac:dyDescent="0.25">
      <c r="D729" s="11"/>
      <c r="E729" s="11"/>
      <c r="F729" s="11"/>
      <c r="G729" s="11"/>
      <c r="H729" s="11"/>
      <c r="I729" s="11"/>
      <c r="J729" s="11"/>
      <c r="K729" s="11"/>
      <c r="L729" s="11"/>
    </row>
    <row r="730" spans="4:12" hidden="1" x14ac:dyDescent="0.25">
      <c r="D730" s="11"/>
      <c r="E730" s="11"/>
      <c r="F730" s="11"/>
      <c r="G730" s="11"/>
      <c r="H730" s="11"/>
      <c r="I730" s="11"/>
      <c r="J730" s="11"/>
      <c r="K730" s="11"/>
      <c r="L730" s="11"/>
    </row>
    <row r="731" spans="4:12" hidden="1" x14ac:dyDescent="0.25">
      <c r="D731" s="11"/>
      <c r="E731" s="11"/>
      <c r="F731" s="11"/>
      <c r="G731" s="11"/>
      <c r="H731" s="11"/>
      <c r="I731" s="11"/>
      <c r="J731" s="11"/>
      <c r="K731" s="11"/>
      <c r="L731" s="11"/>
    </row>
    <row r="732" spans="4:12" hidden="1" x14ac:dyDescent="0.25">
      <c r="D732" s="11"/>
      <c r="E732" s="11"/>
      <c r="F732" s="11"/>
      <c r="G732" s="11"/>
      <c r="H732" s="11"/>
      <c r="I732" s="11"/>
      <c r="J732" s="11"/>
      <c r="K732" s="11"/>
      <c r="L732" s="11"/>
    </row>
    <row r="733" spans="4:12" hidden="1" x14ac:dyDescent="0.25">
      <c r="D733" s="11"/>
      <c r="E733" s="11"/>
      <c r="F733" s="11"/>
      <c r="G733" s="11"/>
      <c r="H733" s="11"/>
      <c r="I733" s="11"/>
      <c r="J733" s="11"/>
      <c r="K733" s="11"/>
      <c r="L733" s="11"/>
    </row>
    <row r="734" spans="4:12" hidden="1" x14ac:dyDescent="0.25">
      <c r="D734" s="11"/>
      <c r="E734" s="11"/>
      <c r="F734" s="11"/>
      <c r="G734" s="11"/>
      <c r="H734" s="11"/>
      <c r="I734" s="11"/>
      <c r="J734" s="11"/>
      <c r="K734" s="11"/>
      <c r="L734" s="11"/>
    </row>
    <row r="735" spans="4:12" hidden="1" x14ac:dyDescent="0.25">
      <c r="D735" s="11"/>
      <c r="E735" s="11"/>
      <c r="F735" s="11"/>
      <c r="G735" s="11"/>
      <c r="H735" s="11"/>
      <c r="I735" s="11"/>
      <c r="J735" s="11"/>
      <c r="K735" s="11"/>
      <c r="L735" s="11"/>
    </row>
    <row r="736" spans="4:12" hidden="1" x14ac:dyDescent="0.25">
      <c r="D736" s="11"/>
      <c r="E736" s="11"/>
      <c r="F736" s="11"/>
      <c r="G736" s="11"/>
      <c r="H736" s="11"/>
      <c r="I736" s="11"/>
      <c r="J736" s="11"/>
      <c r="K736" s="11"/>
      <c r="L736" s="11"/>
    </row>
    <row r="737" spans="4:12" hidden="1" x14ac:dyDescent="0.25">
      <c r="D737" s="11"/>
      <c r="E737" s="11"/>
      <c r="F737" s="11"/>
      <c r="G737" s="11"/>
      <c r="H737" s="11"/>
      <c r="I737" s="11"/>
      <c r="J737" s="11"/>
      <c r="K737" s="11"/>
      <c r="L737" s="11"/>
    </row>
    <row r="738" spans="4:12" hidden="1" x14ac:dyDescent="0.25">
      <c r="D738" s="11"/>
      <c r="E738" s="11"/>
      <c r="F738" s="11"/>
      <c r="G738" s="11"/>
      <c r="H738" s="11"/>
      <c r="I738" s="11"/>
      <c r="J738" s="11"/>
      <c r="K738" s="11"/>
      <c r="L738" s="11"/>
    </row>
    <row r="739" spans="4:12" hidden="1" x14ac:dyDescent="0.25">
      <c r="D739" s="11"/>
      <c r="E739" s="11"/>
      <c r="F739" s="11"/>
      <c r="G739" s="11"/>
      <c r="H739" s="11"/>
      <c r="I739" s="11"/>
      <c r="J739" s="11"/>
      <c r="K739" s="11"/>
      <c r="L739" s="11"/>
    </row>
    <row r="740" spans="4:12" hidden="1" x14ac:dyDescent="0.25">
      <c r="D740" s="11"/>
      <c r="E740" s="11"/>
      <c r="F740" s="11"/>
      <c r="G740" s="11"/>
      <c r="H740" s="11"/>
      <c r="I740" s="11"/>
      <c r="J740" s="11"/>
      <c r="K740" s="11"/>
      <c r="L740" s="11"/>
    </row>
    <row r="741" spans="4:12" hidden="1" x14ac:dyDescent="0.25">
      <c r="D741" s="11"/>
      <c r="E741" s="11"/>
      <c r="F741" s="11"/>
      <c r="G741" s="11"/>
      <c r="H741" s="11"/>
      <c r="I741" s="11"/>
      <c r="J741" s="11"/>
      <c r="K741" s="11"/>
      <c r="L741" s="11"/>
    </row>
    <row r="742" spans="4:12" hidden="1" x14ac:dyDescent="0.25">
      <c r="D742" s="11"/>
      <c r="E742" s="11"/>
      <c r="F742" s="11"/>
      <c r="G742" s="11"/>
      <c r="H742" s="11"/>
      <c r="I742" s="11"/>
      <c r="J742" s="11"/>
      <c r="K742" s="11"/>
      <c r="L742" s="11"/>
    </row>
    <row r="743" spans="4:12" hidden="1" x14ac:dyDescent="0.25">
      <c r="D743" s="11"/>
      <c r="E743" s="11"/>
      <c r="F743" s="11"/>
      <c r="G743" s="11"/>
      <c r="H743" s="11"/>
      <c r="I743" s="11"/>
      <c r="J743" s="11"/>
      <c r="K743" s="11"/>
      <c r="L743" s="11"/>
    </row>
    <row r="744" spans="4:12" hidden="1" x14ac:dyDescent="0.25">
      <c r="D744" s="11"/>
      <c r="E744" s="11"/>
      <c r="F744" s="11"/>
      <c r="G744" s="11"/>
      <c r="H744" s="11"/>
      <c r="I744" s="11"/>
      <c r="J744" s="11"/>
      <c r="K744" s="11"/>
      <c r="L744" s="11"/>
    </row>
    <row r="745" spans="4:12" hidden="1" x14ac:dyDescent="0.25">
      <c r="D745" s="11"/>
      <c r="E745" s="11"/>
      <c r="F745" s="11"/>
      <c r="G745" s="11"/>
      <c r="H745" s="11"/>
      <c r="I745" s="11"/>
      <c r="J745" s="11"/>
      <c r="K745" s="11"/>
      <c r="L745" s="11"/>
    </row>
    <row r="746" spans="4:12" hidden="1" x14ac:dyDescent="0.25">
      <c r="D746" s="11"/>
      <c r="E746" s="11"/>
      <c r="F746" s="11"/>
      <c r="G746" s="11"/>
      <c r="H746" s="11"/>
      <c r="I746" s="11"/>
      <c r="J746" s="11"/>
      <c r="K746" s="11"/>
      <c r="L746" s="11"/>
    </row>
    <row r="747" spans="4:12" hidden="1" x14ac:dyDescent="0.25">
      <c r="D747" s="11"/>
      <c r="E747" s="11"/>
      <c r="F747" s="11"/>
      <c r="G747" s="11"/>
      <c r="H747" s="11"/>
      <c r="I747" s="11"/>
      <c r="J747" s="11"/>
      <c r="K747" s="11"/>
      <c r="L747" s="11"/>
    </row>
    <row r="748" spans="4:12" hidden="1" x14ac:dyDescent="0.25">
      <c r="D748" s="11"/>
      <c r="E748" s="11"/>
      <c r="F748" s="11"/>
      <c r="G748" s="11"/>
      <c r="H748" s="11"/>
      <c r="I748" s="11"/>
      <c r="J748" s="11"/>
      <c r="K748" s="11"/>
      <c r="L748" s="11"/>
    </row>
    <row r="749" spans="4:12" hidden="1" x14ac:dyDescent="0.25">
      <c r="D749" s="11"/>
      <c r="E749" s="11"/>
      <c r="F749" s="11"/>
      <c r="G749" s="11"/>
      <c r="H749" s="11"/>
      <c r="I749" s="11"/>
      <c r="J749" s="11"/>
      <c r="K749" s="11"/>
      <c r="L749" s="11"/>
    </row>
    <row r="750" spans="4:12" hidden="1" x14ac:dyDescent="0.25">
      <c r="D750" s="11"/>
      <c r="E750" s="11"/>
      <c r="F750" s="11"/>
      <c r="G750" s="11"/>
      <c r="H750" s="11"/>
      <c r="I750" s="11"/>
      <c r="J750" s="11"/>
      <c r="K750" s="11"/>
      <c r="L750" s="11"/>
    </row>
    <row r="751" spans="4:12" hidden="1" x14ac:dyDescent="0.25">
      <c r="D751" s="11"/>
      <c r="E751" s="11"/>
      <c r="F751" s="11"/>
      <c r="G751" s="11"/>
      <c r="H751" s="11"/>
      <c r="I751" s="11"/>
      <c r="J751" s="11"/>
      <c r="K751" s="11"/>
      <c r="L751" s="11"/>
    </row>
    <row r="752" spans="4:12" hidden="1" x14ac:dyDescent="0.25">
      <c r="D752" s="11"/>
      <c r="E752" s="11"/>
      <c r="F752" s="11"/>
      <c r="G752" s="11"/>
      <c r="H752" s="11"/>
      <c r="I752" s="11"/>
      <c r="J752" s="11"/>
      <c r="K752" s="11"/>
      <c r="L752" s="11"/>
    </row>
    <row r="753" spans="4:12" hidden="1" x14ac:dyDescent="0.25">
      <c r="D753" s="11"/>
      <c r="E753" s="11"/>
      <c r="F753" s="11"/>
      <c r="G753" s="11"/>
      <c r="H753" s="11"/>
      <c r="I753" s="11"/>
      <c r="J753" s="11"/>
      <c r="K753" s="11"/>
      <c r="L753" s="11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H277 H284:H1048576">
    <cfRule type="cellIs" dxfId="15" priority="1" operator="lessThan">
      <formula>-0.1</formula>
    </cfRule>
    <cfRule type="cellIs" dxfId="14" priority="2" operator="greaterThan">
      <formula>0.1</formula>
    </cfRule>
  </conditionalFormatting>
  <conditionalFormatting sqref="K277 K284:K1048576">
    <cfRule type="cellIs" dxfId="13" priority="3" operator="lessThan">
      <formula>-0.1</formula>
    </cfRule>
    <cfRule type="cellIs" dxfId="12" priority="4" operator="greaterThan">
      <formula>0.1</formula>
    </cfRule>
  </conditionalFormatting>
  <pageMargins left="0.2" right="0.2" top="0.75" bottom="0.5" header="0.3" footer="0.3"/>
  <pageSetup paperSize="3" scale="88" fitToHeight="0" orientation="landscape" r:id="rId1"/>
  <headerFooter>
    <oddHeader>&amp;C&amp;"-,Bold"&amp;14FY26 OPERATING BUDGET - BUILDING / CODE ENFORCEMENT - FIRST DRAFT - 12.11.24</oddHead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70148-1BB9-4E97-A42E-FCD7C0702799}">
  <sheetPr>
    <pageSetUpPr fitToPage="1"/>
  </sheetPr>
  <dimension ref="A1:M753"/>
  <sheetViews>
    <sheetView workbookViewId="0"/>
  </sheetViews>
  <sheetFormatPr defaultRowHeight="15" x14ac:dyDescent="0.25"/>
  <cols>
    <col min="1" max="1" width="22" style="4" bestFit="1" customWidth="1"/>
    <col min="2" max="2" width="70.42578125" style="4" bestFit="1" customWidth="1"/>
    <col min="3" max="3" width="14.5703125" style="4" bestFit="1" customWidth="1"/>
    <col min="4" max="7" width="14.5703125" style="4" customWidth="1"/>
    <col min="8" max="8" width="2.7109375" style="4" customWidth="1"/>
    <col min="9" max="9" width="16.42578125" style="4" bestFit="1" customWidth="1"/>
    <col min="10" max="10" width="20" style="4" customWidth="1"/>
    <col min="11" max="11" width="2.7109375" style="4" customWidth="1"/>
    <col min="12" max="12" width="16.42578125" style="37" bestFit="1" customWidth="1"/>
    <col min="13" max="13" width="17.42578125" style="38" customWidth="1"/>
  </cols>
  <sheetData>
    <row r="1" spans="1:13" x14ac:dyDescent="0.25">
      <c r="A1" s="1" t="s">
        <v>0</v>
      </c>
      <c r="B1" s="2" t="s">
        <v>1</v>
      </c>
      <c r="C1" s="52" t="s">
        <v>327</v>
      </c>
      <c r="D1" s="52" t="s">
        <v>328</v>
      </c>
      <c r="E1" s="52" t="s">
        <v>329</v>
      </c>
      <c r="F1" s="52" t="s">
        <v>330</v>
      </c>
      <c r="G1" s="52" t="s">
        <v>331</v>
      </c>
      <c r="H1" s="3"/>
      <c r="I1" s="52" t="s">
        <v>2</v>
      </c>
      <c r="J1" s="52" t="s">
        <v>332</v>
      </c>
      <c r="K1" s="3"/>
      <c r="L1" s="55" t="s">
        <v>3</v>
      </c>
      <c r="M1" s="54" t="s">
        <v>333</v>
      </c>
    </row>
    <row r="2" spans="1:13" x14ac:dyDescent="0.25">
      <c r="A2" s="5"/>
      <c r="B2" s="6"/>
      <c r="C2" s="52"/>
      <c r="D2" s="52"/>
      <c r="E2" s="52"/>
      <c r="F2" s="52"/>
      <c r="G2" s="52"/>
      <c r="H2" s="3"/>
      <c r="I2" s="52"/>
      <c r="J2" s="52"/>
      <c r="K2" s="3"/>
      <c r="L2" s="55"/>
      <c r="M2" s="54"/>
    </row>
    <row r="3" spans="1:13" hidden="1" x14ac:dyDescent="0.25">
      <c r="A3" s="7" t="s">
        <v>4</v>
      </c>
      <c r="B3" s="8" t="s">
        <v>5</v>
      </c>
      <c r="F3" s="4" t="s">
        <v>6</v>
      </c>
      <c r="G3" s="4" t="s">
        <v>6</v>
      </c>
      <c r="H3" s="3"/>
      <c r="I3" s="4" t="s">
        <v>6</v>
      </c>
      <c r="K3" s="3"/>
      <c r="L3" s="37" t="s">
        <v>6</v>
      </c>
    </row>
    <row r="4" spans="1:13" hidden="1" x14ac:dyDescent="0.25">
      <c r="A4" s="9" t="s">
        <v>7</v>
      </c>
      <c r="B4" s="10" t="s">
        <v>8</v>
      </c>
      <c r="D4" s="11"/>
      <c r="E4" s="11"/>
      <c r="F4" s="11"/>
      <c r="G4" s="11"/>
      <c r="H4" s="3"/>
      <c r="I4" s="11"/>
      <c r="J4" s="11"/>
      <c r="K4" s="3"/>
      <c r="L4" s="11"/>
    </row>
    <row r="5" spans="1:13" hidden="1" x14ac:dyDescent="0.25">
      <c r="A5" s="12" t="s">
        <v>9</v>
      </c>
      <c r="B5" s="13" t="s">
        <v>10</v>
      </c>
      <c r="D5" s="11"/>
      <c r="E5" s="11"/>
      <c r="F5" s="11"/>
      <c r="G5" s="11"/>
      <c r="H5" s="3"/>
      <c r="I5" s="11"/>
      <c r="J5" s="11"/>
      <c r="K5" s="3"/>
      <c r="L5" s="11"/>
    </row>
    <row r="6" spans="1:13" hidden="1" x14ac:dyDescent="0.25">
      <c r="A6" s="14" t="s">
        <v>11</v>
      </c>
      <c r="B6" s="15" t="s">
        <v>12</v>
      </c>
      <c r="C6" s="16">
        <v>1687847</v>
      </c>
      <c r="D6" s="11">
        <v>1861910.81</v>
      </c>
      <c r="E6" s="11">
        <v>701889.06</v>
      </c>
      <c r="F6" s="11">
        <v>694253.79</v>
      </c>
      <c r="G6" s="11">
        <v>624561</v>
      </c>
      <c r="H6" s="3"/>
      <c r="I6" s="11">
        <v>500000</v>
      </c>
      <c r="J6" s="11">
        <v>700000</v>
      </c>
      <c r="K6" s="3"/>
      <c r="L6" s="11">
        <v>450000</v>
      </c>
      <c r="M6" s="38">
        <f>+L6/J6</f>
        <v>0.6428571428571429</v>
      </c>
    </row>
    <row r="7" spans="1:13" hidden="1" x14ac:dyDescent="0.25">
      <c r="A7" s="14" t="s">
        <v>13</v>
      </c>
      <c r="B7" s="15" t="s">
        <v>14</v>
      </c>
      <c r="C7" s="16">
        <v>483033</v>
      </c>
      <c r="D7" s="11">
        <v>775190.79</v>
      </c>
      <c r="E7" s="11">
        <v>803097.46</v>
      </c>
      <c r="F7" s="11">
        <v>780181.05</v>
      </c>
      <c r="G7" s="11">
        <v>789090.41</v>
      </c>
      <c r="H7" s="3"/>
      <c r="I7" s="11">
        <v>750000</v>
      </c>
      <c r="J7" s="11">
        <v>825000</v>
      </c>
      <c r="K7" s="3"/>
      <c r="L7" s="11">
        <v>800000</v>
      </c>
      <c r="M7" s="38">
        <f>+L7/J7</f>
        <v>0.96969696969696972</v>
      </c>
    </row>
    <row r="8" spans="1:13" hidden="1" x14ac:dyDescent="0.25">
      <c r="A8" s="14" t="s">
        <v>15</v>
      </c>
      <c r="B8" s="15" t="s">
        <v>16</v>
      </c>
      <c r="C8" s="16"/>
      <c r="D8" s="11">
        <v>207810.64</v>
      </c>
      <c r="E8" s="11">
        <v>354255.71</v>
      </c>
      <c r="F8" s="11">
        <v>438482.53</v>
      </c>
      <c r="G8" s="11">
        <v>432486.6</v>
      </c>
      <c r="H8" s="3"/>
      <c r="I8" s="11">
        <v>500000</v>
      </c>
      <c r="J8" s="11">
        <v>475000</v>
      </c>
      <c r="K8" s="3"/>
      <c r="L8" s="11">
        <v>475000</v>
      </c>
      <c r="M8" s="38">
        <f>+L8/J8</f>
        <v>1</v>
      </c>
    </row>
    <row r="9" spans="1:13" hidden="1" x14ac:dyDescent="0.25">
      <c r="A9" s="14" t="s">
        <v>17</v>
      </c>
      <c r="B9" s="15" t="s">
        <v>18</v>
      </c>
      <c r="C9" s="16">
        <v>60855</v>
      </c>
      <c r="D9" s="11">
        <v>61602.47</v>
      </c>
      <c r="E9" s="11">
        <v>42517.62</v>
      </c>
      <c r="F9" s="11">
        <v>54226.73</v>
      </c>
      <c r="G9" s="11">
        <v>38961.760000000002</v>
      </c>
      <c r="H9" s="3"/>
      <c r="I9" s="11">
        <v>50000</v>
      </c>
      <c r="J9" s="11">
        <v>50000</v>
      </c>
      <c r="K9" s="3"/>
      <c r="L9" s="11">
        <v>50000</v>
      </c>
      <c r="M9" s="38">
        <f>+L9/J9</f>
        <v>1</v>
      </c>
    </row>
    <row r="10" spans="1:13" hidden="1" x14ac:dyDescent="0.25">
      <c r="A10" s="14" t="s">
        <v>19</v>
      </c>
      <c r="B10" s="15" t="s">
        <v>20</v>
      </c>
      <c r="C10" s="16">
        <v>70000</v>
      </c>
      <c r="D10" s="11">
        <v>70000</v>
      </c>
      <c r="E10" s="11">
        <v>70000</v>
      </c>
      <c r="F10" s="11">
        <v>81000</v>
      </c>
      <c r="G10" s="11">
        <v>85000</v>
      </c>
      <c r="H10" s="3"/>
      <c r="I10" s="11">
        <v>85000</v>
      </c>
      <c r="J10" s="11">
        <v>85000</v>
      </c>
      <c r="K10" s="3"/>
      <c r="L10" s="11">
        <v>85000</v>
      </c>
      <c r="M10" s="38">
        <f>+L10/J10</f>
        <v>1</v>
      </c>
    </row>
    <row r="11" spans="1:13" hidden="1" x14ac:dyDescent="0.25">
      <c r="A11" s="14"/>
      <c r="B11" s="15"/>
      <c r="C11" s="16"/>
      <c r="D11" s="11"/>
      <c r="E11" s="11"/>
      <c r="F11" s="11"/>
      <c r="G11" s="11"/>
      <c r="H11" s="3"/>
      <c r="I11" s="11"/>
      <c r="J11" s="11"/>
      <c r="K11" s="3"/>
      <c r="L11" s="11"/>
    </row>
    <row r="12" spans="1:13" hidden="1" x14ac:dyDescent="0.25">
      <c r="A12" s="17" t="s">
        <v>21</v>
      </c>
      <c r="B12" s="18" t="s">
        <v>22</v>
      </c>
      <c r="C12" s="19">
        <f>SUM(C6:C11)</f>
        <v>2301735</v>
      </c>
      <c r="D12" s="11">
        <f>SUM(D6:D11)</f>
        <v>2976514.7100000004</v>
      </c>
      <c r="E12" s="11">
        <f>SUM(E6:E11)</f>
        <v>1971759.85</v>
      </c>
      <c r="F12" s="11">
        <f>SUM(F6:F11)</f>
        <v>2048144.1</v>
      </c>
      <c r="G12" s="11">
        <f>SUM(G6:G11)</f>
        <v>1970099.7700000003</v>
      </c>
      <c r="H12" s="3"/>
      <c r="I12" s="11">
        <f>SUM(I6:I11)</f>
        <v>1885000</v>
      </c>
      <c r="J12" s="11">
        <f>SUM(J6:J11)</f>
        <v>2135000</v>
      </c>
      <c r="K12" s="3"/>
      <c r="L12" s="11">
        <f>SUM(L6:L11)</f>
        <v>1860000</v>
      </c>
      <c r="M12" s="38">
        <f>+L12/J12</f>
        <v>0.87119437939110067</v>
      </c>
    </row>
    <row r="13" spans="1:13" hidden="1" x14ac:dyDescent="0.25">
      <c r="D13" s="11"/>
      <c r="E13" s="11"/>
      <c r="F13" s="11"/>
      <c r="G13" s="11"/>
      <c r="H13" s="3"/>
      <c r="I13" s="11"/>
      <c r="J13" s="11"/>
      <c r="K13" s="3"/>
      <c r="L13" s="11"/>
    </row>
    <row r="14" spans="1:13" hidden="1" x14ac:dyDescent="0.25">
      <c r="A14" s="9" t="s">
        <v>23</v>
      </c>
      <c r="B14" s="10" t="s">
        <v>24</v>
      </c>
      <c r="D14" s="11"/>
      <c r="E14" s="11"/>
      <c r="F14" s="11"/>
      <c r="G14" s="11"/>
      <c r="H14" s="3"/>
      <c r="I14" s="11"/>
      <c r="J14" s="11"/>
      <c r="K14" s="3"/>
      <c r="L14" s="11"/>
    </row>
    <row r="15" spans="1:13" hidden="1" x14ac:dyDescent="0.25">
      <c r="A15" s="12" t="s">
        <v>9</v>
      </c>
      <c r="B15" s="13" t="s">
        <v>10</v>
      </c>
      <c r="D15" s="11"/>
      <c r="E15" s="11"/>
      <c r="F15" s="11"/>
      <c r="G15" s="11"/>
      <c r="H15" s="3"/>
      <c r="I15" s="11"/>
      <c r="J15" s="11"/>
      <c r="K15" s="3"/>
      <c r="L15" s="11"/>
    </row>
    <row r="16" spans="1:13" hidden="1" x14ac:dyDescent="0.25">
      <c r="A16" s="14" t="s">
        <v>25</v>
      </c>
      <c r="B16" s="15" t="s">
        <v>26</v>
      </c>
      <c r="C16" s="16">
        <v>300</v>
      </c>
      <c r="D16" s="11">
        <v>0</v>
      </c>
      <c r="E16" s="11">
        <v>2000</v>
      </c>
      <c r="F16" s="11">
        <v>0</v>
      </c>
      <c r="G16" s="11">
        <v>0</v>
      </c>
      <c r="H16" s="3"/>
      <c r="I16" s="11"/>
      <c r="J16" s="11"/>
      <c r="K16" s="3"/>
      <c r="L16" s="11"/>
    </row>
    <row r="17" spans="1:13" hidden="1" x14ac:dyDescent="0.25">
      <c r="A17" s="14" t="s">
        <v>27</v>
      </c>
      <c r="B17" s="15" t="s">
        <v>28</v>
      </c>
      <c r="C17" s="16">
        <v>114764</v>
      </c>
      <c r="D17" s="11">
        <v>77438</v>
      </c>
      <c r="E17" s="11">
        <v>65382.42</v>
      </c>
      <c r="F17" s="11">
        <v>122334</v>
      </c>
      <c r="G17" s="11">
        <v>130202</v>
      </c>
      <c r="H17" s="3"/>
      <c r="I17" s="11">
        <v>126177</v>
      </c>
      <c r="J17" s="11">
        <v>130000</v>
      </c>
      <c r="K17" s="3"/>
      <c r="L17" s="11">
        <v>130000</v>
      </c>
      <c r="M17" s="38">
        <f>+L17/J17</f>
        <v>1</v>
      </c>
    </row>
    <row r="18" spans="1:13" hidden="1" x14ac:dyDescent="0.25">
      <c r="A18" s="14" t="s">
        <v>29</v>
      </c>
      <c r="B18" s="15" t="s">
        <v>30</v>
      </c>
      <c r="C18" s="16">
        <v>3164</v>
      </c>
      <c r="D18" s="11">
        <v>153</v>
      </c>
      <c r="E18" s="11">
        <v>1692</v>
      </c>
      <c r="F18" s="11">
        <v>0</v>
      </c>
      <c r="G18" s="11">
        <v>0</v>
      </c>
      <c r="H18" s="3"/>
      <c r="I18" s="11">
        <v>0</v>
      </c>
      <c r="J18" s="11"/>
      <c r="K18" s="3"/>
      <c r="L18" s="11">
        <v>0</v>
      </c>
    </row>
    <row r="19" spans="1:13" hidden="1" x14ac:dyDescent="0.25">
      <c r="A19" s="14" t="s">
        <v>31</v>
      </c>
      <c r="B19" s="15" t="s">
        <v>32</v>
      </c>
      <c r="C19" s="16">
        <v>223824</v>
      </c>
      <c r="D19" s="11">
        <v>193711.23</v>
      </c>
      <c r="E19" s="11">
        <v>134371</v>
      </c>
      <c r="F19" s="11">
        <v>346818.04</v>
      </c>
      <c r="G19" s="11">
        <v>300841</v>
      </c>
      <c r="H19" s="3"/>
      <c r="I19" s="11">
        <v>396649</v>
      </c>
      <c r="J19" s="11">
        <v>315000</v>
      </c>
      <c r="K19" s="3"/>
      <c r="L19" s="11">
        <v>325000</v>
      </c>
      <c r="M19" s="38">
        <f t="shared" ref="M19:M26" si="0">+L19/J19</f>
        <v>1.0317460317460319</v>
      </c>
    </row>
    <row r="20" spans="1:13" hidden="1" x14ac:dyDescent="0.25">
      <c r="A20" s="14" t="s">
        <v>33</v>
      </c>
      <c r="B20" s="15" t="s">
        <v>34</v>
      </c>
      <c r="C20" s="16">
        <v>279945</v>
      </c>
      <c r="D20" s="11">
        <v>342602.75</v>
      </c>
      <c r="E20" s="11">
        <v>390473</v>
      </c>
      <c r="F20" s="11">
        <v>425649</v>
      </c>
      <c r="G20" s="11">
        <v>477418</v>
      </c>
      <c r="H20" s="3"/>
      <c r="I20" s="11">
        <v>497337</v>
      </c>
      <c r="J20" s="11">
        <v>477000</v>
      </c>
      <c r="K20" s="3"/>
      <c r="L20" s="11">
        <v>475000</v>
      </c>
      <c r="M20" s="38">
        <f t="shared" si="0"/>
        <v>0.99580712788259962</v>
      </c>
    </row>
    <row r="21" spans="1:13" hidden="1" x14ac:dyDescent="0.25">
      <c r="A21" s="14" t="s">
        <v>35</v>
      </c>
      <c r="B21" s="15" t="s">
        <v>36</v>
      </c>
      <c r="C21" s="16">
        <v>426635</v>
      </c>
      <c r="D21" s="11">
        <v>653781.80000000005</v>
      </c>
      <c r="E21" s="11">
        <v>678994.65</v>
      </c>
      <c r="F21" s="11">
        <v>734454.76</v>
      </c>
      <c r="G21" s="11">
        <v>361053.5</v>
      </c>
      <c r="H21" s="3"/>
      <c r="I21" s="11">
        <v>880085</v>
      </c>
      <c r="J21" s="11">
        <v>361000</v>
      </c>
      <c r="K21" s="3"/>
      <c r="L21" s="11">
        <v>350000</v>
      </c>
      <c r="M21" s="38">
        <f t="shared" si="0"/>
        <v>0.96952908587257614</v>
      </c>
    </row>
    <row r="22" spans="1:13" hidden="1" x14ac:dyDescent="0.25">
      <c r="A22" s="14" t="s">
        <v>37</v>
      </c>
      <c r="B22" s="15" t="s">
        <v>38</v>
      </c>
      <c r="C22" s="16">
        <v>284098</v>
      </c>
      <c r="D22" s="11">
        <v>413351.88</v>
      </c>
      <c r="E22" s="11">
        <v>387474.31</v>
      </c>
      <c r="F22" s="11">
        <v>352498.84</v>
      </c>
      <c r="G22" s="11">
        <v>1173685.8799999999</v>
      </c>
      <c r="H22" s="3"/>
      <c r="I22" s="11">
        <f>411257+128000</f>
        <v>539257</v>
      </c>
      <c r="J22" s="11">
        <v>1173000</v>
      </c>
      <c r="K22" s="3"/>
      <c r="L22" s="11">
        <v>1175000</v>
      </c>
      <c r="M22" s="38">
        <f t="shared" si="0"/>
        <v>1.0017050298380221</v>
      </c>
    </row>
    <row r="23" spans="1:13" hidden="1" x14ac:dyDescent="0.25">
      <c r="A23" s="14" t="s">
        <v>39</v>
      </c>
      <c r="B23" s="15" t="s">
        <v>40</v>
      </c>
      <c r="C23" s="16">
        <v>236588</v>
      </c>
      <c r="D23" s="11">
        <v>712897.88</v>
      </c>
      <c r="E23" s="11">
        <v>681330.11</v>
      </c>
      <c r="F23" s="11">
        <v>833171.71</v>
      </c>
      <c r="G23" s="11">
        <v>530847.86</v>
      </c>
      <c r="H23" s="3"/>
      <c r="I23" s="11">
        <v>600000</v>
      </c>
      <c r="J23" s="11">
        <v>600000</v>
      </c>
      <c r="K23" s="3"/>
      <c r="L23" s="11">
        <v>600000</v>
      </c>
      <c r="M23" s="38">
        <f t="shared" si="0"/>
        <v>1</v>
      </c>
    </row>
    <row r="24" spans="1:13" hidden="1" x14ac:dyDescent="0.25">
      <c r="A24" s="14" t="s">
        <v>41</v>
      </c>
      <c r="B24" s="15" t="s">
        <v>42</v>
      </c>
      <c r="C24" s="16">
        <v>450</v>
      </c>
      <c r="D24" s="11">
        <v>11292.31</v>
      </c>
      <c r="E24" s="11">
        <v>21235</v>
      </c>
      <c r="F24" s="11">
        <v>31050</v>
      </c>
      <c r="G24" s="11">
        <v>12150</v>
      </c>
      <c r="H24" s="3"/>
      <c r="I24" s="11">
        <v>20000</v>
      </c>
      <c r="J24" s="11">
        <v>20000</v>
      </c>
      <c r="K24" s="3"/>
      <c r="L24" s="11">
        <v>20000</v>
      </c>
      <c r="M24" s="38">
        <f t="shared" si="0"/>
        <v>1</v>
      </c>
    </row>
    <row r="25" spans="1:13" hidden="1" x14ac:dyDescent="0.25">
      <c r="A25" s="14" t="s">
        <v>43</v>
      </c>
      <c r="B25" s="15" t="s">
        <v>44</v>
      </c>
      <c r="C25" s="16">
        <v>38200</v>
      </c>
      <c r="D25" s="11">
        <v>46385</v>
      </c>
      <c r="E25" s="11">
        <v>30339</v>
      </c>
      <c r="F25" s="11">
        <v>32890</v>
      </c>
      <c r="G25" s="11">
        <v>49460</v>
      </c>
      <c r="H25" s="3"/>
      <c r="I25" s="11">
        <v>30000</v>
      </c>
      <c r="J25" s="11">
        <v>50000</v>
      </c>
      <c r="K25" s="3"/>
      <c r="L25" s="11">
        <v>35000</v>
      </c>
      <c r="M25" s="38">
        <f t="shared" si="0"/>
        <v>0.7</v>
      </c>
    </row>
    <row r="26" spans="1:13" hidden="1" x14ac:dyDescent="0.25">
      <c r="A26" s="14" t="s">
        <v>45</v>
      </c>
      <c r="B26" s="15" t="s">
        <v>46</v>
      </c>
      <c r="C26" s="16">
        <v>20270</v>
      </c>
      <c r="D26" s="11">
        <v>47741</v>
      </c>
      <c r="E26" s="11">
        <v>54846</v>
      </c>
      <c r="F26" s="11">
        <v>58741</v>
      </c>
      <c r="G26" s="11">
        <v>54402</v>
      </c>
      <c r="H26" s="3"/>
      <c r="I26" s="11">
        <v>55000</v>
      </c>
      <c r="J26" s="11">
        <v>55000</v>
      </c>
      <c r="K26" s="3"/>
      <c r="L26" s="11">
        <v>55000</v>
      </c>
      <c r="M26" s="38">
        <f t="shared" si="0"/>
        <v>1</v>
      </c>
    </row>
    <row r="27" spans="1:13" hidden="1" x14ac:dyDescent="0.25">
      <c r="A27" s="14"/>
      <c r="B27" s="15"/>
      <c r="C27" s="16"/>
      <c r="D27" s="11"/>
      <c r="E27" s="11"/>
      <c r="F27" s="11"/>
      <c r="G27" s="11"/>
      <c r="H27" s="3"/>
      <c r="I27" s="11"/>
      <c r="J27" s="11"/>
      <c r="K27" s="3"/>
      <c r="L27" s="11"/>
    </row>
    <row r="28" spans="1:13" hidden="1" x14ac:dyDescent="0.25">
      <c r="A28" s="17" t="s">
        <v>21</v>
      </c>
      <c r="B28" s="18" t="s">
        <v>47</v>
      </c>
      <c r="C28" s="19">
        <f>SUM(C16:C27)</f>
        <v>1628238</v>
      </c>
      <c r="D28" s="11">
        <f>SUM(D16:D27)</f>
        <v>2499354.85</v>
      </c>
      <c r="E28" s="11">
        <f>SUM(E16:E27)</f>
        <v>2448137.4899999998</v>
      </c>
      <c r="F28" s="11">
        <f>SUM(F16:F27)</f>
        <v>2937607.35</v>
      </c>
      <c r="G28" s="11">
        <f>SUM(G16:G27)</f>
        <v>3090060.2399999998</v>
      </c>
      <c r="H28" s="3"/>
      <c r="I28" s="11">
        <f>SUM(I16:I27)</f>
        <v>3144505</v>
      </c>
      <c r="J28" s="11">
        <f>SUM(J16:J27)</f>
        <v>3181000</v>
      </c>
      <c r="K28" s="3"/>
      <c r="L28" s="11">
        <f>SUM(L16:L27)</f>
        <v>3165000</v>
      </c>
      <c r="M28" s="38">
        <f>+L28/J28</f>
        <v>0.99497013517761712</v>
      </c>
    </row>
    <row r="29" spans="1:13" hidden="1" x14ac:dyDescent="0.25">
      <c r="D29" s="11"/>
      <c r="E29" s="11"/>
      <c r="F29" s="11"/>
      <c r="G29" s="11"/>
      <c r="H29" s="3"/>
      <c r="I29" s="11"/>
      <c r="J29" s="11"/>
      <c r="K29" s="3"/>
      <c r="L29" s="11"/>
    </row>
    <row r="30" spans="1:13" hidden="1" x14ac:dyDescent="0.25">
      <c r="A30" s="9" t="s">
        <v>48</v>
      </c>
      <c r="B30" s="10" t="s">
        <v>49</v>
      </c>
      <c r="D30" s="11"/>
      <c r="E30" s="11"/>
      <c r="F30" s="11"/>
      <c r="G30" s="11"/>
      <c r="H30" s="3"/>
      <c r="I30" s="11"/>
      <c r="J30" s="11"/>
      <c r="K30" s="3"/>
      <c r="L30" s="11"/>
    </row>
    <row r="31" spans="1:13" hidden="1" x14ac:dyDescent="0.25">
      <c r="A31" s="12" t="s">
        <v>9</v>
      </c>
      <c r="B31" s="13" t="s">
        <v>10</v>
      </c>
      <c r="D31" s="11"/>
      <c r="E31" s="11"/>
      <c r="F31" s="11"/>
      <c r="G31" s="11"/>
      <c r="H31" s="3"/>
      <c r="I31" s="11"/>
      <c r="J31" s="11"/>
      <c r="K31" s="3"/>
      <c r="L31" s="11"/>
    </row>
    <row r="32" spans="1:13" hidden="1" x14ac:dyDescent="0.25">
      <c r="A32" s="14" t="s">
        <v>50</v>
      </c>
      <c r="B32" s="15" t="s">
        <v>51</v>
      </c>
      <c r="C32" s="16">
        <v>113079</v>
      </c>
      <c r="D32" s="11">
        <v>229887.54</v>
      </c>
      <c r="E32" s="11">
        <v>145785.64000000001</v>
      </c>
      <c r="F32" s="11">
        <v>264231.57</v>
      </c>
      <c r="G32" s="11">
        <v>271287.63</v>
      </c>
      <c r="H32" s="3"/>
      <c r="I32" s="11">
        <v>301500</v>
      </c>
      <c r="J32" s="11">
        <v>301500</v>
      </c>
      <c r="K32" s="3"/>
      <c r="L32" s="11">
        <v>301500</v>
      </c>
      <c r="M32" s="38">
        <f>+L32/J32</f>
        <v>1</v>
      </c>
    </row>
    <row r="33" spans="1:13" hidden="1" x14ac:dyDescent="0.25">
      <c r="A33" s="14" t="s">
        <v>52</v>
      </c>
      <c r="B33" s="15" t="s">
        <v>53</v>
      </c>
      <c r="C33" s="16">
        <v>51890</v>
      </c>
      <c r="D33" s="11">
        <v>79618.47</v>
      </c>
      <c r="E33" s="11">
        <v>46088.27</v>
      </c>
      <c r="F33" s="11">
        <v>62045.41</v>
      </c>
      <c r="G33" s="11">
        <v>65008.81</v>
      </c>
      <c r="H33" s="3"/>
      <c r="I33" s="11">
        <v>60000</v>
      </c>
      <c r="J33" s="11">
        <v>60000</v>
      </c>
      <c r="K33" s="3"/>
      <c r="L33" s="11">
        <v>60000</v>
      </c>
      <c r="M33" s="38">
        <f>+L33/J33</f>
        <v>1</v>
      </c>
    </row>
    <row r="34" spans="1:13" hidden="1" x14ac:dyDescent="0.25">
      <c r="A34" s="14" t="s">
        <v>54</v>
      </c>
      <c r="B34" s="15" t="s">
        <v>55</v>
      </c>
      <c r="C34" s="16">
        <v>10752</v>
      </c>
      <c r="D34" s="11">
        <v>16602.93</v>
      </c>
      <c r="E34" s="11">
        <v>13156.76</v>
      </c>
      <c r="F34" s="11">
        <v>19345.18</v>
      </c>
      <c r="G34" s="11">
        <v>16161.75</v>
      </c>
      <c r="H34" s="3"/>
      <c r="I34" s="11">
        <v>12500</v>
      </c>
      <c r="J34" s="11">
        <v>12500</v>
      </c>
      <c r="K34" s="3"/>
      <c r="L34" s="11">
        <v>12500</v>
      </c>
      <c r="M34" s="38">
        <f>+L34/J34</f>
        <v>1</v>
      </c>
    </row>
    <row r="35" spans="1:13" hidden="1" x14ac:dyDescent="0.25">
      <c r="A35" s="14" t="s">
        <v>56</v>
      </c>
      <c r="B35" s="15" t="s">
        <v>57</v>
      </c>
      <c r="C35" s="16">
        <v>4920</v>
      </c>
      <c r="D35" s="11">
        <v>9161.61</v>
      </c>
      <c r="E35" s="11">
        <v>7699.16</v>
      </c>
      <c r="F35" s="11">
        <v>4184.49</v>
      </c>
      <c r="G35" s="11">
        <v>3382.75</v>
      </c>
      <c r="H35" s="3"/>
      <c r="I35" s="11">
        <v>4500</v>
      </c>
      <c r="J35" s="11">
        <v>4500</v>
      </c>
      <c r="K35" s="3"/>
      <c r="L35" s="11">
        <v>4500</v>
      </c>
      <c r="M35" s="38">
        <f>+L35/J35</f>
        <v>1</v>
      </c>
    </row>
    <row r="36" spans="1:13" hidden="1" x14ac:dyDescent="0.25">
      <c r="A36" s="14"/>
      <c r="B36" s="15"/>
      <c r="C36" s="16"/>
      <c r="D36" s="11"/>
      <c r="E36" s="11"/>
      <c r="F36" s="11"/>
      <c r="G36" s="11"/>
      <c r="H36" s="3"/>
      <c r="I36" s="11"/>
      <c r="J36" s="11"/>
      <c r="K36" s="3"/>
      <c r="L36" s="11"/>
    </row>
    <row r="37" spans="1:13" hidden="1" x14ac:dyDescent="0.25">
      <c r="A37" s="17" t="s">
        <v>21</v>
      </c>
      <c r="B37" s="18" t="s">
        <v>58</v>
      </c>
      <c r="C37" s="19">
        <f>SUM(C32:C36)</f>
        <v>180641</v>
      </c>
      <c r="D37" s="11">
        <f>SUM(D32:D36)</f>
        <v>335270.55</v>
      </c>
      <c r="E37" s="11">
        <f>SUM(E32:E36)</f>
        <v>212729.83000000002</v>
      </c>
      <c r="F37" s="11">
        <f>SUM(F32:F36)</f>
        <v>349806.64999999997</v>
      </c>
      <c r="G37" s="11">
        <f>SUM(G32:G36)</f>
        <v>355840.94</v>
      </c>
      <c r="H37" s="3"/>
      <c r="I37" s="11">
        <f>SUM(I32:I36)</f>
        <v>378500</v>
      </c>
      <c r="J37" s="11">
        <f>SUM(J32:J36)</f>
        <v>378500</v>
      </c>
      <c r="K37" s="3"/>
      <c r="L37" s="11">
        <f>SUM(L32:L36)</f>
        <v>378500</v>
      </c>
      <c r="M37" s="38">
        <f>+L37/J37</f>
        <v>1</v>
      </c>
    </row>
    <row r="38" spans="1:13" hidden="1" x14ac:dyDescent="0.25">
      <c r="D38" s="11"/>
      <c r="E38" s="11"/>
      <c r="F38" s="11"/>
      <c r="G38" s="11"/>
      <c r="H38" s="3"/>
      <c r="I38" s="11"/>
      <c r="J38" s="11"/>
      <c r="K38" s="3"/>
      <c r="L38" s="11"/>
    </row>
    <row r="39" spans="1:13" hidden="1" x14ac:dyDescent="0.25">
      <c r="A39" s="9" t="s">
        <v>59</v>
      </c>
      <c r="B39" s="10" t="s">
        <v>60</v>
      </c>
      <c r="D39" s="11"/>
      <c r="E39" s="11"/>
      <c r="F39" s="11"/>
      <c r="G39" s="11"/>
      <c r="H39" s="3"/>
      <c r="I39" s="11"/>
      <c r="J39" s="11"/>
      <c r="K39" s="3"/>
      <c r="L39" s="11"/>
    </row>
    <row r="40" spans="1:13" hidden="1" x14ac:dyDescent="0.25">
      <c r="A40" s="12" t="s">
        <v>9</v>
      </c>
      <c r="B40" s="13" t="s">
        <v>10</v>
      </c>
      <c r="D40" s="11"/>
      <c r="E40" s="11"/>
      <c r="F40" s="11"/>
      <c r="G40" s="11"/>
      <c r="H40" s="3"/>
      <c r="I40" s="11"/>
      <c r="J40" s="11"/>
      <c r="K40" s="3"/>
      <c r="L40" s="11"/>
      <c r="M40" s="39"/>
    </row>
    <row r="41" spans="1:13" hidden="1" x14ac:dyDescent="0.25">
      <c r="A41" s="14" t="s">
        <v>61</v>
      </c>
      <c r="B41" s="15" t="s">
        <v>62</v>
      </c>
      <c r="C41" s="16"/>
      <c r="D41" s="11">
        <v>4235.2</v>
      </c>
      <c r="E41" s="11">
        <v>1160</v>
      </c>
      <c r="F41" s="11">
        <v>3900</v>
      </c>
      <c r="G41" s="11">
        <v>0</v>
      </c>
      <c r="H41" s="3"/>
      <c r="I41" s="11"/>
      <c r="J41" s="11"/>
      <c r="K41" s="3"/>
      <c r="L41" s="11"/>
      <c r="M41" s="39"/>
    </row>
    <row r="42" spans="1:13" hidden="1" x14ac:dyDescent="0.25">
      <c r="A42" s="14" t="s">
        <v>63</v>
      </c>
      <c r="B42" s="15" t="s">
        <v>64</v>
      </c>
      <c r="C42" s="16">
        <v>675</v>
      </c>
      <c r="D42" s="11">
        <v>1470</v>
      </c>
      <c r="E42" s="11">
        <v>1120</v>
      </c>
      <c r="F42" s="11">
        <v>1425</v>
      </c>
      <c r="G42" s="11">
        <v>800</v>
      </c>
      <c r="H42" s="3"/>
      <c r="I42" s="11">
        <v>1000</v>
      </c>
      <c r="J42" s="11">
        <v>1000</v>
      </c>
      <c r="K42" s="3"/>
      <c r="L42" s="11">
        <v>1000</v>
      </c>
      <c r="M42" s="38">
        <f>+L42/J42</f>
        <v>1</v>
      </c>
    </row>
    <row r="43" spans="1:13" hidden="1" x14ac:dyDescent="0.25">
      <c r="A43" s="14" t="s">
        <v>65</v>
      </c>
      <c r="B43" s="15" t="s">
        <v>66</v>
      </c>
      <c r="C43" s="16">
        <v>41858</v>
      </c>
      <c r="D43" s="11">
        <v>57783.75</v>
      </c>
      <c r="E43" s="11">
        <v>61252.99</v>
      </c>
      <c r="F43" s="11">
        <v>39974.17</v>
      </c>
      <c r="G43" s="11">
        <v>63880.08</v>
      </c>
      <c r="H43" s="3"/>
      <c r="I43" s="11">
        <v>15000</v>
      </c>
      <c r="J43" s="11">
        <v>63000</v>
      </c>
      <c r="K43" s="3"/>
      <c r="L43" s="11">
        <v>15000</v>
      </c>
      <c r="M43" s="38">
        <f>+L43/J43</f>
        <v>0.23809523809523808</v>
      </c>
    </row>
    <row r="44" spans="1:13" hidden="1" x14ac:dyDescent="0.25">
      <c r="A44" s="14" t="s">
        <v>67</v>
      </c>
      <c r="B44" s="15" t="s">
        <v>68</v>
      </c>
      <c r="C44" s="16">
        <v>42215</v>
      </c>
      <c r="D44" s="11">
        <v>54841.35</v>
      </c>
      <c r="E44" s="11">
        <v>71939.740000000005</v>
      </c>
      <c r="F44" s="11">
        <v>75634.38</v>
      </c>
      <c r="G44" s="11">
        <v>35739.71</v>
      </c>
      <c r="H44" s="3"/>
      <c r="I44" s="11">
        <v>70000</v>
      </c>
      <c r="J44" s="11">
        <v>70000</v>
      </c>
      <c r="K44" s="3"/>
      <c r="L44" s="11">
        <v>70000</v>
      </c>
      <c r="M44" s="38">
        <f>+L44/J44</f>
        <v>1</v>
      </c>
    </row>
    <row r="45" spans="1:13" hidden="1" x14ac:dyDescent="0.25">
      <c r="A45" s="14"/>
      <c r="B45" s="15"/>
      <c r="C45" s="16"/>
      <c r="D45" s="11"/>
      <c r="E45" s="11"/>
      <c r="F45" s="11"/>
      <c r="G45" s="11"/>
      <c r="H45" s="3"/>
      <c r="I45" s="11"/>
      <c r="J45" s="11"/>
      <c r="K45" s="3"/>
      <c r="L45" s="11"/>
    </row>
    <row r="46" spans="1:13" hidden="1" x14ac:dyDescent="0.25">
      <c r="A46" s="17" t="s">
        <v>21</v>
      </c>
      <c r="B46" s="18" t="s">
        <v>69</v>
      </c>
      <c r="C46" s="19">
        <f>SUM(C41:C45)</f>
        <v>84748</v>
      </c>
      <c r="D46" s="11">
        <f>SUM(D41:D45)</f>
        <v>118330.29999999999</v>
      </c>
      <c r="E46" s="11">
        <f>SUM(E41:E45)</f>
        <v>135472.73000000001</v>
      </c>
      <c r="F46" s="11">
        <f>SUM(F41:F45)</f>
        <v>120933.55</v>
      </c>
      <c r="G46" s="11">
        <f>SUM(G41:G45)</f>
        <v>100419.79000000001</v>
      </c>
      <c r="H46" s="3"/>
      <c r="I46" s="11">
        <f>SUM(I41:I45)</f>
        <v>86000</v>
      </c>
      <c r="J46" s="11">
        <f>SUM(J41:J45)</f>
        <v>134000</v>
      </c>
      <c r="K46" s="3"/>
      <c r="L46" s="11">
        <f>SUM(L41:L45)</f>
        <v>86000</v>
      </c>
      <c r="M46" s="38">
        <f>+L46/J46</f>
        <v>0.64179104477611937</v>
      </c>
    </row>
    <row r="47" spans="1:13" hidden="1" x14ac:dyDescent="0.25">
      <c r="D47" s="11"/>
      <c r="E47" s="11"/>
      <c r="F47" s="11"/>
      <c r="G47" s="11"/>
      <c r="H47" s="3"/>
      <c r="I47" s="11"/>
      <c r="J47" s="11"/>
      <c r="K47" s="3"/>
      <c r="L47" s="11"/>
    </row>
    <row r="48" spans="1:13" hidden="1" x14ac:dyDescent="0.25">
      <c r="A48" s="12" t="s">
        <v>9</v>
      </c>
      <c r="B48" s="13" t="s">
        <v>10</v>
      </c>
      <c r="D48" s="11"/>
      <c r="E48" s="11"/>
      <c r="F48" s="11"/>
      <c r="G48" s="11"/>
      <c r="H48" s="3"/>
      <c r="I48" s="11"/>
      <c r="J48" s="11"/>
      <c r="K48" s="3"/>
      <c r="L48" s="11"/>
    </row>
    <row r="49" spans="1:13" hidden="1" x14ac:dyDescent="0.25">
      <c r="A49" s="14" t="s">
        <v>70</v>
      </c>
      <c r="B49" s="15" t="s">
        <v>71</v>
      </c>
      <c r="C49" s="16">
        <v>48300</v>
      </c>
      <c r="D49" s="11">
        <v>482.49</v>
      </c>
      <c r="E49" s="11">
        <v>30.57</v>
      </c>
      <c r="F49" s="11">
        <v>315870.58</v>
      </c>
      <c r="G49" s="11">
        <v>255043.24</v>
      </c>
      <c r="H49" s="3"/>
      <c r="I49" s="11">
        <v>266000</v>
      </c>
      <c r="J49" s="11">
        <v>350000</v>
      </c>
      <c r="K49" s="3"/>
      <c r="L49" s="11">
        <v>250000</v>
      </c>
      <c r="M49" s="38">
        <f>+L49/J49</f>
        <v>0.7142857142857143</v>
      </c>
    </row>
    <row r="50" spans="1:13" hidden="1" x14ac:dyDescent="0.25">
      <c r="A50" s="14"/>
      <c r="B50" s="15"/>
      <c r="C50" s="16"/>
      <c r="D50" s="11"/>
      <c r="E50" s="11"/>
      <c r="F50" s="11"/>
      <c r="G50" s="11"/>
      <c r="H50" s="3"/>
      <c r="I50" s="11">
        <v>0</v>
      </c>
      <c r="J50" s="11"/>
      <c r="K50" s="3"/>
      <c r="L50" s="11">
        <v>0</v>
      </c>
    </row>
    <row r="51" spans="1:13" hidden="1" x14ac:dyDescent="0.25">
      <c r="A51" s="17" t="s">
        <v>21</v>
      </c>
      <c r="B51" s="18" t="s">
        <v>72</v>
      </c>
      <c r="C51" s="19">
        <f>SUM(C49:C50)</f>
        <v>48300</v>
      </c>
      <c r="D51" s="11">
        <f>SUM(D49:D50)</f>
        <v>482.49</v>
      </c>
      <c r="E51" s="11">
        <f>SUM(E49:E50)</f>
        <v>30.57</v>
      </c>
      <c r="F51" s="11">
        <f>SUM(F49:F50)</f>
        <v>315870.58</v>
      </c>
      <c r="G51" s="11">
        <f>SUM(G49:G50)</f>
        <v>255043.24</v>
      </c>
      <c r="H51" s="3"/>
      <c r="I51" s="11">
        <f>SUM(I49:I50)</f>
        <v>266000</v>
      </c>
      <c r="J51" s="11">
        <f>SUM(J49:J50)</f>
        <v>350000</v>
      </c>
      <c r="K51" s="3"/>
      <c r="L51" s="11">
        <f>SUM(L49:L50)</f>
        <v>250000</v>
      </c>
      <c r="M51" s="38">
        <f>+L51/J51</f>
        <v>0.7142857142857143</v>
      </c>
    </row>
    <row r="52" spans="1:13" hidden="1" x14ac:dyDescent="0.25">
      <c r="D52" s="11"/>
      <c r="E52" s="11"/>
      <c r="F52" s="11"/>
      <c r="G52" s="11"/>
      <c r="H52" s="3"/>
      <c r="I52" s="11"/>
      <c r="J52" s="11"/>
      <c r="K52" s="3"/>
      <c r="L52" s="11"/>
    </row>
    <row r="53" spans="1:13" hidden="1" x14ac:dyDescent="0.25">
      <c r="A53" s="9" t="s">
        <v>73</v>
      </c>
      <c r="B53" s="10" t="s">
        <v>74</v>
      </c>
      <c r="D53" s="11"/>
      <c r="E53" s="11"/>
      <c r="F53" s="11"/>
      <c r="G53" s="11"/>
      <c r="H53" s="3"/>
      <c r="I53" s="11"/>
      <c r="J53" s="11"/>
      <c r="K53" s="3"/>
      <c r="L53" s="11"/>
    </row>
    <row r="54" spans="1:13" hidden="1" x14ac:dyDescent="0.25">
      <c r="A54" s="12" t="s">
        <v>9</v>
      </c>
      <c r="B54" s="13" t="s">
        <v>10</v>
      </c>
      <c r="D54" s="11"/>
      <c r="E54" s="11"/>
      <c r="F54" s="11"/>
      <c r="G54" s="11"/>
      <c r="H54" s="3"/>
      <c r="I54" s="11"/>
      <c r="J54" s="11"/>
      <c r="K54" s="3"/>
      <c r="L54" s="11"/>
    </row>
    <row r="55" spans="1:13" hidden="1" x14ac:dyDescent="0.25">
      <c r="A55" s="14" t="s">
        <v>75</v>
      </c>
      <c r="B55" s="15" t="s">
        <v>76</v>
      </c>
      <c r="C55" s="16">
        <v>-50</v>
      </c>
      <c r="D55" s="11">
        <v>4500</v>
      </c>
      <c r="E55" s="11">
        <v>11650</v>
      </c>
      <c r="F55" s="11">
        <v>4750</v>
      </c>
      <c r="G55" s="11">
        <v>3500</v>
      </c>
      <c r="H55" s="3"/>
      <c r="I55" s="11">
        <v>1500</v>
      </c>
      <c r="J55" s="11">
        <v>3500</v>
      </c>
      <c r="K55" s="3"/>
      <c r="L55" s="11">
        <v>1500</v>
      </c>
      <c r="M55" s="38">
        <f>+L55/J55</f>
        <v>0.42857142857142855</v>
      </c>
    </row>
    <row r="56" spans="1:13" hidden="1" x14ac:dyDescent="0.25">
      <c r="A56" s="14" t="s">
        <v>77</v>
      </c>
      <c r="B56" s="15" t="s">
        <v>78</v>
      </c>
      <c r="C56" s="16"/>
      <c r="D56" s="11">
        <v>0</v>
      </c>
      <c r="E56" s="11">
        <v>0</v>
      </c>
      <c r="F56" s="11">
        <v>7645</v>
      </c>
      <c r="G56" s="11">
        <v>0</v>
      </c>
      <c r="H56" s="3"/>
      <c r="I56" s="11"/>
      <c r="J56" s="11"/>
      <c r="K56" s="3"/>
      <c r="L56" s="11"/>
    </row>
    <row r="57" spans="1:13" hidden="1" x14ac:dyDescent="0.25">
      <c r="A57" s="14" t="s">
        <v>79</v>
      </c>
      <c r="B57" s="15" t="s">
        <v>80</v>
      </c>
      <c r="C57" s="16">
        <v>-4961</v>
      </c>
      <c r="D57" s="11">
        <v>47968.47</v>
      </c>
      <c r="E57" s="11">
        <v>30514.71</v>
      </c>
      <c r="F57" s="11">
        <v>10771.09</v>
      </c>
      <c r="G57" s="11">
        <v>24583.79</v>
      </c>
      <c r="H57" s="3"/>
      <c r="I57" s="11">
        <v>2500</v>
      </c>
      <c r="J57" s="11">
        <v>25000</v>
      </c>
      <c r="K57" s="3"/>
      <c r="L57" s="11">
        <v>2500</v>
      </c>
      <c r="M57" s="38">
        <f>+L57/J57</f>
        <v>0.1</v>
      </c>
    </row>
    <row r="58" spans="1:13" hidden="1" x14ac:dyDescent="0.25">
      <c r="A58" s="14" t="s">
        <v>81</v>
      </c>
      <c r="B58" s="15" t="s">
        <v>82</v>
      </c>
      <c r="C58" s="16">
        <v>0</v>
      </c>
      <c r="D58" s="11"/>
      <c r="E58" s="11">
        <v>501</v>
      </c>
      <c r="F58" s="11">
        <v>5879.16</v>
      </c>
      <c r="G58" s="11">
        <v>12312</v>
      </c>
      <c r="H58" s="3"/>
      <c r="I58" s="11">
        <v>1500</v>
      </c>
      <c r="J58" s="11">
        <v>1500</v>
      </c>
      <c r="K58" s="3"/>
      <c r="L58" s="11">
        <v>1500</v>
      </c>
      <c r="M58" s="38">
        <f>+L58/J58</f>
        <v>1</v>
      </c>
    </row>
    <row r="59" spans="1:13" hidden="1" x14ac:dyDescent="0.25">
      <c r="A59" s="14" t="s">
        <v>83</v>
      </c>
      <c r="B59" s="15" t="s">
        <v>84</v>
      </c>
      <c r="C59" s="16">
        <v>37500</v>
      </c>
      <c r="D59" s="11">
        <v>37500</v>
      </c>
      <c r="E59" s="11">
        <v>50000</v>
      </c>
      <c r="F59" s="11">
        <v>50000</v>
      </c>
      <c r="G59" s="11">
        <v>0</v>
      </c>
      <c r="H59" s="3"/>
      <c r="I59" s="11">
        <v>50000</v>
      </c>
      <c r="J59" s="11">
        <v>50000</v>
      </c>
      <c r="K59" s="3"/>
      <c r="L59" s="11">
        <v>50000</v>
      </c>
      <c r="M59" s="38">
        <f>+L59/J59</f>
        <v>1</v>
      </c>
    </row>
    <row r="60" spans="1:13" hidden="1" x14ac:dyDescent="0.25">
      <c r="A60" s="21"/>
      <c r="B60" s="22"/>
      <c r="C60" s="16"/>
      <c r="D60" s="11"/>
      <c r="E60" s="11"/>
      <c r="F60" s="11"/>
      <c r="G60" s="11"/>
      <c r="H60" s="3"/>
      <c r="I60" s="11"/>
      <c r="J60" s="11"/>
      <c r="K60" s="3"/>
      <c r="L60" s="11"/>
    </row>
    <row r="61" spans="1:13" hidden="1" x14ac:dyDescent="0.25">
      <c r="A61" s="17" t="s">
        <v>21</v>
      </c>
      <c r="B61" s="18" t="s">
        <v>85</v>
      </c>
      <c r="C61" s="19">
        <f>SUM(C55:C60)</f>
        <v>32489</v>
      </c>
      <c r="D61" s="11">
        <f>SUM(D55:D60)</f>
        <v>89968.47</v>
      </c>
      <c r="E61" s="11">
        <f>SUM(E55:E60)</f>
        <v>92665.709999999992</v>
      </c>
      <c r="F61" s="11">
        <f>SUM(F55:F60)</f>
        <v>79045.25</v>
      </c>
      <c r="G61" s="11">
        <f>SUM(G55:G60)</f>
        <v>40395.79</v>
      </c>
      <c r="H61" s="3"/>
      <c r="I61" s="11">
        <f>SUM(I55:I60)</f>
        <v>55500</v>
      </c>
      <c r="J61" s="11">
        <f>SUM(J55:J60)</f>
        <v>80000</v>
      </c>
      <c r="K61" s="3"/>
      <c r="L61" s="11">
        <f>SUM(L55:L60)</f>
        <v>55500</v>
      </c>
      <c r="M61" s="38">
        <f>+L61/J61</f>
        <v>0.69374999999999998</v>
      </c>
    </row>
    <row r="62" spans="1:13" hidden="1" x14ac:dyDescent="0.25">
      <c r="D62" s="11"/>
      <c r="E62" s="11"/>
      <c r="F62" s="11"/>
      <c r="G62" s="11"/>
      <c r="H62" s="3"/>
      <c r="I62" s="11"/>
      <c r="J62" s="11"/>
      <c r="K62" s="3"/>
      <c r="L62" s="11"/>
    </row>
    <row r="63" spans="1:13" hidden="1" x14ac:dyDescent="0.25">
      <c r="A63" s="23" t="s">
        <v>86</v>
      </c>
      <c r="B63" s="24" t="s">
        <v>87</v>
      </c>
      <c r="C63" s="25" cm="1">
        <f t="array" ref="C63:C64">+C60:C61+C51+C46+C37+C28+C12</f>
        <v>4243662</v>
      </c>
      <c r="D63" s="11" cm="1">
        <f t="array" ref="D63:D64">+D60:D61+D51+D46+D37+D28+D12</f>
        <v>5929952.9000000004</v>
      </c>
      <c r="E63" s="11" cm="1">
        <f t="array" ref="E63:E64">+E60:E61+E51+E46+E37+E28+E12</f>
        <v>4768130.47</v>
      </c>
      <c r="F63" s="11" cm="1">
        <f t="array" ref="F63:F64">+F60:F61+F51+F46+F37+F28+F12</f>
        <v>5772362.2300000004</v>
      </c>
      <c r="G63" s="11" cm="1">
        <f t="array" ref="G63:G64">+G60:G61+G51+G46+G37+G28+G12</f>
        <v>5771463.9800000004</v>
      </c>
      <c r="H63" s="3"/>
      <c r="I63" s="11" cm="1">
        <f t="array" ref="I63:I64">+I60:I61+I51+I46+I37+I28+I12</f>
        <v>5760005</v>
      </c>
      <c r="J63" s="11" cm="1">
        <f t="array" ref="J63:J64">+J60:J61+J51+J46+J37+J28+J12</f>
        <v>6178500</v>
      </c>
      <c r="K63" s="3"/>
      <c r="L63" s="11" cm="1">
        <f t="array" ref="L63:L64">+L60:L61+L51+L46+L37+L28+L12</f>
        <v>5739500</v>
      </c>
      <c r="M63" s="38">
        <f>+L63/J63</f>
        <v>0.92894715545844464</v>
      </c>
    </row>
    <row r="64" spans="1:13" hidden="1" x14ac:dyDescent="0.25">
      <c r="A64" s="27"/>
      <c r="B64" s="27"/>
      <c r="C64" s="26">
        <v>4276151</v>
      </c>
      <c r="D64" s="4">
        <v>6019921.370000001</v>
      </c>
      <c r="E64" s="4">
        <v>4860796.18</v>
      </c>
      <c r="F64" s="4">
        <v>5851407.4800000004</v>
      </c>
      <c r="G64" s="4">
        <v>5811859.7700000005</v>
      </c>
      <c r="H64" s="3"/>
      <c r="I64" s="4">
        <v>5815505</v>
      </c>
      <c r="J64" s="4">
        <v>6258500</v>
      </c>
      <c r="K64" s="3"/>
      <c r="L64" s="37">
        <v>5795000</v>
      </c>
    </row>
    <row r="65" spans="1:13" hidden="1" x14ac:dyDescent="0.25">
      <c r="A65" s="27"/>
      <c r="B65" s="27"/>
      <c r="C65" s="26"/>
      <c r="D65" s="11"/>
      <c r="E65" s="11"/>
      <c r="F65" s="11"/>
      <c r="G65" s="11"/>
      <c r="H65" s="3"/>
      <c r="I65" s="11"/>
      <c r="J65" s="11"/>
      <c r="K65" s="3"/>
      <c r="L65" s="11"/>
    </row>
    <row r="66" spans="1:13" hidden="1" x14ac:dyDescent="0.25">
      <c r="A66" s="9" t="s">
        <v>88</v>
      </c>
      <c r="B66" s="10" t="s">
        <v>89</v>
      </c>
      <c r="D66" s="11"/>
      <c r="E66" s="11"/>
      <c r="F66" s="11"/>
      <c r="G66" s="11"/>
      <c r="H66" s="3"/>
      <c r="I66" s="11"/>
      <c r="J66" s="11"/>
      <c r="K66" s="3"/>
      <c r="L66" s="11"/>
    </row>
    <row r="67" spans="1:13" hidden="1" x14ac:dyDescent="0.25">
      <c r="A67" s="12" t="s">
        <v>9</v>
      </c>
      <c r="B67" s="13" t="s">
        <v>10</v>
      </c>
      <c r="D67" s="11"/>
      <c r="E67" s="11"/>
      <c r="F67" s="11"/>
      <c r="G67" s="11"/>
      <c r="H67" s="3"/>
      <c r="I67" s="11"/>
      <c r="J67" s="11"/>
      <c r="K67" s="3"/>
      <c r="L67" s="11"/>
    </row>
    <row r="68" spans="1:13" hidden="1" x14ac:dyDescent="0.25">
      <c r="A68" s="14" t="s">
        <v>90</v>
      </c>
      <c r="B68" s="15" t="s">
        <v>91</v>
      </c>
      <c r="C68" s="16">
        <v>26237</v>
      </c>
      <c r="D68" s="11">
        <v>34249.040000000001</v>
      </c>
      <c r="E68" s="11">
        <v>36787.03</v>
      </c>
      <c r="F68" s="11">
        <v>65317.5</v>
      </c>
      <c r="G68" s="11">
        <v>180826.08</v>
      </c>
      <c r="H68" s="3"/>
      <c r="I68" s="11">
        <v>60000</v>
      </c>
      <c r="J68" s="11">
        <v>200000</v>
      </c>
      <c r="K68" s="3"/>
      <c r="L68" s="11">
        <v>200000</v>
      </c>
      <c r="M68" s="38">
        <f t="shared" ref="M68:M84" si="1">+L68/J68</f>
        <v>1</v>
      </c>
    </row>
    <row r="69" spans="1:13" hidden="1" x14ac:dyDescent="0.25">
      <c r="A69" s="14" t="s">
        <v>92</v>
      </c>
      <c r="B69" s="15" t="s">
        <v>93</v>
      </c>
      <c r="C69" s="16">
        <v>15987</v>
      </c>
      <c r="D69" s="11">
        <v>20126.57</v>
      </c>
      <c r="E69" s="11">
        <v>7018.92</v>
      </c>
      <c r="F69" s="11">
        <v>6942.57</v>
      </c>
      <c r="G69" s="11">
        <v>6245.62</v>
      </c>
      <c r="H69" s="3"/>
      <c r="I69" s="11">
        <f>+I6*0.01</f>
        <v>5000</v>
      </c>
      <c r="J69" s="11">
        <v>7000</v>
      </c>
      <c r="K69" s="3"/>
      <c r="L69" s="11">
        <f>0.01*L6</f>
        <v>4500</v>
      </c>
      <c r="M69" s="38">
        <f t="shared" si="1"/>
        <v>0.6428571428571429</v>
      </c>
    </row>
    <row r="70" spans="1:13" hidden="1" x14ac:dyDescent="0.25">
      <c r="A70" s="14" t="s">
        <v>94</v>
      </c>
      <c r="B70" s="15" t="s">
        <v>95</v>
      </c>
      <c r="C70" s="16">
        <v>373</v>
      </c>
      <c r="D70" s="11">
        <v>4546.7</v>
      </c>
      <c r="E70" s="11">
        <v>1736.1</v>
      </c>
      <c r="F70" s="11">
        <v>3225.47</v>
      </c>
      <c r="G70" s="11">
        <v>2965.18</v>
      </c>
      <c r="H70" s="3"/>
      <c r="I70" s="11">
        <v>3000</v>
      </c>
      <c r="J70" s="11">
        <v>3000</v>
      </c>
      <c r="K70" s="3"/>
      <c r="L70" s="11">
        <v>3000</v>
      </c>
      <c r="M70" s="38">
        <f t="shared" si="1"/>
        <v>1</v>
      </c>
    </row>
    <row r="71" spans="1:13" hidden="1" x14ac:dyDescent="0.25">
      <c r="A71" s="14" t="s">
        <v>96</v>
      </c>
      <c r="B71" s="15" t="s">
        <v>97</v>
      </c>
      <c r="C71" s="16">
        <v>6202</v>
      </c>
      <c r="D71" s="11">
        <v>2604.8200000000002</v>
      </c>
      <c r="E71" s="11">
        <v>3101.25</v>
      </c>
      <c r="F71" s="11">
        <v>232</v>
      </c>
      <c r="G71" s="11">
        <v>239</v>
      </c>
      <c r="H71" s="3"/>
      <c r="I71" s="11">
        <v>5000</v>
      </c>
      <c r="J71" s="11">
        <v>500</v>
      </c>
      <c r="K71" s="3"/>
      <c r="L71" s="11">
        <v>5000</v>
      </c>
      <c r="M71" s="38">
        <f t="shared" si="1"/>
        <v>10</v>
      </c>
    </row>
    <row r="72" spans="1:13" hidden="1" x14ac:dyDescent="0.25">
      <c r="A72" s="14" t="s">
        <v>98</v>
      </c>
      <c r="B72" s="15" t="s">
        <v>62</v>
      </c>
      <c r="C72" s="16">
        <v>0</v>
      </c>
      <c r="D72" s="11">
        <v>5600</v>
      </c>
      <c r="E72" s="11">
        <v>5474.97</v>
      </c>
      <c r="F72" s="11">
        <v>11265</v>
      </c>
      <c r="G72" s="11">
        <v>11700</v>
      </c>
      <c r="H72" s="3"/>
      <c r="I72" s="11">
        <v>5000</v>
      </c>
      <c r="J72" s="11">
        <v>12000</v>
      </c>
      <c r="K72" s="3"/>
      <c r="L72" s="11">
        <v>5000</v>
      </c>
      <c r="M72" s="38">
        <f t="shared" si="1"/>
        <v>0.41666666666666669</v>
      </c>
    </row>
    <row r="73" spans="1:13" hidden="1" x14ac:dyDescent="0.25">
      <c r="A73" s="14" t="s">
        <v>99</v>
      </c>
      <c r="B73" s="15" t="s">
        <v>100</v>
      </c>
      <c r="C73" s="16">
        <v>3410</v>
      </c>
      <c r="D73" s="11">
        <v>1195</v>
      </c>
      <c r="E73" s="11">
        <v>8127.02</v>
      </c>
      <c r="F73" s="11">
        <v>6156</v>
      </c>
      <c r="G73" s="11">
        <v>8940</v>
      </c>
      <c r="H73" s="3"/>
      <c r="I73" s="11">
        <v>5000</v>
      </c>
      <c r="J73" s="11">
        <v>10000</v>
      </c>
      <c r="K73" s="3"/>
      <c r="L73" s="11">
        <v>5000</v>
      </c>
      <c r="M73" s="38">
        <f t="shared" si="1"/>
        <v>0.5</v>
      </c>
    </row>
    <row r="74" spans="1:13" hidden="1" x14ac:dyDescent="0.25">
      <c r="A74" s="14" t="s">
        <v>101</v>
      </c>
      <c r="B74" s="15" t="s">
        <v>102</v>
      </c>
      <c r="C74" s="16">
        <f>57845+2373</f>
        <v>60218</v>
      </c>
      <c r="D74" s="11">
        <v>56921.25</v>
      </c>
      <c r="E74" s="11">
        <v>37022.5</v>
      </c>
      <c r="F74" s="11">
        <v>81058.55</v>
      </c>
      <c r="G74" s="11">
        <v>70914.41</v>
      </c>
      <c r="H74" s="3"/>
      <c r="I74" s="11">
        <v>100000</v>
      </c>
      <c r="J74" s="11">
        <v>100000</v>
      </c>
      <c r="K74" s="3"/>
      <c r="L74" s="11">
        <v>100000</v>
      </c>
      <c r="M74" s="38">
        <f t="shared" si="1"/>
        <v>1</v>
      </c>
    </row>
    <row r="75" spans="1:13" hidden="1" x14ac:dyDescent="0.25">
      <c r="A75" s="14" t="s">
        <v>103</v>
      </c>
      <c r="B75" s="15" t="s">
        <v>104</v>
      </c>
      <c r="C75" s="16">
        <v>21000</v>
      </c>
      <c r="D75" s="11">
        <v>24500</v>
      </c>
      <c r="E75" s="11">
        <v>31990</v>
      </c>
      <c r="F75" s="11">
        <v>55595</v>
      </c>
      <c r="G75" s="11">
        <v>67393</v>
      </c>
      <c r="H75" s="3"/>
      <c r="I75" s="11">
        <v>60000</v>
      </c>
      <c r="J75" s="11">
        <v>68000</v>
      </c>
      <c r="K75" s="3"/>
      <c r="L75" s="11">
        <v>65000</v>
      </c>
      <c r="M75" s="38">
        <f t="shared" si="1"/>
        <v>0.95588235294117652</v>
      </c>
    </row>
    <row r="76" spans="1:13" hidden="1" x14ac:dyDescent="0.25">
      <c r="A76" s="14" t="s">
        <v>105</v>
      </c>
      <c r="B76" s="15" t="s">
        <v>106</v>
      </c>
      <c r="C76" s="16">
        <v>0</v>
      </c>
      <c r="D76" s="11">
        <v>0</v>
      </c>
      <c r="E76" s="11">
        <v>0</v>
      </c>
      <c r="F76" s="11">
        <v>0</v>
      </c>
      <c r="G76" s="11">
        <v>0</v>
      </c>
      <c r="H76" s="3"/>
      <c r="I76" s="11">
        <v>2000</v>
      </c>
      <c r="J76" s="11">
        <v>2000</v>
      </c>
      <c r="K76" s="3"/>
      <c r="L76" s="11">
        <v>0</v>
      </c>
      <c r="M76" s="38">
        <f t="shared" si="1"/>
        <v>0</v>
      </c>
    </row>
    <row r="77" spans="1:13" hidden="1" x14ac:dyDescent="0.25">
      <c r="A77" s="14" t="s">
        <v>107</v>
      </c>
      <c r="B77" s="15" t="s">
        <v>108</v>
      </c>
      <c r="C77" s="16">
        <v>970</v>
      </c>
      <c r="D77" s="11">
        <v>280</v>
      </c>
      <c r="E77" s="11">
        <v>14559.11</v>
      </c>
      <c r="F77" s="11">
        <v>8440.1</v>
      </c>
      <c r="G77" s="11">
        <v>3170</v>
      </c>
      <c r="H77" s="3"/>
      <c r="I77" s="11">
        <v>3000</v>
      </c>
      <c r="J77" s="11">
        <v>3000</v>
      </c>
      <c r="K77" s="3"/>
      <c r="L77" s="11">
        <v>3000</v>
      </c>
      <c r="M77" s="38">
        <f t="shared" si="1"/>
        <v>1</v>
      </c>
    </row>
    <row r="78" spans="1:13" hidden="1" x14ac:dyDescent="0.25">
      <c r="A78" s="14" t="s">
        <v>109</v>
      </c>
      <c r="B78" s="15" t="s">
        <v>110</v>
      </c>
      <c r="C78" s="16">
        <v>79966</v>
      </c>
      <c r="D78" s="11">
        <v>105164.45</v>
      </c>
      <c r="E78" s="11">
        <v>88000.18</v>
      </c>
      <c r="F78" s="11">
        <v>134525.44</v>
      </c>
      <c r="G78" s="11">
        <v>60944.78</v>
      </c>
      <c r="H78" s="3"/>
      <c r="I78" s="11">
        <v>85000</v>
      </c>
      <c r="J78" s="11">
        <v>85000</v>
      </c>
      <c r="K78" s="3"/>
      <c r="L78" s="11">
        <v>85000</v>
      </c>
      <c r="M78" s="38">
        <f t="shared" si="1"/>
        <v>1</v>
      </c>
    </row>
    <row r="79" spans="1:13" hidden="1" x14ac:dyDescent="0.25">
      <c r="A79" s="14">
        <v>6010950</v>
      </c>
      <c r="B79" s="15" t="s">
        <v>111</v>
      </c>
      <c r="C79" s="16">
        <v>0</v>
      </c>
      <c r="D79" s="11"/>
      <c r="E79" s="11"/>
      <c r="F79" s="11">
        <v>12656.25</v>
      </c>
      <c r="G79" s="11">
        <v>18002.84</v>
      </c>
      <c r="H79" s="3"/>
      <c r="I79" s="11">
        <v>50000</v>
      </c>
      <c r="J79" s="11">
        <v>25000</v>
      </c>
      <c r="K79" s="3"/>
      <c r="L79" s="11">
        <v>50000</v>
      </c>
      <c r="M79" s="38">
        <f t="shared" si="1"/>
        <v>2</v>
      </c>
    </row>
    <row r="80" spans="1:13" hidden="1" x14ac:dyDescent="0.25">
      <c r="A80" s="14" t="s">
        <v>112</v>
      </c>
      <c r="B80" s="15" t="s">
        <v>113</v>
      </c>
      <c r="C80" s="16">
        <v>8750</v>
      </c>
      <c r="D80" s="11">
        <v>10250</v>
      </c>
      <c r="E80" s="11">
        <v>10200</v>
      </c>
      <c r="F80" s="11">
        <v>10650</v>
      </c>
      <c r="G80" s="11">
        <v>6400</v>
      </c>
      <c r="H80" s="3"/>
      <c r="I80" s="11">
        <v>15000</v>
      </c>
      <c r="J80" s="11">
        <v>15000</v>
      </c>
      <c r="K80" s="3"/>
      <c r="L80" s="11">
        <v>20000</v>
      </c>
      <c r="M80" s="38">
        <f t="shared" si="1"/>
        <v>1.3333333333333333</v>
      </c>
    </row>
    <row r="81" spans="1:13" hidden="1" x14ac:dyDescent="0.25">
      <c r="A81" s="14" t="s">
        <v>114</v>
      </c>
      <c r="B81" s="15" t="s">
        <v>115</v>
      </c>
      <c r="C81" s="16">
        <v>0</v>
      </c>
      <c r="D81" s="11">
        <v>27958.95</v>
      </c>
      <c r="E81" s="11">
        <v>6961.88</v>
      </c>
      <c r="F81" s="11">
        <v>26351.88</v>
      </c>
      <c r="G81" s="11">
        <v>10292.4</v>
      </c>
      <c r="H81" s="3"/>
      <c r="I81" s="11">
        <v>9000</v>
      </c>
      <c r="J81" s="11">
        <v>13000</v>
      </c>
      <c r="K81" s="3"/>
      <c r="L81" s="11">
        <v>15000</v>
      </c>
      <c r="M81" s="38">
        <f t="shared" si="1"/>
        <v>1.1538461538461537</v>
      </c>
    </row>
    <row r="82" spans="1:13" hidden="1" x14ac:dyDescent="0.25">
      <c r="A82" s="14" t="s">
        <v>116</v>
      </c>
      <c r="B82" s="15" t="s">
        <v>117</v>
      </c>
      <c r="C82" s="16">
        <v>5788</v>
      </c>
      <c r="D82" s="11">
        <v>4300</v>
      </c>
      <c r="E82" s="11">
        <v>4869</v>
      </c>
      <c r="F82" s="11">
        <v>4340</v>
      </c>
      <c r="G82" s="11">
        <v>2125</v>
      </c>
      <c r="H82" s="3"/>
      <c r="I82" s="11">
        <v>6500</v>
      </c>
      <c r="J82" s="11">
        <v>6500</v>
      </c>
      <c r="K82" s="3"/>
      <c r="L82" s="11">
        <v>5000</v>
      </c>
      <c r="M82" s="38">
        <f t="shared" si="1"/>
        <v>0.76923076923076927</v>
      </c>
    </row>
    <row r="83" spans="1:13" hidden="1" x14ac:dyDescent="0.25">
      <c r="A83" s="14" t="s">
        <v>118</v>
      </c>
      <c r="B83" s="15" t="s">
        <v>119</v>
      </c>
      <c r="C83" s="16">
        <v>18709</v>
      </c>
      <c r="D83" s="11">
        <v>13876.48</v>
      </c>
      <c r="E83" s="11">
        <v>18187.78</v>
      </c>
      <c r="F83" s="11">
        <v>15407.18</v>
      </c>
      <c r="G83" s="11">
        <v>110.43</v>
      </c>
      <c r="H83" s="3"/>
      <c r="I83" s="11">
        <v>7500</v>
      </c>
      <c r="J83" s="11">
        <v>7500</v>
      </c>
      <c r="K83" s="3"/>
      <c r="L83" s="11">
        <v>7500</v>
      </c>
      <c r="M83" s="38">
        <f t="shared" si="1"/>
        <v>1</v>
      </c>
    </row>
    <row r="84" spans="1:13" hidden="1" x14ac:dyDescent="0.25">
      <c r="A84" s="14" t="s">
        <v>120</v>
      </c>
      <c r="B84" s="15" t="s">
        <v>121</v>
      </c>
      <c r="C84" s="16">
        <v>61378</v>
      </c>
      <c r="D84" s="11">
        <v>40060.879999999997</v>
      </c>
      <c r="E84" s="11">
        <v>1266.28</v>
      </c>
      <c r="F84" s="11">
        <v>36224.44</v>
      </c>
      <c r="G84" s="11">
        <v>14761.21</v>
      </c>
      <c r="H84" s="3"/>
      <c r="I84" s="11">
        <v>35000</v>
      </c>
      <c r="J84" s="11">
        <v>35000</v>
      </c>
      <c r="K84" s="3"/>
      <c r="L84" s="11">
        <v>20000</v>
      </c>
      <c r="M84" s="38">
        <f t="shared" si="1"/>
        <v>0.5714285714285714</v>
      </c>
    </row>
    <row r="85" spans="1:13" hidden="1" x14ac:dyDescent="0.25">
      <c r="A85" s="14"/>
      <c r="B85" s="15"/>
      <c r="C85" s="16"/>
      <c r="D85" s="11"/>
      <c r="E85" s="11"/>
      <c r="F85" s="11"/>
      <c r="G85" s="11"/>
      <c r="H85" s="3"/>
      <c r="I85" s="11"/>
      <c r="J85" s="11"/>
      <c r="K85" s="3"/>
      <c r="L85" s="11"/>
    </row>
    <row r="86" spans="1:13" hidden="1" x14ac:dyDescent="0.25">
      <c r="A86" s="29"/>
      <c r="B86" s="30" t="s">
        <v>122</v>
      </c>
      <c r="C86" s="16">
        <f>SUM(C68:C84)</f>
        <v>308988</v>
      </c>
      <c r="D86" s="11">
        <f>SUM(D68:D84)</f>
        <v>351634.14</v>
      </c>
      <c r="E86" s="11">
        <f>SUM(E68:E84)</f>
        <v>275302.02</v>
      </c>
      <c r="F86" s="11">
        <f>SUM(F68:F84)</f>
        <v>478387.38</v>
      </c>
      <c r="G86" s="11">
        <f>SUM(G68:G84)</f>
        <v>465029.95</v>
      </c>
      <c r="H86" s="3"/>
      <c r="I86" s="11">
        <f>SUM(I68:I84)</f>
        <v>456000</v>
      </c>
      <c r="J86" s="11">
        <f>SUM(J68:J84)</f>
        <v>592500</v>
      </c>
      <c r="K86" s="3"/>
      <c r="L86" s="11">
        <f>SUM(L68:L84)</f>
        <v>593000</v>
      </c>
      <c r="M86" s="38">
        <f>+L86/J86</f>
        <v>1.0008438818565402</v>
      </c>
    </row>
    <row r="87" spans="1:13" hidden="1" x14ac:dyDescent="0.25">
      <c r="A87" s="29"/>
      <c r="B87" s="30"/>
      <c r="C87" s="16"/>
      <c r="D87" s="11"/>
      <c r="E87" s="11"/>
      <c r="F87" s="11"/>
      <c r="G87" s="11"/>
      <c r="H87" s="3"/>
      <c r="I87" s="11"/>
      <c r="J87" s="11"/>
      <c r="K87" s="3"/>
      <c r="L87" s="11"/>
    </row>
    <row r="88" spans="1:13" hidden="1" x14ac:dyDescent="0.25">
      <c r="A88" s="14" t="s">
        <v>123</v>
      </c>
      <c r="B88" s="15" t="s">
        <v>124</v>
      </c>
      <c r="C88" s="16">
        <v>238952</v>
      </c>
      <c r="D88" s="11">
        <v>299344.71999999997</v>
      </c>
      <c r="E88" s="11">
        <v>296161.17</v>
      </c>
      <c r="F88" s="11">
        <v>348848.89</v>
      </c>
      <c r="G88" s="11">
        <v>211577.23</v>
      </c>
      <c r="H88" s="3"/>
      <c r="I88" s="11">
        <v>381989</v>
      </c>
      <c r="J88" s="11">
        <v>381989</v>
      </c>
      <c r="K88" s="3"/>
      <c r="L88" s="11">
        <f>+'[1]Non-Union - 3.5%'!$I$13+'[1]Non-Union - 3.5%'!$V$13</f>
        <v>400796.10425099998</v>
      </c>
      <c r="M88" s="38">
        <f t="shared" ref="M88:M108" si="2">+L88/J88</f>
        <v>1.0492346749539907</v>
      </c>
    </row>
    <row r="89" spans="1:13" hidden="1" x14ac:dyDescent="0.25">
      <c r="A89" s="14" t="s">
        <v>125</v>
      </c>
      <c r="B89" s="15" t="s">
        <v>126</v>
      </c>
      <c r="C89" s="16">
        <v>19656</v>
      </c>
      <c r="D89" s="11">
        <v>24665.38</v>
      </c>
      <c r="E89" s="11">
        <v>23771.06</v>
      </c>
      <c r="F89" s="11">
        <v>25648.01</v>
      </c>
      <c r="G89" s="11">
        <v>18946.3</v>
      </c>
      <c r="H89" s="3"/>
      <c r="I89" s="11">
        <v>30559</v>
      </c>
      <c r="J89" s="11">
        <v>30559</v>
      </c>
      <c r="K89" s="3"/>
      <c r="L89" s="11">
        <f>+'[1]Non-Union - 3.5%'!$P$13+'[1]Non-Union - 3.5%'!$Z$13</f>
        <v>32063.68834008</v>
      </c>
      <c r="M89" s="38">
        <f t="shared" si="2"/>
        <v>1.0492387951202591</v>
      </c>
    </row>
    <row r="90" spans="1:13" hidden="1" x14ac:dyDescent="0.25">
      <c r="A90" s="14" t="s">
        <v>127</v>
      </c>
      <c r="B90" s="15" t="s">
        <v>128</v>
      </c>
      <c r="C90" s="16">
        <v>45927</v>
      </c>
      <c r="D90" s="11">
        <v>58698.76</v>
      </c>
      <c r="E90" s="11">
        <v>67570.789999999994</v>
      </c>
      <c r="F90" s="11">
        <v>64434.796000000002</v>
      </c>
      <c r="G90" s="11">
        <v>51089.38</v>
      </c>
      <c r="H90" s="3"/>
      <c r="I90" s="11">
        <f>67402+3616+1226+136</f>
        <v>72380</v>
      </c>
      <c r="J90" s="11">
        <v>72380</v>
      </c>
      <c r="K90" s="3"/>
      <c r="L90" s="11">
        <f>+SUM('[1]Non-Union - 3.5%'!$K$13:$M$13)</f>
        <v>85547.279999999984</v>
      </c>
      <c r="M90" s="38">
        <f t="shared" si="2"/>
        <v>1.1819187620889746</v>
      </c>
    </row>
    <row r="91" spans="1:13" hidden="1" x14ac:dyDescent="0.25">
      <c r="A91" s="14" t="s">
        <v>129</v>
      </c>
      <c r="B91" s="15" t="s">
        <v>130</v>
      </c>
      <c r="C91" s="16">
        <v>4516</v>
      </c>
      <c r="D91" s="11">
        <v>3310.13</v>
      </c>
      <c r="E91" s="11">
        <v>783.71</v>
      </c>
      <c r="F91" s="11">
        <v>3864.75</v>
      </c>
      <c r="G91" s="11">
        <v>2659.38</v>
      </c>
      <c r="H91" s="3"/>
      <c r="I91" s="11">
        <v>4112</v>
      </c>
      <c r="J91" s="11">
        <v>4112</v>
      </c>
      <c r="K91" s="3"/>
      <c r="L91" s="11">
        <f>+'[1]Non-Union - 3.5%'!$O$13+'[1]Non-Union - 3.5%'!$X$13</f>
        <v>4321.0660252799998</v>
      </c>
      <c r="M91" s="38">
        <f t="shared" si="2"/>
        <v>1.0508429049805448</v>
      </c>
    </row>
    <row r="92" spans="1:13" hidden="1" x14ac:dyDescent="0.25">
      <c r="A92" s="14" t="s">
        <v>131</v>
      </c>
      <c r="B92" s="15" t="s">
        <v>132</v>
      </c>
      <c r="C92" s="16">
        <v>2521</v>
      </c>
      <c r="D92" s="11">
        <v>2307.63</v>
      </c>
      <c r="E92" s="11">
        <v>3053.15</v>
      </c>
      <c r="F92" s="11">
        <v>3349.54</v>
      </c>
      <c r="G92" s="11">
        <v>6215.25</v>
      </c>
      <c r="H92" s="3"/>
      <c r="I92" s="11">
        <v>496</v>
      </c>
      <c r="J92" s="11">
        <v>496</v>
      </c>
      <c r="K92" s="3"/>
      <c r="L92" s="11">
        <f>+'[1]Non-Union - 3.5%'!$Y$13+'[1]Non-Union - 3.5%'!$R$13</f>
        <v>522.03493552630005</v>
      </c>
      <c r="M92" s="38">
        <f t="shared" si="2"/>
        <v>1.0524897893675405</v>
      </c>
    </row>
    <row r="93" spans="1:13" hidden="1" x14ac:dyDescent="0.25">
      <c r="A93" s="14" t="s">
        <v>133</v>
      </c>
      <c r="B93" s="15" t="s">
        <v>134</v>
      </c>
      <c r="C93" s="16">
        <v>0</v>
      </c>
      <c r="D93" s="11">
        <v>11442.46</v>
      </c>
      <c r="E93" s="11">
        <v>4424.22</v>
      </c>
      <c r="F93" s="11">
        <v>3650.56</v>
      </c>
      <c r="G93" s="11">
        <v>3376.96</v>
      </c>
      <c r="H93" s="3"/>
      <c r="I93" s="11">
        <v>5000</v>
      </c>
      <c r="J93" s="11">
        <v>5000</v>
      </c>
      <c r="K93" s="3"/>
      <c r="L93" s="11">
        <v>5000</v>
      </c>
      <c r="M93" s="38">
        <f t="shared" si="2"/>
        <v>1</v>
      </c>
    </row>
    <row r="94" spans="1:13" hidden="1" x14ac:dyDescent="0.25">
      <c r="A94" s="14" t="s">
        <v>135</v>
      </c>
      <c r="B94" s="15" t="s">
        <v>136</v>
      </c>
      <c r="C94" s="16">
        <v>0</v>
      </c>
      <c r="D94" s="11">
        <v>1059.43</v>
      </c>
      <c r="E94" s="11">
        <v>550.42999999999995</v>
      </c>
      <c r="F94" s="11">
        <v>323.07</v>
      </c>
      <c r="G94" s="11">
        <v>293.18</v>
      </c>
      <c r="H94" s="3"/>
      <c r="I94" s="11">
        <v>450</v>
      </c>
      <c r="J94" s="11">
        <v>450</v>
      </c>
      <c r="K94" s="3"/>
      <c r="L94" s="11">
        <v>450</v>
      </c>
      <c r="M94" s="38">
        <f t="shared" si="2"/>
        <v>1</v>
      </c>
    </row>
    <row r="95" spans="1:13" hidden="1" x14ac:dyDescent="0.25">
      <c r="A95" s="14" t="s">
        <v>137</v>
      </c>
      <c r="B95" s="15" t="s">
        <v>138</v>
      </c>
      <c r="C95" s="16">
        <v>12</v>
      </c>
      <c r="D95" s="11">
        <v>19.940000000000001</v>
      </c>
      <c r="E95" s="11">
        <v>117.15</v>
      </c>
      <c r="F95" s="11">
        <v>650.58000000000004</v>
      </c>
      <c r="G95" s="11">
        <v>-239.21</v>
      </c>
      <c r="H95" s="3"/>
      <c r="I95" s="11">
        <v>15</v>
      </c>
      <c r="J95" s="11">
        <v>15</v>
      </c>
      <c r="K95" s="3"/>
      <c r="L95" s="11">
        <v>15</v>
      </c>
      <c r="M95" s="38">
        <f t="shared" si="2"/>
        <v>1</v>
      </c>
    </row>
    <row r="96" spans="1:13" hidden="1" x14ac:dyDescent="0.25">
      <c r="A96" s="14" t="s">
        <v>139</v>
      </c>
      <c r="B96" s="15" t="s">
        <v>140</v>
      </c>
      <c r="C96" s="16">
        <v>15361</v>
      </c>
      <c r="D96" s="11">
        <v>19630.669999999998</v>
      </c>
      <c r="E96" s="11">
        <v>17868.97</v>
      </c>
      <c r="F96" s="11">
        <v>22859.69</v>
      </c>
      <c r="G96" s="11">
        <v>21956.58</v>
      </c>
      <c r="H96" s="3"/>
      <c r="I96" s="11">
        <v>30000</v>
      </c>
      <c r="J96" s="11">
        <v>30000</v>
      </c>
      <c r="K96" s="3"/>
      <c r="L96" s="11">
        <v>30000</v>
      </c>
      <c r="M96" s="38">
        <f t="shared" si="2"/>
        <v>1</v>
      </c>
    </row>
    <row r="97" spans="1:13" hidden="1" x14ac:dyDescent="0.25">
      <c r="A97" s="14" t="s">
        <v>141</v>
      </c>
      <c r="B97" s="15" t="s">
        <v>142</v>
      </c>
      <c r="C97" s="16">
        <v>2450</v>
      </c>
      <c r="D97" s="11">
        <v>2907.5</v>
      </c>
      <c r="E97" s="11">
        <v>2185</v>
      </c>
      <c r="F97" s="11">
        <v>3020</v>
      </c>
      <c r="G97" s="11">
        <v>3274</v>
      </c>
      <c r="H97" s="3"/>
      <c r="I97" s="11">
        <v>2900</v>
      </c>
      <c r="J97" s="11">
        <v>6000</v>
      </c>
      <c r="K97" s="3"/>
      <c r="L97" s="11">
        <v>9500</v>
      </c>
      <c r="M97" s="38">
        <f t="shared" si="2"/>
        <v>1.5833333333333333</v>
      </c>
    </row>
    <row r="98" spans="1:13" hidden="1" x14ac:dyDescent="0.25">
      <c r="A98" s="14" t="s">
        <v>143</v>
      </c>
      <c r="B98" s="15" t="s">
        <v>144</v>
      </c>
      <c r="C98" s="16">
        <v>212</v>
      </c>
      <c r="D98" s="11">
        <v>427.5</v>
      </c>
      <c r="E98" s="11">
        <v>432</v>
      </c>
      <c r="F98" s="11">
        <v>438</v>
      </c>
      <c r="G98" s="11">
        <v>441</v>
      </c>
      <c r="H98" s="3"/>
      <c r="I98" s="11">
        <v>500</v>
      </c>
      <c r="J98" s="11">
        <v>500</v>
      </c>
      <c r="K98" s="3"/>
      <c r="L98" s="11">
        <v>500</v>
      </c>
      <c r="M98" s="38">
        <f t="shared" si="2"/>
        <v>1</v>
      </c>
    </row>
    <row r="99" spans="1:13" hidden="1" x14ac:dyDescent="0.25">
      <c r="A99" s="14" t="s">
        <v>145</v>
      </c>
      <c r="B99" s="15" t="s">
        <v>146</v>
      </c>
      <c r="C99" s="16">
        <v>4463</v>
      </c>
      <c r="D99" s="11">
        <v>1800.73</v>
      </c>
      <c r="E99" s="11">
        <v>547.07000000000005</v>
      </c>
      <c r="F99" s="11">
        <v>8821.2900000000009</v>
      </c>
      <c r="G99" s="11">
        <v>3991.24</v>
      </c>
      <c r="H99" s="3"/>
      <c r="I99" s="11">
        <v>2500</v>
      </c>
      <c r="J99" s="11">
        <v>2500</v>
      </c>
      <c r="K99" s="3"/>
      <c r="L99" s="11">
        <v>4000</v>
      </c>
      <c r="M99" s="38">
        <f t="shared" si="2"/>
        <v>1.6</v>
      </c>
    </row>
    <row r="100" spans="1:13" hidden="1" x14ac:dyDescent="0.25">
      <c r="A100" s="14" t="s">
        <v>147</v>
      </c>
      <c r="B100" s="15" t="s">
        <v>148</v>
      </c>
      <c r="C100" s="16">
        <v>800</v>
      </c>
      <c r="D100" s="11">
        <v>5400</v>
      </c>
      <c r="E100" s="11">
        <v>4649.26</v>
      </c>
      <c r="F100" s="11">
        <f>27.75+5712.29</f>
        <v>5740.04</v>
      </c>
      <c r="G100" s="11">
        <v>3693.08</v>
      </c>
      <c r="H100" s="3"/>
      <c r="I100" s="11">
        <v>7000</v>
      </c>
      <c r="J100" s="11">
        <v>7000</v>
      </c>
      <c r="K100" s="3"/>
      <c r="L100" s="11">
        <v>7000</v>
      </c>
      <c r="M100" s="38">
        <f t="shared" si="2"/>
        <v>1</v>
      </c>
    </row>
    <row r="101" spans="1:13" hidden="1" x14ac:dyDescent="0.25">
      <c r="A101" s="14" t="s">
        <v>149</v>
      </c>
      <c r="B101" s="15" t="s">
        <v>150</v>
      </c>
      <c r="C101" s="16">
        <v>6393</v>
      </c>
      <c r="D101" s="11">
        <v>13331.78</v>
      </c>
      <c r="E101" s="11">
        <v>6194.78</v>
      </c>
      <c r="F101" s="11">
        <v>10546.53</v>
      </c>
      <c r="G101" s="11">
        <v>8908.3700000000008</v>
      </c>
      <c r="H101" s="3"/>
      <c r="I101" s="11">
        <v>12000</v>
      </c>
      <c r="J101" s="11">
        <v>12000</v>
      </c>
      <c r="K101" s="3"/>
      <c r="L101" s="11">
        <v>10000</v>
      </c>
      <c r="M101" s="38">
        <f t="shared" si="2"/>
        <v>0.83333333333333337</v>
      </c>
    </row>
    <row r="102" spans="1:13" hidden="1" x14ac:dyDescent="0.25">
      <c r="A102" s="14" t="s">
        <v>151</v>
      </c>
      <c r="B102" s="15" t="s">
        <v>152</v>
      </c>
      <c r="C102" s="16">
        <v>123595</v>
      </c>
      <c r="D102" s="11">
        <v>77893.25</v>
      </c>
      <c r="E102" s="11">
        <v>111072.12</v>
      </c>
      <c r="F102" s="11">
        <v>67595.73</v>
      </c>
      <c r="G102" s="11">
        <v>35353.14</v>
      </c>
      <c r="H102" s="3"/>
      <c r="I102" s="11">
        <v>150000</v>
      </c>
      <c r="J102" s="11">
        <v>150000</v>
      </c>
      <c r="K102" s="3"/>
      <c r="L102" s="11">
        <v>55000</v>
      </c>
      <c r="M102" s="38">
        <f t="shared" si="2"/>
        <v>0.36666666666666664</v>
      </c>
    </row>
    <row r="103" spans="1:13" hidden="1" x14ac:dyDescent="0.25">
      <c r="A103" s="14" t="s">
        <v>153</v>
      </c>
      <c r="B103" s="15" t="s">
        <v>154</v>
      </c>
      <c r="C103" s="16">
        <v>69989</v>
      </c>
      <c r="D103" s="11">
        <v>67934.31</v>
      </c>
      <c r="E103" s="11">
        <v>54600.33</v>
      </c>
      <c r="F103" s="11">
        <v>64303.13</v>
      </c>
      <c r="G103" s="11">
        <v>45856.43</v>
      </c>
      <c r="H103" s="3"/>
      <c r="I103" s="11">
        <v>70000</v>
      </c>
      <c r="J103" s="11">
        <v>70000</v>
      </c>
      <c r="K103" s="3"/>
      <c r="L103" s="11">
        <v>70000</v>
      </c>
      <c r="M103" s="38">
        <f t="shared" si="2"/>
        <v>1</v>
      </c>
    </row>
    <row r="104" spans="1:13" hidden="1" x14ac:dyDescent="0.25">
      <c r="A104" s="14" t="s">
        <v>155</v>
      </c>
      <c r="B104" s="15" t="s">
        <v>156</v>
      </c>
      <c r="C104" s="16">
        <v>273</v>
      </c>
      <c r="D104" s="11">
        <v>1021.46</v>
      </c>
      <c r="E104" s="11">
        <v>1050</v>
      </c>
      <c r="F104" s="11">
        <v>847.7</v>
      </c>
      <c r="G104" s="11">
        <v>2742</v>
      </c>
      <c r="H104" s="3"/>
      <c r="I104" s="11">
        <v>2500</v>
      </c>
      <c r="J104" s="11">
        <v>2500</v>
      </c>
      <c r="K104" s="3"/>
      <c r="L104" s="11">
        <v>1500</v>
      </c>
      <c r="M104" s="38">
        <f t="shared" si="2"/>
        <v>0.6</v>
      </c>
    </row>
    <row r="105" spans="1:13" hidden="1" x14ac:dyDescent="0.25">
      <c r="A105" s="14" t="s">
        <v>157</v>
      </c>
      <c r="B105" s="15" t="s">
        <v>158</v>
      </c>
      <c r="C105" s="16">
        <v>1090</v>
      </c>
      <c r="D105" s="11">
        <v>4187.83</v>
      </c>
      <c r="E105" s="11">
        <v>10491.92</v>
      </c>
      <c r="F105" s="11">
        <v>6520.29</v>
      </c>
      <c r="G105" s="11">
        <v>3149.6</v>
      </c>
      <c r="H105" s="3"/>
      <c r="I105" s="11">
        <v>7500</v>
      </c>
      <c r="J105" s="11">
        <v>7500</v>
      </c>
      <c r="K105" s="3"/>
      <c r="L105" s="11">
        <v>7500</v>
      </c>
      <c r="M105" s="38">
        <f t="shared" si="2"/>
        <v>1</v>
      </c>
    </row>
    <row r="106" spans="1:13" hidden="1" x14ac:dyDescent="0.25">
      <c r="A106" s="14" t="s">
        <v>159</v>
      </c>
      <c r="B106" s="15" t="s">
        <v>160</v>
      </c>
      <c r="C106" s="16">
        <v>13862</v>
      </c>
      <c r="D106" s="11">
        <v>15086.37</v>
      </c>
      <c r="E106" s="11">
        <v>14827.27</v>
      </c>
      <c r="F106" s="11">
        <v>14232.8</v>
      </c>
      <c r="G106" s="11">
        <v>9257</v>
      </c>
      <c r="H106" s="3"/>
      <c r="I106" s="11">
        <v>10000</v>
      </c>
      <c r="J106" s="11">
        <v>10000</v>
      </c>
      <c r="K106" s="3"/>
      <c r="L106" s="11">
        <v>10000</v>
      </c>
      <c r="M106" s="38">
        <f t="shared" si="2"/>
        <v>1</v>
      </c>
    </row>
    <row r="107" spans="1:13" hidden="1" x14ac:dyDescent="0.25">
      <c r="A107" s="14" t="s">
        <v>161</v>
      </c>
      <c r="B107" s="15" t="s">
        <v>162</v>
      </c>
      <c r="C107" s="16">
        <v>6413</v>
      </c>
      <c r="D107" s="11">
        <v>4831.68</v>
      </c>
      <c r="E107" s="11">
        <v>987.24</v>
      </c>
      <c r="F107" s="11">
        <v>1546</v>
      </c>
      <c r="G107" s="11">
        <v>0</v>
      </c>
      <c r="H107" s="3"/>
      <c r="I107" s="11">
        <v>2000</v>
      </c>
      <c r="J107" s="11">
        <v>2000</v>
      </c>
      <c r="K107" s="3"/>
      <c r="L107" s="11">
        <v>0</v>
      </c>
      <c r="M107" s="38">
        <f t="shared" si="2"/>
        <v>0</v>
      </c>
    </row>
    <row r="108" spans="1:13" hidden="1" x14ac:dyDescent="0.25">
      <c r="A108" s="14" t="s">
        <v>163</v>
      </c>
      <c r="B108" s="15" t="s">
        <v>80</v>
      </c>
      <c r="C108" s="16">
        <v>2119</v>
      </c>
      <c r="D108" s="11">
        <v>5919.82</v>
      </c>
      <c r="E108" s="11">
        <v>4906.71</v>
      </c>
      <c r="F108" s="11">
        <v>3419.16</v>
      </c>
      <c r="G108" s="11">
        <v>1490.69</v>
      </c>
      <c r="H108" s="3"/>
      <c r="I108" s="11">
        <v>5000</v>
      </c>
      <c r="J108" s="11">
        <v>5000</v>
      </c>
      <c r="K108" s="3"/>
      <c r="L108" s="11">
        <v>5000</v>
      </c>
      <c r="M108" s="38">
        <f t="shared" si="2"/>
        <v>1</v>
      </c>
    </row>
    <row r="109" spans="1:13" hidden="1" x14ac:dyDescent="0.25">
      <c r="A109" s="14">
        <v>6021800</v>
      </c>
      <c r="B109" s="15" t="s">
        <v>164</v>
      </c>
      <c r="C109" s="16"/>
      <c r="D109" s="11"/>
      <c r="E109" s="11"/>
      <c r="F109" s="11">
        <v>187.03</v>
      </c>
      <c r="G109" s="11"/>
      <c r="H109" s="3"/>
      <c r="I109" s="11"/>
      <c r="J109" s="11"/>
      <c r="K109" s="3"/>
      <c r="L109" s="11"/>
    </row>
    <row r="110" spans="1:13" hidden="1" x14ac:dyDescent="0.25">
      <c r="A110" s="14"/>
      <c r="B110" s="15"/>
      <c r="C110" s="16"/>
      <c r="D110" s="11"/>
      <c r="E110" s="11"/>
      <c r="F110" s="11"/>
      <c r="G110" s="11"/>
      <c r="H110" s="3"/>
      <c r="I110" s="11"/>
      <c r="J110" s="11"/>
      <c r="K110" s="3"/>
      <c r="L110" s="11"/>
    </row>
    <row r="111" spans="1:13" hidden="1" x14ac:dyDescent="0.25">
      <c r="A111" s="29"/>
      <c r="B111" s="30" t="s">
        <v>165</v>
      </c>
      <c r="C111" s="16">
        <f>SUM(C88:C109)</f>
        <v>558604</v>
      </c>
      <c r="D111" s="11">
        <f>SUM(D88:D109)</f>
        <v>621221.34999999986</v>
      </c>
      <c r="E111" s="11">
        <f>SUM(E88:E109)</f>
        <v>626244.35000000009</v>
      </c>
      <c r="F111" s="11">
        <f>SUM(F88:F109)</f>
        <v>660847.58600000013</v>
      </c>
      <c r="G111" s="11">
        <f>SUM(G88:G109)</f>
        <v>434031.6</v>
      </c>
      <c r="H111" s="3"/>
      <c r="I111" s="11">
        <f>SUM(I88:I109)</f>
        <v>796901</v>
      </c>
      <c r="J111" s="11">
        <f>SUM(J88:J109)</f>
        <v>800001</v>
      </c>
      <c r="K111" s="3"/>
      <c r="L111" s="11">
        <f>SUM(L88:L109)</f>
        <v>738715.17355188623</v>
      </c>
      <c r="M111" s="38">
        <f>+L111/J111</f>
        <v>0.92339281269884188</v>
      </c>
    </row>
    <row r="112" spans="1:13" hidden="1" x14ac:dyDescent="0.25">
      <c r="A112" s="29"/>
      <c r="B112" s="30"/>
      <c r="C112" s="16"/>
      <c r="D112" s="11"/>
      <c r="E112" s="11"/>
      <c r="F112" s="11"/>
      <c r="G112" s="11"/>
      <c r="H112" s="3"/>
      <c r="I112" s="11"/>
      <c r="J112" s="11"/>
      <c r="K112" s="3"/>
      <c r="L112" s="11"/>
    </row>
    <row r="113" spans="1:13" hidden="1" x14ac:dyDescent="0.25">
      <c r="A113" s="14" t="s">
        <v>166</v>
      </c>
      <c r="B113" s="15" t="s">
        <v>124</v>
      </c>
      <c r="C113" s="16">
        <v>76083</v>
      </c>
      <c r="D113" s="11">
        <v>79040.23</v>
      </c>
      <c r="E113" s="11">
        <v>43912.42</v>
      </c>
      <c r="F113" s="11">
        <v>78104.09</v>
      </c>
      <c r="G113" s="11">
        <v>52944.25</v>
      </c>
      <c r="H113" s="3"/>
      <c r="I113" s="11">
        <v>73917</v>
      </c>
      <c r="J113" s="11">
        <v>73917</v>
      </c>
      <c r="K113" s="3"/>
      <c r="L113" s="11">
        <f>+'[1]Non-Union - 3.5%'!$I$37+'[1]Non-Union - 3.5%'!$V$37</f>
        <v>76501.61099999999</v>
      </c>
      <c r="M113" s="38">
        <f>+L113/J113</f>
        <v>1.034966394740046</v>
      </c>
    </row>
    <row r="114" spans="1:13" hidden="1" x14ac:dyDescent="0.25">
      <c r="A114" s="14" t="s">
        <v>167</v>
      </c>
      <c r="B114" s="15" t="s">
        <v>126</v>
      </c>
      <c r="C114" s="16">
        <v>6414</v>
      </c>
      <c r="D114" s="11">
        <v>6815.97</v>
      </c>
      <c r="E114" s="11">
        <v>3560.42</v>
      </c>
      <c r="F114" s="11">
        <v>6311.4</v>
      </c>
      <c r="G114" s="11">
        <v>4111.22</v>
      </c>
      <c r="H114" s="3"/>
      <c r="I114" s="11">
        <f>539+5374</f>
        <v>5913</v>
      </c>
      <c r="J114" s="11">
        <v>5913</v>
      </c>
      <c r="K114" s="3"/>
      <c r="L114" s="11">
        <f>+'[1]Non-Union - 3.5%'!$P$37+'[1]Non-Union - 3.5%'!$Z$37</f>
        <v>6120.1288800000002</v>
      </c>
      <c r="M114" s="38">
        <f>+L114/J114</f>
        <v>1.0350294063926941</v>
      </c>
    </row>
    <row r="115" spans="1:13" hidden="1" x14ac:dyDescent="0.25">
      <c r="A115" s="14" t="s">
        <v>168</v>
      </c>
      <c r="B115" s="15" t="s">
        <v>128</v>
      </c>
      <c r="C115" s="16">
        <v>33023</v>
      </c>
      <c r="D115" s="11">
        <v>43423.3</v>
      </c>
      <c r="E115" s="11">
        <v>24854.54</v>
      </c>
      <c r="F115" s="11">
        <v>32649.040000000001</v>
      </c>
      <c r="G115" s="11">
        <v>25625</v>
      </c>
      <c r="H115" s="3"/>
      <c r="I115" s="11">
        <v>36757</v>
      </c>
      <c r="J115" s="11">
        <v>36756</v>
      </c>
      <c r="K115" s="3"/>
      <c r="L115" s="11">
        <f>+SUM('[1]Non-Union - 3.5%'!$K$37:$N$37)</f>
        <v>43510.62</v>
      </c>
      <c r="M115" s="38">
        <f>+L115/J115</f>
        <v>1.1837691805419523</v>
      </c>
    </row>
    <row r="116" spans="1:13" hidden="1" x14ac:dyDescent="0.25">
      <c r="A116" s="14" t="s">
        <v>169</v>
      </c>
      <c r="B116" s="15" t="s">
        <v>130</v>
      </c>
      <c r="C116" s="16">
        <v>1206</v>
      </c>
      <c r="D116" s="11">
        <v>1242.4000000000001</v>
      </c>
      <c r="E116" s="11">
        <v>0</v>
      </c>
      <c r="F116" s="11">
        <v>0</v>
      </c>
      <c r="G116" s="11">
        <v>0</v>
      </c>
      <c r="H116" s="3"/>
      <c r="I116" s="11"/>
      <c r="J116" s="11"/>
      <c r="K116" s="3"/>
      <c r="L116" s="11"/>
    </row>
    <row r="117" spans="1:13" hidden="1" x14ac:dyDescent="0.25">
      <c r="A117" s="14" t="s">
        <v>170</v>
      </c>
      <c r="B117" s="15" t="s">
        <v>171</v>
      </c>
      <c r="C117" s="16">
        <v>1435</v>
      </c>
      <c r="D117" s="11">
        <v>-158.06</v>
      </c>
      <c r="E117" s="11">
        <v>0</v>
      </c>
      <c r="F117" s="11">
        <v>0</v>
      </c>
      <c r="G117" s="11">
        <v>284.5</v>
      </c>
      <c r="H117" s="3"/>
      <c r="I117" s="11">
        <v>500</v>
      </c>
      <c r="J117" s="11">
        <v>500</v>
      </c>
      <c r="K117" s="3"/>
      <c r="L117" s="11">
        <v>500</v>
      </c>
      <c r="M117" s="38">
        <f t="shared" ref="M117:M124" si="3">+L117/J117</f>
        <v>1</v>
      </c>
    </row>
    <row r="118" spans="1:13" hidden="1" x14ac:dyDescent="0.25">
      <c r="A118" s="14" t="s">
        <v>172</v>
      </c>
      <c r="B118" s="15" t="s">
        <v>132</v>
      </c>
      <c r="C118" s="16">
        <v>391</v>
      </c>
      <c r="D118" s="11">
        <v>321.33999999999997</v>
      </c>
      <c r="E118" s="11">
        <v>1026.3</v>
      </c>
      <c r="F118" s="11">
        <v>1301.3599999999999</v>
      </c>
      <c r="G118" s="11">
        <v>929.28</v>
      </c>
      <c r="H118" s="3"/>
      <c r="I118" s="11">
        <v>325</v>
      </c>
      <c r="J118" s="11">
        <v>326</v>
      </c>
      <c r="K118" s="3"/>
      <c r="L118" s="11">
        <f>+'[1]Non-Union - 3.5%'!$R$37+'[1]Non-Union - 3.5%'!$Y$37</f>
        <v>337.60708839999995</v>
      </c>
      <c r="M118" s="38">
        <f t="shared" si="3"/>
        <v>1.0356045656441717</v>
      </c>
    </row>
    <row r="119" spans="1:13" hidden="1" x14ac:dyDescent="0.25">
      <c r="A119" s="14" t="s">
        <v>173</v>
      </c>
      <c r="B119" s="15" t="s">
        <v>134</v>
      </c>
      <c r="C119" s="16">
        <v>16553</v>
      </c>
      <c r="D119" s="11">
        <v>57169.25</v>
      </c>
      <c r="E119" s="11">
        <v>81223.45</v>
      </c>
      <c r="F119" s="11">
        <v>80574.27</v>
      </c>
      <c r="G119" s="11">
        <v>91053.41</v>
      </c>
      <c r="H119" s="3"/>
      <c r="I119" s="11">
        <v>83250</v>
      </c>
      <c r="J119" s="11">
        <v>83250</v>
      </c>
      <c r="K119" s="3"/>
      <c r="L119" s="11">
        <v>94825</v>
      </c>
      <c r="M119" s="38">
        <f t="shared" si="3"/>
        <v>1.139039039039039</v>
      </c>
    </row>
    <row r="120" spans="1:13" hidden="1" x14ac:dyDescent="0.25">
      <c r="A120" s="14" t="s">
        <v>174</v>
      </c>
      <c r="B120" s="15" t="s">
        <v>136</v>
      </c>
      <c r="C120" s="16">
        <v>2648</v>
      </c>
      <c r="D120" s="11">
        <v>4799.67</v>
      </c>
      <c r="E120" s="11">
        <f>4917.14+80.26</f>
        <v>4997.4000000000005</v>
      </c>
      <c r="F120" s="11">
        <v>5512.81</v>
      </c>
      <c r="G120" s="11">
        <v>6809.54</v>
      </c>
      <c r="H120" s="3"/>
      <c r="I120" s="11">
        <v>8325</v>
      </c>
      <c r="J120" s="11">
        <v>8325</v>
      </c>
      <c r="K120" s="3"/>
      <c r="L120" s="11">
        <v>9427.25</v>
      </c>
      <c r="M120" s="38">
        <f t="shared" si="3"/>
        <v>1.1324024024024024</v>
      </c>
    </row>
    <row r="121" spans="1:13" hidden="1" x14ac:dyDescent="0.25">
      <c r="A121" s="14" t="s">
        <v>175</v>
      </c>
      <c r="B121" s="15" t="s">
        <v>176</v>
      </c>
      <c r="C121" s="16">
        <v>0</v>
      </c>
      <c r="D121" s="11">
        <v>1173.17</v>
      </c>
      <c r="E121" s="11">
        <v>1248.1099999999999</v>
      </c>
      <c r="F121" s="11">
        <v>2017.2</v>
      </c>
      <c r="G121" s="11">
        <v>2958.49</v>
      </c>
      <c r="H121" s="3"/>
      <c r="I121" s="11">
        <v>3000</v>
      </c>
      <c r="J121" s="11">
        <v>3000</v>
      </c>
      <c r="K121" s="3"/>
      <c r="L121" s="11">
        <v>3000</v>
      </c>
      <c r="M121" s="38">
        <f t="shared" si="3"/>
        <v>1</v>
      </c>
    </row>
    <row r="122" spans="1:13" hidden="1" x14ac:dyDescent="0.25">
      <c r="A122" s="14" t="s">
        <v>177</v>
      </c>
      <c r="B122" s="15" t="s">
        <v>138</v>
      </c>
      <c r="C122" s="16">
        <v>401</v>
      </c>
      <c r="D122" s="11">
        <v>362.49</v>
      </c>
      <c r="E122" s="11">
        <v>717.5</v>
      </c>
      <c r="F122" s="11">
        <v>8095.98</v>
      </c>
      <c r="G122" s="11">
        <v>-2329.25</v>
      </c>
      <c r="H122" s="3"/>
      <c r="I122" s="11">
        <v>366.3</v>
      </c>
      <c r="J122" s="11">
        <v>366.3</v>
      </c>
      <c r="K122" s="3"/>
      <c r="L122" s="11">
        <f>392.92+24.31</f>
        <v>417.23</v>
      </c>
      <c r="M122" s="38">
        <f t="shared" si="3"/>
        <v>1.139039039039039</v>
      </c>
    </row>
    <row r="123" spans="1:13" hidden="1" x14ac:dyDescent="0.25">
      <c r="A123" s="14" t="s">
        <v>178</v>
      </c>
      <c r="B123" s="15" t="s">
        <v>140</v>
      </c>
      <c r="C123" s="16">
        <v>10858</v>
      </c>
      <c r="D123" s="11">
        <v>10186.4</v>
      </c>
      <c r="E123" s="11">
        <v>7670.93</v>
      </c>
      <c r="F123" s="11">
        <v>10989.56</v>
      </c>
      <c r="G123" s="11">
        <v>6400.26</v>
      </c>
      <c r="H123" s="3"/>
      <c r="I123" s="11">
        <v>11130</v>
      </c>
      <c r="J123" s="11">
        <v>11130</v>
      </c>
      <c r="K123" s="3"/>
      <c r="L123" s="11">
        <v>10000</v>
      </c>
      <c r="M123" s="38">
        <f t="shared" si="3"/>
        <v>0.89847259658580414</v>
      </c>
    </row>
    <row r="124" spans="1:13" hidden="1" x14ac:dyDescent="0.25">
      <c r="A124" s="14" t="s">
        <v>179</v>
      </c>
      <c r="B124" s="15" t="s">
        <v>142</v>
      </c>
      <c r="C124" s="16">
        <v>0</v>
      </c>
      <c r="D124" s="11">
        <v>780</v>
      </c>
      <c r="E124" s="11">
        <v>2040</v>
      </c>
      <c r="F124" s="11">
        <v>2880</v>
      </c>
      <c r="G124" s="11">
        <v>1808</v>
      </c>
      <c r="H124" s="3"/>
      <c r="I124" s="11">
        <v>2880</v>
      </c>
      <c r="J124" s="11">
        <v>2880</v>
      </c>
      <c r="K124" s="3"/>
      <c r="L124" s="11">
        <v>3400</v>
      </c>
      <c r="M124" s="38">
        <f t="shared" si="3"/>
        <v>1.1805555555555556</v>
      </c>
    </row>
    <row r="125" spans="1:13" hidden="1" x14ac:dyDescent="0.25">
      <c r="A125" s="14" t="s">
        <v>180</v>
      </c>
      <c r="B125" s="15" t="s">
        <v>146</v>
      </c>
      <c r="C125" s="16">
        <v>9812</v>
      </c>
      <c r="D125" s="11">
        <v>7179.74</v>
      </c>
      <c r="E125" s="11">
        <v>2565.46</v>
      </c>
      <c r="F125" s="11">
        <v>471.52</v>
      </c>
      <c r="G125" s="11">
        <v>2092.15</v>
      </c>
      <c r="H125" s="3"/>
      <c r="I125" s="11"/>
      <c r="J125" s="11">
        <v>0</v>
      </c>
      <c r="K125" s="3"/>
      <c r="L125" s="11"/>
    </row>
    <row r="126" spans="1:13" hidden="1" x14ac:dyDescent="0.25">
      <c r="A126" s="14" t="s">
        <v>181</v>
      </c>
      <c r="B126" s="15" t="s">
        <v>182</v>
      </c>
      <c r="C126" s="16">
        <v>0</v>
      </c>
      <c r="D126" s="11">
        <v>678.62</v>
      </c>
      <c r="E126" s="11">
        <v>13.48</v>
      </c>
      <c r="F126" s="11">
        <v>151.41</v>
      </c>
      <c r="G126" s="11">
        <v>46.12</v>
      </c>
      <c r="H126" s="3"/>
      <c r="I126" s="11">
        <v>200</v>
      </c>
      <c r="J126" s="11">
        <v>200</v>
      </c>
      <c r="K126" s="3"/>
      <c r="L126" s="11">
        <v>100</v>
      </c>
      <c r="M126" s="38">
        <f>+L126/J126</f>
        <v>0.5</v>
      </c>
    </row>
    <row r="127" spans="1:13" hidden="1" x14ac:dyDescent="0.25">
      <c r="A127" s="14" t="s">
        <v>183</v>
      </c>
      <c r="B127" s="15" t="s">
        <v>184</v>
      </c>
      <c r="C127" s="16">
        <v>170</v>
      </c>
      <c r="D127" s="11">
        <v>248.95</v>
      </c>
      <c r="E127" s="11">
        <v>1737.2</v>
      </c>
      <c r="F127" s="11">
        <v>0</v>
      </c>
      <c r="G127" s="11">
        <v>384.3</v>
      </c>
      <c r="H127" s="3"/>
      <c r="I127" s="11">
        <v>2500</v>
      </c>
      <c r="J127" s="11">
        <v>2500</v>
      </c>
      <c r="K127" s="3"/>
      <c r="L127" s="11">
        <v>1000</v>
      </c>
      <c r="M127" s="38">
        <f>+L127/J127</f>
        <v>0.4</v>
      </c>
    </row>
    <row r="128" spans="1:13" hidden="1" x14ac:dyDescent="0.25">
      <c r="A128" s="14" t="s">
        <v>185</v>
      </c>
      <c r="B128" s="15" t="s">
        <v>152</v>
      </c>
      <c r="C128" s="16">
        <v>274</v>
      </c>
      <c r="D128" s="11">
        <v>278.35000000000002</v>
      </c>
      <c r="E128" s="11">
        <v>188.23</v>
      </c>
      <c r="F128" s="11">
        <v>295.79000000000002</v>
      </c>
      <c r="G128" s="11">
        <v>365.12</v>
      </c>
      <c r="H128" s="3"/>
      <c r="I128" s="11">
        <v>500</v>
      </c>
      <c r="J128" s="11">
        <v>500</v>
      </c>
      <c r="K128" s="3"/>
      <c r="L128" s="11">
        <v>500</v>
      </c>
      <c r="M128" s="38">
        <f>+L128/J128</f>
        <v>1</v>
      </c>
    </row>
    <row r="129" spans="1:13" hidden="1" x14ac:dyDescent="0.25">
      <c r="A129" s="14" t="s">
        <v>186</v>
      </c>
      <c r="B129" s="15" t="s">
        <v>156</v>
      </c>
      <c r="C129" s="16">
        <v>0</v>
      </c>
      <c r="D129" s="11">
        <v>849.2</v>
      </c>
      <c r="E129" s="11"/>
      <c r="F129" s="11">
        <v>0</v>
      </c>
      <c r="G129" s="11">
        <v>0</v>
      </c>
      <c r="H129" s="3"/>
      <c r="I129" s="11"/>
      <c r="J129" s="11"/>
      <c r="K129" s="3"/>
      <c r="L129" s="11"/>
    </row>
    <row r="130" spans="1:13" hidden="1" x14ac:dyDescent="0.25">
      <c r="A130" s="14" t="s">
        <v>187</v>
      </c>
      <c r="B130" s="15" t="s">
        <v>158</v>
      </c>
      <c r="C130" s="16">
        <v>156</v>
      </c>
      <c r="D130" s="11">
        <v>0</v>
      </c>
      <c r="E130" s="11">
        <v>0</v>
      </c>
      <c r="F130" s="11">
        <v>0</v>
      </c>
      <c r="G130" s="11">
        <v>0</v>
      </c>
      <c r="H130" s="3"/>
      <c r="I130" s="11">
        <v>1000</v>
      </c>
      <c r="J130" s="11">
        <v>1000</v>
      </c>
      <c r="K130" s="3"/>
      <c r="L130" s="11">
        <v>1000</v>
      </c>
      <c r="M130" s="38">
        <f>+L130/J130</f>
        <v>1</v>
      </c>
    </row>
    <row r="131" spans="1:13" hidden="1" x14ac:dyDescent="0.25">
      <c r="A131" s="14" t="s">
        <v>188</v>
      </c>
      <c r="B131" s="15" t="s">
        <v>160</v>
      </c>
      <c r="C131" s="16">
        <v>3361</v>
      </c>
      <c r="D131" s="11">
        <v>5796.52</v>
      </c>
      <c r="E131" s="11">
        <v>2531.19</v>
      </c>
      <c r="F131" s="11">
        <v>4850.5600000000004</v>
      </c>
      <c r="G131" s="11">
        <v>1651.74</v>
      </c>
      <c r="H131" s="3"/>
      <c r="I131" s="11">
        <v>7000</v>
      </c>
      <c r="J131" s="11">
        <v>7000</v>
      </c>
      <c r="K131" s="3"/>
      <c r="L131" s="11">
        <v>2500</v>
      </c>
      <c r="M131" s="38">
        <f>+L131/J131</f>
        <v>0.35714285714285715</v>
      </c>
    </row>
    <row r="132" spans="1:13" hidden="1" x14ac:dyDescent="0.25">
      <c r="A132" s="14" t="s">
        <v>189</v>
      </c>
      <c r="B132" s="15" t="s">
        <v>80</v>
      </c>
      <c r="C132" s="16">
        <v>2862</v>
      </c>
      <c r="D132" s="11">
        <v>2240.1999999999998</v>
      </c>
      <c r="E132" s="11">
        <v>331.83</v>
      </c>
      <c r="F132" s="11">
        <v>65.14</v>
      </c>
      <c r="G132" s="11">
        <v>447.89</v>
      </c>
      <c r="H132" s="3"/>
      <c r="I132" s="11">
        <v>1500</v>
      </c>
      <c r="J132" s="11">
        <v>1500</v>
      </c>
      <c r="K132" s="3"/>
      <c r="L132" s="11">
        <v>1000</v>
      </c>
      <c r="M132" s="38">
        <f>+L132/J132</f>
        <v>0.66666666666666663</v>
      </c>
    </row>
    <row r="133" spans="1:13" hidden="1" x14ac:dyDescent="0.25">
      <c r="A133" s="14" t="s">
        <v>190</v>
      </c>
      <c r="B133" s="15" t="s">
        <v>164</v>
      </c>
      <c r="C133" s="16">
        <v>1185</v>
      </c>
      <c r="D133" s="11">
        <v>1175.76</v>
      </c>
      <c r="E133" s="11">
        <v>220</v>
      </c>
      <c r="F133" s="11">
        <v>883.97</v>
      </c>
      <c r="G133" s="11">
        <v>703</v>
      </c>
      <c r="H133" s="3"/>
      <c r="I133" s="11">
        <v>1500</v>
      </c>
      <c r="J133" s="11">
        <v>1500</v>
      </c>
      <c r="K133" s="3"/>
      <c r="L133" s="11">
        <v>1500</v>
      </c>
      <c r="M133" s="38">
        <f>+L133/J133</f>
        <v>1</v>
      </c>
    </row>
    <row r="134" spans="1:13" hidden="1" x14ac:dyDescent="0.25">
      <c r="A134" s="14">
        <v>6052000</v>
      </c>
      <c r="B134" s="15" t="s">
        <v>191</v>
      </c>
      <c r="C134" s="16"/>
      <c r="D134" s="11"/>
      <c r="E134" s="11"/>
      <c r="F134" s="11">
        <v>0</v>
      </c>
      <c r="G134" s="11">
        <v>0</v>
      </c>
      <c r="H134" s="3"/>
      <c r="I134" s="11"/>
      <c r="J134" s="11"/>
      <c r="K134" s="3"/>
      <c r="L134" s="11"/>
    </row>
    <row r="135" spans="1:13" hidden="1" x14ac:dyDescent="0.25">
      <c r="A135" s="14"/>
      <c r="B135" s="15"/>
      <c r="C135" s="16"/>
      <c r="D135" s="11"/>
      <c r="E135" s="11"/>
      <c r="F135" s="11"/>
      <c r="G135" s="11"/>
      <c r="H135" s="3"/>
      <c r="I135" s="11"/>
      <c r="J135" s="11"/>
      <c r="K135" s="3"/>
      <c r="L135" s="11"/>
    </row>
    <row r="136" spans="1:13" hidden="1" x14ac:dyDescent="0.25">
      <c r="A136" s="29"/>
      <c r="B136" s="30" t="s">
        <v>192</v>
      </c>
      <c r="C136" s="16">
        <f>SUM(C113:C134)</f>
        <v>166832</v>
      </c>
      <c r="D136" s="11">
        <f>SUM(D113:D134)</f>
        <v>223603.50000000003</v>
      </c>
      <c r="E136" s="11">
        <f>SUM(E113:E134)</f>
        <v>178838.46</v>
      </c>
      <c r="F136" s="11">
        <f>SUM(F113:F134)</f>
        <v>235154.10000000003</v>
      </c>
      <c r="G136" s="11">
        <f>SUM(G113:G134)</f>
        <v>196285.02</v>
      </c>
      <c r="H136" s="3"/>
      <c r="I136" s="11">
        <f>SUM(I113:I134)</f>
        <v>240563.3</v>
      </c>
      <c r="J136" s="11">
        <f>SUM(J113:J134)</f>
        <v>240563.3</v>
      </c>
      <c r="K136" s="3"/>
      <c r="L136" s="11">
        <f>SUM(L113:L134)</f>
        <v>255639.44696840001</v>
      </c>
      <c r="M136" s="38">
        <f>+L136/J136</f>
        <v>1.0626701868838682</v>
      </c>
    </row>
    <row r="137" spans="1:13" hidden="1" x14ac:dyDescent="0.25">
      <c r="A137" s="29"/>
      <c r="B137" s="30"/>
      <c r="C137" s="16"/>
      <c r="D137" s="11"/>
      <c r="E137" s="11"/>
      <c r="F137" s="11"/>
      <c r="G137" s="11"/>
      <c r="H137" s="3"/>
      <c r="I137" s="11"/>
      <c r="J137" s="11"/>
      <c r="K137" s="3"/>
      <c r="L137" s="11"/>
    </row>
    <row r="138" spans="1:13" hidden="1" x14ac:dyDescent="0.25">
      <c r="A138" s="14" t="s">
        <v>193</v>
      </c>
      <c r="B138" s="15" t="s">
        <v>124</v>
      </c>
      <c r="C138" s="16">
        <v>51980</v>
      </c>
      <c r="D138" s="11">
        <v>54667.360000000001</v>
      </c>
      <c r="E138" s="11">
        <v>55705.91</v>
      </c>
      <c r="F138" s="11">
        <v>77351.539999999994</v>
      </c>
      <c r="G138" s="11">
        <v>67077.399999999994</v>
      </c>
      <c r="H138" s="3"/>
      <c r="I138" s="11">
        <v>110589</v>
      </c>
      <c r="J138" s="11">
        <v>110589</v>
      </c>
      <c r="K138" s="3"/>
      <c r="L138" s="11">
        <f>+'[1]Non-Union - 3.5%'!$I$43</f>
        <v>113560.2</v>
      </c>
      <c r="M138" s="38">
        <f t="shared" ref="M138:M145" si="4">+L138/J138</f>
        <v>1.0268670482597726</v>
      </c>
    </row>
    <row r="139" spans="1:13" hidden="1" x14ac:dyDescent="0.25">
      <c r="A139" s="14" t="s">
        <v>194</v>
      </c>
      <c r="B139" s="15" t="s">
        <v>126</v>
      </c>
      <c r="C139" s="16">
        <v>4106</v>
      </c>
      <c r="D139" s="11">
        <v>4775.8500000000004</v>
      </c>
      <c r="E139" s="11">
        <v>4564.83</v>
      </c>
      <c r="F139" s="11">
        <v>6504.31</v>
      </c>
      <c r="G139" s="11">
        <v>4632.8100000000004</v>
      </c>
      <c r="H139" s="3"/>
      <c r="I139" s="11">
        <v>8847</v>
      </c>
      <c r="J139" s="11">
        <v>8847</v>
      </c>
      <c r="K139" s="3"/>
      <c r="L139" s="11">
        <f>+'[1]Non-Union - 3.5%'!$P$43</f>
        <v>9084.8159999999989</v>
      </c>
      <c r="M139" s="38">
        <f t="shared" si="4"/>
        <v>1.026880976602238</v>
      </c>
    </row>
    <row r="140" spans="1:13" hidden="1" x14ac:dyDescent="0.25">
      <c r="A140" s="14" t="s">
        <v>195</v>
      </c>
      <c r="B140" s="15" t="s">
        <v>128</v>
      </c>
      <c r="C140" s="16">
        <v>10250</v>
      </c>
      <c r="D140" s="11">
        <v>10725.34</v>
      </c>
      <c r="E140" s="11">
        <v>11006.55</v>
      </c>
      <c r="F140" s="11">
        <v>14335.23</v>
      </c>
      <c r="G140" s="11">
        <v>11031.78</v>
      </c>
      <c r="H140" s="3"/>
      <c r="I140" s="11">
        <v>15891</v>
      </c>
      <c r="J140" s="11">
        <v>15891</v>
      </c>
      <c r="K140" s="3"/>
      <c r="L140" s="11">
        <f>+SUM('[1]Non-Union - 3.5%'!$K$43:$N$43)</f>
        <v>18515.920000000002</v>
      </c>
      <c r="M140" s="38">
        <f t="shared" si="4"/>
        <v>1.1651828078786737</v>
      </c>
    </row>
    <row r="141" spans="1:13" hidden="1" x14ac:dyDescent="0.25">
      <c r="A141" s="14" t="s">
        <v>196</v>
      </c>
      <c r="B141" s="15" t="s">
        <v>130</v>
      </c>
      <c r="C141" s="16">
        <v>1422</v>
      </c>
      <c r="D141" s="11">
        <v>1599.68</v>
      </c>
      <c r="E141" s="11">
        <v>2038.87</v>
      </c>
      <c r="F141" s="11">
        <v>1812.72</v>
      </c>
      <c r="G141" s="11">
        <v>1272.3599999999999</v>
      </c>
      <c r="H141" s="3"/>
      <c r="I141" s="11">
        <v>1950</v>
      </c>
      <c r="J141" s="11">
        <v>1950</v>
      </c>
      <c r="K141" s="3"/>
      <c r="L141" s="11">
        <f>+'[1]Non-Union - 3.5%'!$O$43</f>
        <v>2018.25</v>
      </c>
      <c r="M141" s="38">
        <f t="shared" si="4"/>
        <v>1.0349999999999999</v>
      </c>
    </row>
    <row r="142" spans="1:13" hidden="1" x14ac:dyDescent="0.25">
      <c r="A142" s="14" t="s">
        <v>197</v>
      </c>
      <c r="B142" s="15" t="s">
        <v>171</v>
      </c>
      <c r="C142" s="16">
        <v>0</v>
      </c>
      <c r="D142" s="11">
        <v>42</v>
      </c>
      <c r="E142" s="11">
        <v>20</v>
      </c>
      <c r="F142" s="11">
        <v>0</v>
      </c>
      <c r="G142" s="11">
        <v>134.38999999999999</v>
      </c>
      <c r="H142" s="3"/>
      <c r="I142" s="11">
        <v>200</v>
      </c>
      <c r="J142" s="11">
        <v>200</v>
      </c>
      <c r="K142" s="3"/>
      <c r="L142" s="11">
        <v>200</v>
      </c>
      <c r="M142" s="38">
        <f t="shared" si="4"/>
        <v>1</v>
      </c>
    </row>
    <row r="143" spans="1:13" hidden="1" x14ac:dyDescent="0.25">
      <c r="A143" s="14" t="s">
        <v>198</v>
      </c>
      <c r="B143" s="15" t="s">
        <v>132</v>
      </c>
      <c r="C143" s="16">
        <v>270</v>
      </c>
      <c r="D143" s="11"/>
      <c r="E143" s="11">
        <v>661.55</v>
      </c>
      <c r="F143" s="11">
        <v>1301.17</v>
      </c>
      <c r="G143" s="11">
        <v>1747.34</v>
      </c>
      <c r="H143" s="3"/>
      <c r="I143" s="11">
        <v>487</v>
      </c>
      <c r="J143" s="11">
        <v>487</v>
      </c>
      <c r="K143" s="3"/>
      <c r="L143" s="11">
        <f>+'[1]Non-Union - 3.5%'!$R$43</f>
        <v>499.66487999999998</v>
      </c>
      <c r="M143" s="38">
        <f t="shared" si="4"/>
        <v>1.0260059137577002</v>
      </c>
    </row>
    <row r="144" spans="1:13" hidden="1" x14ac:dyDescent="0.25">
      <c r="A144" s="14" t="s">
        <v>199</v>
      </c>
      <c r="B144" s="15" t="s">
        <v>200</v>
      </c>
      <c r="C144" s="16">
        <v>502</v>
      </c>
      <c r="D144" s="11">
        <v>545.34</v>
      </c>
      <c r="E144" s="11">
        <v>738.29</v>
      </c>
      <c r="F144" s="11">
        <v>1088.67</v>
      </c>
      <c r="G144" s="11">
        <v>1300.55</v>
      </c>
      <c r="H144" s="3"/>
      <c r="I144" s="11">
        <v>1000</v>
      </c>
      <c r="J144" s="11">
        <v>1000</v>
      </c>
      <c r="K144" s="3"/>
      <c r="L144" s="11">
        <v>1500</v>
      </c>
      <c r="M144" s="38">
        <f t="shared" si="4"/>
        <v>1.5</v>
      </c>
    </row>
    <row r="145" spans="1:13" hidden="1" x14ac:dyDescent="0.25">
      <c r="A145" s="14" t="s">
        <v>201</v>
      </c>
      <c r="B145" s="15" t="s">
        <v>182</v>
      </c>
      <c r="C145" s="16">
        <v>960</v>
      </c>
      <c r="D145" s="11">
        <v>1524.36</v>
      </c>
      <c r="E145" s="11">
        <v>1848.74</v>
      </c>
      <c r="F145" s="11">
        <v>1790.09</v>
      </c>
      <c r="G145" s="11">
        <v>1692.08</v>
      </c>
      <c r="H145" s="3"/>
      <c r="I145" s="11">
        <v>2500</v>
      </c>
      <c r="J145" s="11">
        <v>2500</v>
      </c>
      <c r="K145" s="3"/>
      <c r="L145" s="11">
        <v>2500</v>
      </c>
      <c r="M145" s="38">
        <f t="shared" si="4"/>
        <v>1</v>
      </c>
    </row>
    <row r="146" spans="1:13" hidden="1" x14ac:dyDescent="0.25">
      <c r="A146" s="14">
        <v>6060610</v>
      </c>
      <c r="B146" s="15" t="s">
        <v>184</v>
      </c>
      <c r="C146" s="16"/>
      <c r="D146" s="11"/>
      <c r="E146" s="11"/>
      <c r="F146" s="11">
        <v>453.95</v>
      </c>
      <c r="G146" s="11">
        <v>0</v>
      </c>
      <c r="H146" s="3"/>
      <c r="I146" s="11"/>
      <c r="J146" s="11"/>
      <c r="K146" s="3"/>
      <c r="L146" s="11"/>
    </row>
    <row r="147" spans="1:13" hidden="1" x14ac:dyDescent="0.25">
      <c r="A147" s="14" t="s">
        <v>202</v>
      </c>
      <c r="B147" s="15" t="s">
        <v>156</v>
      </c>
      <c r="C147" s="16">
        <v>145</v>
      </c>
      <c r="D147" s="11">
        <v>200.74</v>
      </c>
      <c r="E147" s="11">
        <v>0</v>
      </c>
      <c r="F147" s="11"/>
      <c r="G147" s="11">
        <v>205</v>
      </c>
      <c r="H147" s="3"/>
      <c r="I147" s="11">
        <v>500</v>
      </c>
      <c r="J147" s="11">
        <v>500</v>
      </c>
      <c r="K147" s="3"/>
      <c r="L147" s="11">
        <v>500</v>
      </c>
      <c r="M147" s="38">
        <f>+L147/J147</f>
        <v>1</v>
      </c>
    </row>
    <row r="148" spans="1:13" hidden="1" x14ac:dyDescent="0.25">
      <c r="A148" s="14" t="s">
        <v>203</v>
      </c>
      <c r="B148" s="15" t="s">
        <v>158</v>
      </c>
      <c r="C148" s="16">
        <v>155</v>
      </c>
      <c r="D148" s="11">
        <v>165</v>
      </c>
      <c r="E148" s="11">
        <v>165</v>
      </c>
      <c r="F148" s="11">
        <v>903.91</v>
      </c>
      <c r="G148" s="11">
        <v>70</v>
      </c>
      <c r="H148" s="3"/>
      <c r="I148" s="11">
        <v>1000</v>
      </c>
      <c r="J148" s="11">
        <v>1000</v>
      </c>
      <c r="K148" s="3"/>
      <c r="L148" s="11">
        <v>500</v>
      </c>
      <c r="M148" s="38">
        <f>+L148/J148</f>
        <v>0.5</v>
      </c>
    </row>
    <row r="149" spans="1:13" hidden="1" x14ac:dyDescent="0.25">
      <c r="A149" s="14" t="s">
        <v>204</v>
      </c>
      <c r="B149" s="15" t="s">
        <v>160</v>
      </c>
      <c r="C149" s="16">
        <v>864</v>
      </c>
      <c r="D149" s="11">
        <v>1547.8</v>
      </c>
      <c r="E149" s="11">
        <v>913.43</v>
      </c>
      <c r="F149" s="11">
        <v>1486.03</v>
      </c>
      <c r="G149" s="11">
        <v>1402.02</v>
      </c>
      <c r="H149" s="3"/>
      <c r="I149" s="11">
        <v>2500</v>
      </c>
      <c r="J149" s="11">
        <v>2500</v>
      </c>
      <c r="K149" s="3"/>
      <c r="L149" s="11">
        <v>2000</v>
      </c>
      <c r="M149" s="38">
        <f>+L149/J149</f>
        <v>0.8</v>
      </c>
    </row>
    <row r="150" spans="1:13" hidden="1" x14ac:dyDescent="0.25">
      <c r="A150" s="14" t="s">
        <v>205</v>
      </c>
      <c r="B150" s="15" t="s">
        <v>80</v>
      </c>
      <c r="C150" s="16">
        <v>99</v>
      </c>
      <c r="D150" s="11">
        <v>53.38</v>
      </c>
      <c r="E150" s="11">
        <v>52</v>
      </c>
      <c r="F150" s="11">
        <v>75.03</v>
      </c>
      <c r="G150" s="11">
        <v>0</v>
      </c>
      <c r="H150" s="3"/>
      <c r="I150" s="11">
        <v>250</v>
      </c>
      <c r="J150" s="11">
        <v>250</v>
      </c>
      <c r="K150" s="3"/>
      <c r="L150" s="11">
        <v>250</v>
      </c>
      <c r="M150" s="38">
        <f>+L150/J150</f>
        <v>1</v>
      </c>
    </row>
    <row r="151" spans="1:13" hidden="1" x14ac:dyDescent="0.25">
      <c r="A151" s="14"/>
      <c r="B151" s="15"/>
      <c r="C151" s="16"/>
      <c r="D151" s="11"/>
      <c r="E151" s="11"/>
      <c r="F151" s="11"/>
      <c r="G151" s="11"/>
      <c r="H151" s="3"/>
      <c r="I151" s="11"/>
      <c r="J151" s="11"/>
      <c r="K151" s="3"/>
      <c r="L151" s="11"/>
    </row>
    <row r="152" spans="1:13" hidden="1" x14ac:dyDescent="0.25">
      <c r="A152" s="29"/>
      <c r="B152" s="30" t="s">
        <v>206</v>
      </c>
      <c r="C152" s="16">
        <f>SUM(C138:C150)</f>
        <v>70753</v>
      </c>
      <c r="D152" s="11">
        <f>SUM(D138:D150)</f>
        <v>75846.850000000006</v>
      </c>
      <c r="E152" s="11">
        <f>SUM(E138:E150)</f>
        <v>77715.17</v>
      </c>
      <c r="F152" s="11">
        <f>SUM(F138:F150)</f>
        <v>107102.64999999998</v>
      </c>
      <c r="G152" s="11">
        <f>SUM(G138:G150)</f>
        <v>90565.73</v>
      </c>
      <c r="H152" s="3"/>
      <c r="I152" s="11">
        <f>SUM(I138:I150)</f>
        <v>145714</v>
      </c>
      <c r="J152" s="11">
        <f>SUM(J138:J150)</f>
        <v>145714</v>
      </c>
      <c r="K152" s="3"/>
      <c r="L152" s="11">
        <f>SUM(L138:L150)</f>
        <v>151128.85088000001</v>
      </c>
      <c r="M152" s="38">
        <f>+L152/J152</f>
        <v>1.0371608141976749</v>
      </c>
    </row>
    <row r="153" spans="1:13" x14ac:dyDescent="0.25">
      <c r="A153" s="29"/>
      <c r="B153" s="30"/>
      <c r="C153" s="16"/>
      <c r="D153" s="11"/>
      <c r="E153" s="11"/>
      <c r="F153" s="11"/>
      <c r="G153" s="11"/>
      <c r="H153" s="3"/>
      <c r="I153" s="11"/>
      <c r="J153" s="11"/>
      <c r="K153" s="3"/>
      <c r="L153" s="11"/>
    </row>
    <row r="154" spans="1:13" x14ac:dyDescent="0.25">
      <c r="A154" s="14" t="s">
        <v>207</v>
      </c>
      <c r="B154" s="15" t="s">
        <v>124</v>
      </c>
      <c r="C154" s="16">
        <v>41240</v>
      </c>
      <c r="D154" s="11">
        <v>60236.07</v>
      </c>
      <c r="E154" s="11">
        <v>33683.4</v>
      </c>
      <c r="F154" s="11">
        <v>39820.85</v>
      </c>
      <c r="G154" s="11">
        <v>25463.07</v>
      </c>
      <c r="H154" s="3"/>
      <c r="I154" s="11">
        <v>62859</v>
      </c>
      <c r="J154" s="11">
        <v>40000</v>
      </c>
      <c r="K154" s="3"/>
      <c r="L154" s="11">
        <f>+'[1]Non-Union - 3.5%'!$I$47</f>
        <v>29062.799999999996</v>
      </c>
      <c r="M154" s="38">
        <f t="shared" ref="M154:M160" si="5">+L154/J154</f>
        <v>0.72656999999999994</v>
      </c>
    </row>
    <row r="155" spans="1:13" x14ac:dyDescent="0.25">
      <c r="A155" s="14" t="s">
        <v>208</v>
      </c>
      <c r="B155" s="15" t="s">
        <v>126</v>
      </c>
      <c r="C155" s="16">
        <v>3874</v>
      </c>
      <c r="D155" s="11">
        <v>5318.45</v>
      </c>
      <c r="E155" s="11">
        <v>2923.34</v>
      </c>
      <c r="F155" s="11">
        <v>3373.75</v>
      </c>
      <c r="G155" s="11">
        <v>1995.67</v>
      </c>
      <c r="H155" s="3"/>
      <c r="I155" s="11">
        <v>5029</v>
      </c>
      <c r="J155" s="11">
        <v>3200</v>
      </c>
      <c r="K155" s="3"/>
      <c r="L155" s="11">
        <f>+'[1]Non-Union - 3.5%'!$P$47</f>
        <v>2325.0239999999999</v>
      </c>
      <c r="M155" s="38">
        <f t="shared" si="5"/>
        <v>0.72656999999999994</v>
      </c>
    </row>
    <row r="156" spans="1:13" x14ac:dyDescent="0.25">
      <c r="A156" s="14" t="s">
        <v>209</v>
      </c>
      <c r="B156" s="15" t="s">
        <v>171</v>
      </c>
      <c r="C156" s="16">
        <v>18</v>
      </c>
      <c r="D156" s="11">
        <v>11.7</v>
      </c>
      <c r="E156" s="11">
        <v>0</v>
      </c>
      <c r="F156" s="11"/>
      <c r="G156" s="11">
        <v>324.13</v>
      </c>
      <c r="H156" s="3"/>
      <c r="I156" s="11"/>
      <c r="J156" s="11"/>
      <c r="K156" s="3"/>
      <c r="L156" s="11">
        <v>250</v>
      </c>
    </row>
    <row r="157" spans="1:13" x14ac:dyDescent="0.25">
      <c r="A157" s="14" t="s">
        <v>210</v>
      </c>
      <c r="B157" s="15" t="s">
        <v>132</v>
      </c>
      <c r="C157" s="16">
        <v>111</v>
      </c>
      <c r="D157" s="11">
        <v>87.01</v>
      </c>
      <c r="E157" s="11">
        <v>647.65</v>
      </c>
      <c r="F157" s="11">
        <v>1301.17</v>
      </c>
      <c r="G157" s="11">
        <v>610.53</v>
      </c>
      <c r="H157" s="3"/>
      <c r="I157" s="11">
        <v>82</v>
      </c>
      <c r="J157" s="11">
        <v>82</v>
      </c>
      <c r="K157" s="3"/>
      <c r="L157" s="11">
        <f>+'[1]Non-Union - 3.5%'!$R$47</f>
        <v>37.781639999999996</v>
      </c>
      <c r="M157" s="38">
        <f t="shared" si="5"/>
        <v>0.4607517073170731</v>
      </c>
    </row>
    <row r="158" spans="1:13" x14ac:dyDescent="0.25">
      <c r="A158" s="14">
        <v>6071300</v>
      </c>
      <c r="B158" s="15" t="s">
        <v>211</v>
      </c>
      <c r="C158" s="16">
        <v>0</v>
      </c>
      <c r="D158" s="11">
        <v>421.17</v>
      </c>
      <c r="E158" s="11">
        <v>188.65</v>
      </c>
      <c r="F158" s="11"/>
      <c r="G158" s="11">
        <v>0</v>
      </c>
      <c r="H158" s="3"/>
      <c r="I158" s="11">
        <v>250</v>
      </c>
      <c r="J158" s="11">
        <v>250</v>
      </c>
      <c r="K158" s="3"/>
      <c r="L158" s="11">
        <v>250</v>
      </c>
      <c r="M158" s="38">
        <f t="shared" si="5"/>
        <v>1</v>
      </c>
    </row>
    <row r="159" spans="1:13" x14ac:dyDescent="0.25">
      <c r="A159" s="14" t="s">
        <v>212</v>
      </c>
      <c r="B159" s="15" t="s">
        <v>160</v>
      </c>
      <c r="C159" s="16">
        <v>749</v>
      </c>
      <c r="D159" s="11">
        <v>1967.46</v>
      </c>
      <c r="E159" s="11">
        <v>1154.2</v>
      </c>
      <c r="F159" s="11">
        <v>629.27</v>
      </c>
      <c r="G159" s="11">
        <v>907.21</v>
      </c>
      <c r="H159" s="3"/>
      <c r="I159" s="11">
        <v>1200</v>
      </c>
      <c r="J159" s="11">
        <v>1200</v>
      </c>
      <c r="K159" s="3"/>
      <c r="L159" s="11">
        <v>1200</v>
      </c>
      <c r="M159" s="38">
        <f t="shared" si="5"/>
        <v>1</v>
      </c>
    </row>
    <row r="160" spans="1:13" x14ac:dyDescent="0.25">
      <c r="A160" s="14" t="s">
        <v>213</v>
      </c>
      <c r="B160" s="15" t="s">
        <v>80</v>
      </c>
      <c r="C160" s="16">
        <v>444</v>
      </c>
      <c r="D160" s="11">
        <v>1106.8800000000001</v>
      </c>
      <c r="E160" s="11">
        <v>0</v>
      </c>
      <c r="F160" s="11"/>
      <c r="G160" s="11">
        <v>0</v>
      </c>
      <c r="H160" s="3"/>
      <c r="I160" s="11">
        <v>500</v>
      </c>
      <c r="J160" s="11">
        <v>500</v>
      </c>
      <c r="K160" s="3"/>
      <c r="L160" s="11">
        <v>250</v>
      </c>
      <c r="M160" s="38">
        <f t="shared" si="5"/>
        <v>0.5</v>
      </c>
    </row>
    <row r="161" spans="1:13" x14ac:dyDescent="0.25">
      <c r="A161" s="14"/>
      <c r="B161" s="15"/>
      <c r="C161" s="16"/>
      <c r="D161" s="11"/>
      <c r="E161" s="11"/>
      <c r="F161" s="11"/>
      <c r="G161" s="11"/>
      <c r="H161" s="3"/>
      <c r="I161" s="11"/>
      <c r="J161" s="11"/>
      <c r="K161" s="3"/>
      <c r="L161" s="11"/>
    </row>
    <row r="162" spans="1:13" x14ac:dyDescent="0.25">
      <c r="A162" s="29"/>
      <c r="B162" s="30" t="s">
        <v>214</v>
      </c>
      <c r="C162" s="16">
        <f>SUM(C154:C160)</f>
        <v>46436</v>
      </c>
      <c r="D162" s="11">
        <f>SUM(D154:D160)</f>
        <v>69148.740000000005</v>
      </c>
      <c r="E162" s="11">
        <f>SUM(E154:E160)</f>
        <v>38597.240000000005</v>
      </c>
      <c r="F162" s="11">
        <f>SUM(F154:F160)</f>
        <v>45125.039999999994</v>
      </c>
      <c r="G162" s="11">
        <f>SUM(G154:G160)</f>
        <v>29300.609999999997</v>
      </c>
      <c r="H162" s="3"/>
      <c r="I162" s="11">
        <f>SUM(I154:I160)</f>
        <v>69920</v>
      </c>
      <c r="J162" s="11">
        <f>SUM(J154:J160)</f>
        <v>45232</v>
      </c>
      <c r="K162" s="3"/>
      <c r="L162" s="11">
        <f>SUM(L154:L160)</f>
        <v>33375.605639999994</v>
      </c>
      <c r="M162" s="38">
        <f>+L162/J162</f>
        <v>0.73787596480367867</v>
      </c>
    </row>
    <row r="163" spans="1:13" x14ac:dyDescent="0.25">
      <c r="A163" s="29"/>
      <c r="B163" s="30"/>
      <c r="C163" s="16"/>
      <c r="D163" s="11"/>
      <c r="E163" s="11"/>
      <c r="F163" s="11"/>
      <c r="G163" s="11"/>
      <c r="H163" s="3"/>
      <c r="I163" s="11"/>
      <c r="J163" s="11"/>
      <c r="K163" s="3"/>
      <c r="L163" s="11"/>
    </row>
    <row r="164" spans="1:13" hidden="1" x14ac:dyDescent="0.25">
      <c r="A164" s="17" t="s">
        <v>21</v>
      </c>
      <c r="B164" s="18" t="s">
        <v>215</v>
      </c>
      <c r="C164" s="11">
        <f>+C162+C152+C136+C111+C86</f>
        <v>1151613</v>
      </c>
      <c r="D164" s="11">
        <f>+D162+D152+D136+D111+D86</f>
        <v>1341454.58</v>
      </c>
      <c r="E164" s="11">
        <f>+E162+E152+E136+E111+E86</f>
        <v>1196697.2400000002</v>
      </c>
      <c r="F164" s="11">
        <f>+F162+F152+F136+F111+F86</f>
        <v>1526616.7560000001</v>
      </c>
      <c r="G164" s="11">
        <f>+G162+G152+G136+G111+G86</f>
        <v>1215212.9099999999</v>
      </c>
      <c r="H164" s="3"/>
      <c r="I164" s="11">
        <f>+I162+I152+I136+I111+I86</f>
        <v>1709098.3</v>
      </c>
      <c r="J164" s="11">
        <f>+J162+J152+J136+J111+J86</f>
        <v>1824010.3</v>
      </c>
      <c r="K164" s="3"/>
      <c r="L164" s="11">
        <f>+L162+L152+L136+L111+L86</f>
        <v>1771859.0770402863</v>
      </c>
      <c r="M164" s="38">
        <f>+L164/J164</f>
        <v>0.97140848220006559</v>
      </c>
    </row>
    <row r="165" spans="1:13" hidden="1" x14ac:dyDescent="0.25">
      <c r="D165" s="11"/>
      <c r="E165" s="11"/>
      <c r="F165" s="11"/>
      <c r="G165" s="11"/>
      <c r="H165" s="3"/>
      <c r="I165" s="11"/>
      <c r="J165" s="11"/>
      <c r="K165" s="3"/>
      <c r="L165" s="11"/>
    </row>
    <row r="166" spans="1:13" hidden="1" x14ac:dyDescent="0.25">
      <c r="A166" s="9" t="s">
        <v>216</v>
      </c>
      <c r="B166" s="10" t="s">
        <v>217</v>
      </c>
      <c r="D166" s="11"/>
      <c r="E166" s="11"/>
      <c r="F166" s="11"/>
      <c r="G166" s="11"/>
      <c r="H166" s="3"/>
      <c r="I166" s="11"/>
      <c r="J166" s="11"/>
      <c r="K166" s="3"/>
      <c r="L166" s="11"/>
    </row>
    <row r="167" spans="1:13" hidden="1" x14ac:dyDescent="0.25">
      <c r="A167" s="12" t="s">
        <v>9</v>
      </c>
      <c r="B167" s="13" t="s">
        <v>10</v>
      </c>
      <c r="D167" s="11"/>
      <c r="E167" s="11"/>
      <c r="F167" s="11"/>
      <c r="G167" s="11"/>
      <c r="H167" s="3"/>
      <c r="I167" s="11"/>
      <c r="J167" s="11"/>
      <c r="K167" s="3"/>
      <c r="L167" s="11"/>
    </row>
    <row r="168" spans="1:13" hidden="1" x14ac:dyDescent="0.25">
      <c r="A168" s="14" t="s">
        <v>218</v>
      </c>
      <c r="B168" s="15" t="s">
        <v>219</v>
      </c>
      <c r="C168" s="16">
        <v>676230</v>
      </c>
      <c r="D168" s="11">
        <v>793144.54</v>
      </c>
      <c r="E168" s="11">
        <v>725138.85</v>
      </c>
      <c r="F168" s="11">
        <v>1037671.5</v>
      </c>
      <c r="G168" s="11">
        <v>861248.2</v>
      </c>
      <c r="H168" s="3"/>
      <c r="I168" s="11">
        <v>1150000</v>
      </c>
      <c r="J168" s="11">
        <v>1320000</v>
      </c>
      <c r="K168" s="3"/>
      <c r="L168" s="11">
        <f>+'[1]Non-Union - 3.5%'!$I$17+[1]Union!$H$22+[1]Union!$U$22+[1]Union!$V$22+[1]Union!$W$22</f>
        <v>1347217.3961057691</v>
      </c>
      <c r="M168" s="38">
        <f t="shared" ref="M168:M185" si="6">+L168/J168</f>
        <v>1.0206192394740674</v>
      </c>
    </row>
    <row r="169" spans="1:13" hidden="1" x14ac:dyDescent="0.25">
      <c r="A169" s="14" t="s">
        <v>220</v>
      </c>
      <c r="B169" s="15" t="s">
        <v>221</v>
      </c>
      <c r="C169" s="16">
        <v>0</v>
      </c>
      <c r="D169" s="11">
        <v>2250</v>
      </c>
      <c r="E169" s="11">
        <v>9570</v>
      </c>
      <c r="F169" s="11">
        <v>50469.64</v>
      </c>
      <c r="G169" s="11">
        <v>31345</v>
      </c>
      <c r="H169" s="3"/>
      <c r="I169" s="11">
        <v>55120</v>
      </c>
      <c r="J169" s="11">
        <v>55120</v>
      </c>
      <c r="K169" s="3"/>
      <c r="L169" s="11">
        <v>50000</v>
      </c>
      <c r="M169" s="38">
        <f t="shared" si="6"/>
        <v>0.90711175616835993</v>
      </c>
    </row>
    <row r="170" spans="1:13" hidden="1" x14ac:dyDescent="0.25">
      <c r="A170" s="14" t="s">
        <v>222</v>
      </c>
      <c r="B170" s="15" t="s">
        <v>223</v>
      </c>
      <c r="C170" s="16">
        <v>55881</v>
      </c>
      <c r="D170" s="11">
        <v>57543.17</v>
      </c>
      <c r="E170" s="11">
        <v>55670.48</v>
      </c>
      <c r="F170" s="11">
        <v>82622.080000000002</v>
      </c>
      <c r="G170" s="11">
        <v>62208.480000000003</v>
      </c>
      <c r="H170" s="3"/>
      <c r="I170" s="11">
        <f>8650+12100+68163</f>
        <v>88913</v>
      </c>
      <c r="J170" s="11">
        <v>110009.60000000001</v>
      </c>
      <c r="K170" s="3"/>
      <c r="L170" s="11">
        <f>9253+[1]Union!$O$22+[1]Union!$Z$22</f>
        <v>107777.22048846152</v>
      </c>
      <c r="M170" s="38">
        <f t="shared" si="6"/>
        <v>0.97970741179371179</v>
      </c>
    </row>
    <row r="171" spans="1:13" hidden="1" x14ac:dyDescent="0.25">
      <c r="A171" s="14" t="s">
        <v>224</v>
      </c>
      <c r="B171" s="15" t="s">
        <v>225</v>
      </c>
      <c r="C171" s="16">
        <v>152064</v>
      </c>
      <c r="D171" s="11">
        <v>142017.5</v>
      </c>
      <c r="E171" s="11">
        <v>140830.78</v>
      </c>
      <c r="F171" s="11">
        <v>192240.68</v>
      </c>
      <c r="G171" s="11">
        <v>181109.85</v>
      </c>
      <c r="H171" s="3"/>
      <c r="I171" s="11">
        <f>6469+266647+10641+2672+1879</f>
        <v>288308</v>
      </c>
      <c r="J171" s="11">
        <v>288308</v>
      </c>
      <c r="K171" s="3"/>
      <c r="L171" s="11">
        <f>7200+[1]Union!$J$22+[1]Union!$K$22+[1]Union!$L$22+[1]Union!$M$22</f>
        <v>352847.2680000001</v>
      </c>
      <c r="M171" s="38">
        <f t="shared" si="6"/>
        <v>1.223855279770246</v>
      </c>
    </row>
    <row r="172" spans="1:13" hidden="1" x14ac:dyDescent="0.25">
      <c r="A172" s="14" t="s">
        <v>226</v>
      </c>
      <c r="B172" s="15" t="s">
        <v>227</v>
      </c>
      <c r="C172" s="16">
        <v>80802</v>
      </c>
      <c r="D172" s="11">
        <v>98566.28</v>
      </c>
      <c r="E172" s="11">
        <v>68124.479999999996</v>
      </c>
      <c r="F172" s="11">
        <v>90168.43</v>
      </c>
      <c r="G172" s="11">
        <v>85964.77</v>
      </c>
      <c r="H172" s="3"/>
      <c r="I172" s="11">
        <f>144847+18380</f>
        <v>163227</v>
      </c>
      <c r="J172" s="11">
        <v>163227</v>
      </c>
      <c r="K172" s="3"/>
      <c r="L172" s="11">
        <f>464+[1]Union!$N$22</f>
        <v>157782.92819999999</v>
      </c>
      <c r="M172" s="38">
        <f t="shared" si="6"/>
        <v>0.9666472348324725</v>
      </c>
    </row>
    <row r="173" spans="1:13" hidden="1" x14ac:dyDescent="0.25">
      <c r="A173" s="14" t="s">
        <v>228</v>
      </c>
      <c r="B173" s="15" t="s">
        <v>229</v>
      </c>
      <c r="C173" s="16">
        <v>10188</v>
      </c>
      <c r="D173" s="11">
        <v>16231.68</v>
      </c>
      <c r="E173" s="11">
        <v>5561.98</v>
      </c>
      <c r="F173" s="11">
        <v>77009.759999999995</v>
      </c>
      <c r="G173" s="11">
        <v>24155.46</v>
      </c>
      <c r="H173" s="3"/>
      <c r="I173" s="11">
        <v>20000</v>
      </c>
      <c r="J173" s="11">
        <v>20000</v>
      </c>
      <c r="K173" s="3"/>
      <c r="L173" s="11">
        <v>20000</v>
      </c>
      <c r="M173" s="38">
        <f t="shared" si="6"/>
        <v>1</v>
      </c>
    </row>
    <row r="174" spans="1:13" hidden="1" x14ac:dyDescent="0.25">
      <c r="A174" s="14" t="s">
        <v>230</v>
      </c>
      <c r="B174" s="15" t="s">
        <v>231</v>
      </c>
      <c r="C174" s="16">
        <v>25001</v>
      </c>
      <c r="D174" s="11">
        <v>31230.12</v>
      </c>
      <c r="E174" s="11">
        <v>19763.8</v>
      </c>
      <c r="F174" s="11">
        <v>8095.98</v>
      </c>
      <c r="G174" s="11">
        <v>33114.26</v>
      </c>
      <c r="H174" s="3"/>
      <c r="I174" s="11">
        <f>29055+5158+3687</f>
        <v>37900</v>
      </c>
      <c r="J174" s="11">
        <v>37900</v>
      </c>
      <c r="K174" s="3"/>
      <c r="L174" s="11">
        <f>3944+[1]Union!$Q$22+[1]Union!$Y$22</f>
        <v>45939.948983206727</v>
      </c>
      <c r="M174" s="38">
        <f t="shared" si="6"/>
        <v>1.2121358570766947</v>
      </c>
    </row>
    <row r="175" spans="1:13" hidden="1" x14ac:dyDescent="0.25">
      <c r="A175" s="14" t="s">
        <v>232</v>
      </c>
      <c r="B175" s="15" t="s">
        <v>233</v>
      </c>
      <c r="C175" s="16">
        <v>120533</v>
      </c>
      <c r="D175" s="11">
        <v>128146.94</v>
      </c>
      <c r="E175" s="11">
        <v>101451.3</v>
      </c>
      <c r="F175" s="11">
        <v>223940.33</v>
      </c>
      <c r="G175" s="11">
        <v>221517.37</v>
      </c>
      <c r="H175" s="3"/>
      <c r="I175" s="11">
        <f>270263+51628</f>
        <v>321891</v>
      </c>
      <c r="J175" s="11">
        <v>321891</v>
      </c>
      <c r="K175" s="3"/>
      <c r="L175" s="11">
        <f>+'[1]Non-Union - 3.5%'!$I$27+'[1]Non-Union - 3.5%'!$V$27</f>
        <v>353446.86481349997</v>
      </c>
      <c r="M175" s="38">
        <f t="shared" si="6"/>
        <v>1.098032765170508</v>
      </c>
    </row>
    <row r="176" spans="1:13" hidden="1" x14ac:dyDescent="0.25">
      <c r="A176" s="14" t="s">
        <v>234</v>
      </c>
      <c r="B176" s="15" t="s">
        <v>235</v>
      </c>
      <c r="C176" s="16">
        <v>10228</v>
      </c>
      <c r="D176" s="11">
        <v>11300.56</v>
      </c>
      <c r="E176" s="11">
        <v>8147.5</v>
      </c>
      <c r="F176" s="11">
        <v>17331.79</v>
      </c>
      <c r="G176" s="11">
        <v>15040.61</v>
      </c>
      <c r="H176" s="3"/>
      <c r="I176" s="11">
        <f>21621+4130</f>
        <v>25751</v>
      </c>
      <c r="J176" s="11">
        <v>25751</v>
      </c>
      <c r="K176" s="3"/>
      <c r="L176" s="11">
        <f>+'[1]Non-Union - 3.5%'!$P$27+'[1]Non-Union - 3.5%'!$Z$27</f>
        <v>28275.74918508</v>
      </c>
      <c r="M176" s="38">
        <f t="shared" si="6"/>
        <v>1.0980447044806028</v>
      </c>
    </row>
    <row r="177" spans="1:13" hidden="1" x14ac:dyDescent="0.25">
      <c r="A177" s="14" t="s">
        <v>236</v>
      </c>
      <c r="B177" s="15" t="s">
        <v>237</v>
      </c>
      <c r="C177" s="16">
        <v>41198</v>
      </c>
      <c r="D177" s="11">
        <v>39635.67</v>
      </c>
      <c r="E177" s="11">
        <v>23581.19</v>
      </c>
      <c r="F177" s="11">
        <v>78593.440000000002</v>
      </c>
      <c r="G177" s="11">
        <v>70617.97</v>
      </c>
      <c r="H177" s="3"/>
      <c r="I177" s="11">
        <f>122947+5856+1474</f>
        <v>130277</v>
      </c>
      <c r="J177" s="11">
        <v>130277</v>
      </c>
      <c r="K177" s="3"/>
      <c r="L177" s="11">
        <f>+SUM('[1]Non-Union - 3.5%'!$K$27:$N$27)</f>
        <v>129595.01999999999</v>
      </c>
      <c r="M177" s="38">
        <f t="shared" si="6"/>
        <v>0.99476515424825551</v>
      </c>
    </row>
    <row r="178" spans="1:13" hidden="1" x14ac:dyDescent="0.25">
      <c r="A178" s="14" t="s">
        <v>238</v>
      </c>
      <c r="B178" s="15" t="s">
        <v>239</v>
      </c>
      <c r="C178" s="16">
        <v>1799</v>
      </c>
      <c r="D178" s="11">
        <v>2200.7800000000002</v>
      </c>
      <c r="E178" s="11">
        <v>3043.2</v>
      </c>
      <c r="F178" s="11">
        <v>1929.9</v>
      </c>
      <c r="G178" s="11">
        <v>1994.23</v>
      </c>
      <c r="H178" s="3"/>
      <c r="I178" s="11">
        <f>4974+986</f>
        <v>5960</v>
      </c>
      <c r="J178" s="11">
        <v>5960</v>
      </c>
      <c r="K178" s="3"/>
      <c r="L178" s="11">
        <f>+'[1]Non-Union - 3.5%'!$O$27+'[1]Non-Union - 3.5%'!$X$27</f>
        <v>3215.8542699999998</v>
      </c>
      <c r="M178" s="38">
        <f t="shared" si="6"/>
        <v>0.53957286409395966</v>
      </c>
    </row>
    <row r="179" spans="1:13" hidden="1" x14ac:dyDescent="0.25">
      <c r="A179" s="14">
        <v>6030250</v>
      </c>
      <c r="B179" s="15" t="s">
        <v>240</v>
      </c>
      <c r="C179" s="16"/>
      <c r="D179" s="11"/>
      <c r="E179" s="11"/>
      <c r="F179" s="11">
        <v>218.25</v>
      </c>
      <c r="G179" s="11">
        <v>2698.36</v>
      </c>
      <c r="H179" s="3"/>
      <c r="I179" s="11"/>
      <c r="J179" s="11">
        <v>2700</v>
      </c>
      <c r="K179" s="3"/>
      <c r="L179" s="11">
        <v>1500</v>
      </c>
      <c r="M179" s="38">
        <f t="shared" si="6"/>
        <v>0.55555555555555558</v>
      </c>
    </row>
    <row r="180" spans="1:13" hidden="1" x14ac:dyDescent="0.25">
      <c r="A180" s="14" t="s">
        <v>241</v>
      </c>
      <c r="B180" s="15" t="s">
        <v>242</v>
      </c>
      <c r="C180" s="16">
        <v>226</v>
      </c>
      <c r="D180" s="11">
        <v>161.86000000000001</v>
      </c>
      <c r="E180" s="11">
        <v>1384.45</v>
      </c>
      <c r="F180" s="11">
        <v>2698.66</v>
      </c>
      <c r="G180" s="11">
        <v>5311.77</v>
      </c>
      <c r="H180" s="3"/>
      <c r="I180" s="11">
        <f>351+67</f>
        <v>418</v>
      </c>
      <c r="J180" s="11">
        <v>7500</v>
      </c>
      <c r="K180" s="3"/>
      <c r="L180" s="11">
        <f>+'[1]Non-Union - 3.5%'!$R$27+'[1]Non-Union - 3.5%'!$Y$27</f>
        <v>459.48092425754999</v>
      </c>
      <c r="M180" s="38">
        <f t="shared" si="6"/>
        <v>6.1264123234339996E-2</v>
      </c>
    </row>
    <row r="181" spans="1:13" hidden="1" x14ac:dyDescent="0.25">
      <c r="A181" s="14" t="s">
        <v>243</v>
      </c>
      <c r="B181" s="15" t="s">
        <v>134</v>
      </c>
      <c r="C181" s="16">
        <v>157168</v>
      </c>
      <c r="D181" s="11">
        <v>166288.71</v>
      </c>
      <c r="E181" s="11">
        <v>205211.96</v>
      </c>
      <c r="F181" s="11">
        <v>202842.41</v>
      </c>
      <c r="G181" s="11">
        <v>177363.55</v>
      </c>
      <c r="H181" s="3"/>
      <c r="I181" s="11">
        <v>190320</v>
      </c>
      <c r="J181" s="11">
        <v>190320</v>
      </c>
      <c r="K181" s="3"/>
      <c r="L181" s="11">
        <v>196737</v>
      </c>
      <c r="M181" s="38">
        <f t="shared" si="6"/>
        <v>1.0337168978562421</v>
      </c>
    </row>
    <row r="182" spans="1:13" hidden="1" x14ac:dyDescent="0.25">
      <c r="A182" s="14" t="s">
        <v>244</v>
      </c>
      <c r="B182" s="15" t="s">
        <v>136</v>
      </c>
      <c r="C182" s="16">
        <v>13223</v>
      </c>
      <c r="D182" s="11">
        <v>20974.02</v>
      </c>
      <c r="E182" s="11">
        <v>19302.919999999998</v>
      </c>
      <c r="F182" s="11">
        <v>17279.099999999999</v>
      </c>
      <c r="G182" s="11">
        <v>14898.52</v>
      </c>
      <c r="H182" s="3"/>
      <c r="I182" s="11">
        <v>16250</v>
      </c>
      <c r="J182" s="11">
        <v>16250</v>
      </c>
      <c r="K182" s="3"/>
      <c r="L182" s="11">
        <v>19673.7</v>
      </c>
      <c r="M182" s="38">
        <f t="shared" si="6"/>
        <v>1.2106892307692307</v>
      </c>
    </row>
    <row r="183" spans="1:13" hidden="1" x14ac:dyDescent="0.25">
      <c r="A183" s="14" t="s">
        <v>245</v>
      </c>
      <c r="B183" s="15" t="s">
        <v>176</v>
      </c>
      <c r="C183" s="16">
        <v>3513</v>
      </c>
      <c r="D183" s="11">
        <v>3147.89</v>
      </c>
      <c r="E183" s="11">
        <v>2830.45</v>
      </c>
      <c r="F183" s="11">
        <v>11016.29</v>
      </c>
      <c r="G183" s="11">
        <v>17254.490000000002</v>
      </c>
      <c r="H183" s="3"/>
      <c r="I183" s="11">
        <v>8000</v>
      </c>
      <c r="J183" s="11">
        <v>18000</v>
      </c>
      <c r="K183" s="3"/>
      <c r="L183" s="11">
        <v>12000</v>
      </c>
      <c r="M183" s="38">
        <f t="shared" si="6"/>
        <v>0.66666666666666663</v>
      </c>
    </row>
    <row r="184" spans="1:13" hidden="1" x14ac:dyDescent="0.25">
      <c r="A184" s="14" t="s">
        <v>246</v>
      </c>
      <c r="B184" s="15" t="s">
        <v>138</v>
      </c>
      <c r="C184" s="16">
        <v>7876</v>
      </c>
      <c r="D184" s="11">
        <v>8659.57</v>
      </c>
      <c r="E184" s="11">
        <v>4580.3500000000004</v>
      </c>
      <c r="F184" s="11">
        <v>5397.32</v>
      </c>
      <c r="G184" s="11">
        <v>3477.22</v>
      </c>
      <c r="H184" s="3"/>
      <c r="I184" s="11">
        <v>6489.91</v>
      </c>
      <c r="J184" s="11">
        <v>6489.91</v>
      </c>
      <c r="K184" s="3"/>
      <c r="L184" s="11">
        <v>6708.73</v>
      </c>
      <c r="M184" s="38">
        <f t="shared" si="6"/>
        <v>1.0337169544724041</v>
      </c>
    </row>
    <row r="185" spans="1:13" hidden="1" x14ac:dyDescent="0.25">
      <c r="A185" s="14" t="s">
        <v>247</v>
      </c>
      <c r="B185" s="15" t="s">
        <v>140</v>
      </c>
      <c r="C185" s="16">
        <v>22435</v>
      </c>
      <c r="D185" s="11">
        <v>18414.25</v>
      </c>
      <c r="E185" s="11">
        <v>15920.44</v>
      </c>
      <c r="F185" s="11">
        <v>26310.71</v>
      </c>
      <c r="G185" s="11">
        <v>13795.04</v>
      </c>
      <c r="H185" s="3"/>
      <c r="I185" s="11">
        <v>15500</v>
      </c>
      <c r="J185" s="11">
        <v>15500</v>
      </c>
      <c r="K185" s="3"/>
      <c r="L185" s="11">
        <v>15500</v>
      </c>
      <c r="M185" s="38">
        <f t="shared" si="6"/>
        <v>1</v>
      </c>
    </row>
    <row r="186" spans="1:13" hidden="1" x14ac:dyDescent="0.25">
      <c r="A186" s="14" t="s">
        <v>248</v>
      </c>
      <c r="B186" s="15" t="s">
        <v>142</v>
      </c>
      <c r="C186" s="16">
        <v>2450</v>
      </c>
      <c r="D186" s="11">
        <v>2907.5</v>
      </c>
      <c r="E186" s="11">
        <v>2212.98</v>
      </c>
      <c r="F186" s="11">
        <v>2995</v>
      </c>
      <c r="G186" s="11">
        <v>0</v>
      </c>
      <c r="H186" s="3"/>
      <c r="I186" s="11"/>
      <c r="J186" s="11">
        <v>0</v>
      </c>
      <c r="K186" s="3"/>
      <c r="L186" s="11"/>
    </row>
    <row r="187" spans="1:13" hidden="1" x14ac:dyDescent="0.25">
      <c r="A187" s="14" t="s">
        <v>249</v>
      </c>
      <c r="B187" s="15" t="s">
        <v>144</v>
      </c>
      <c r="C187" s="16">
        <v>212</v>
      </c>
      <c r="D187" s="11">
        <v>427.5</v>
      </c>
      <c r="E187" s="11">
        <v>432</v>
      </c>
      <c r="F187" s="11">
        <v>438</v>
      </c>
      <c r="G187" s="11">
        <v>0</v>
      </c>
      <c r="H187" s="3"/>
      <c r="I187" s="11"/>
      <c r="J187" s="11">
        <v>0</v>
      </c>
      <c r="K187" s="3"/>
      <c r="L187" s="11"/>
    </row>
    <row r="188" spans="1:13" hidden="1" x14ac:dyDescent="0.25">
      <c r="A188" s="14" t="s">
        <v>250</v>
      </c>
      <c r="B188" s="15" t="s">
        <v>146</v>
      </c>
      <c r="C188" s="16">
        <v>3711</v>
      </c>
      <c r="D188" s="11">
        <v>2791.67</v>
      </c>
      <c r="E188" s="11">
        <v>2687.27</v>
      </c>
      <c r="F188" s="11">
        <v>5448.95</v>
      </c>
      <c r="G188" s="11">
        <v>0</v>
      </c>
      <c r="H188" s="3"/>
      <c r="I188" s="11"/>
      <c r="J188" s="11">
        <v>0</v>
      </c>
      <c r="K188" s="3"/>
      <c r="L188" s="11"/>
    </row>
    <row r="189" spans="1:13" hidden="1" x14ac:dyDescent="0.25">
      <c r="A189" s="14" t="s">
        <v>251</v>
      </c>
      <c r="B189" s="15" t="s">
        <v>182</v>
      </c>
      <c r="C189" s="16">
        <v>23160</v>
      </c>
      <c r="D189" s="11">
        <v>40171.89</v>
      </c>
      <c r="E189" s="11">
        <v>39764.980000000003</v>
      </c>
      <c r="F189" s="11">
        <v>47323.88</v>
      </c>
      <c r="G189" s="11">
        <v>39158.04</v>
      </c>
      <c r="H189" s="3"/>
      <c r="I189" s="11">
        <v>55000</v>
      </c>
      <c r="J189" s="11">
        <v>55000</v>
      </c>
      <c r="K189" s="3"/>
      <c r="L189" s="11">
        <v>55000</v>
      </c>
      <c r="M189" s="38">
        <f t="shared" ref="M189:M202" si="7">+L189/J189</f>
        <v>1</v>
      </c>
    </row>
    <row r="190" spans="1:13" hidden="1" x14ac:dyDescent="0.25">
      <c r="A190" s="14">
        <v>6030603</v>
      </c>
      <c r="B190" s="15" t="s">
        <v>252</v>
      </c>
      <c r="C190" s="16"/>
      <c r="D190" s="11"/>
      <c r="E190" s="11"/>
      <c r="F190" s="11"/>
      <c r="G190" s="11">
        <v>1053.7</v>
      </c>
      <c r="H190" s="3"/>
      <c r="I190" s="11"/>
      <c r="J190" s="11">
        <v>2500</v>
      </c>
      <c r="K190" s="3"/>
      <c r="L190" s="11">
        <v>5000</v>
      </c>
      <c r="M190" s="38">
        <f t="shared" si="7"/>
        <v>2</v>
      </c>
    </row>
    <row r="191" spans="1:13" hidden="1" x14ac:dyDescent="0.25">
      <c r="A191" s="14">
        <v>6030605</v>
      </c>
      <c r="B191" s="15" t="s">
        <v>148</v>
      </c>
      <c r="C191" s="16"/>
      <c r="D191" s="11"/>
      <c r="E191" s="11"/>
      <c r="F191" s="11">
        <v>60.52</v>
      </c>
      <c r="G191" s="11">
        <v>298.3</v>
      </c>
      <c r="H191" s="3"/>
      <c r="I191" s="11"/>
      <c r="J191" s="11">
        <v>500</v>
      </c>
      <c r="K191" s="3"/>
      <c r="L191" s="11">
        <v>500</v>
      </c>
      <c r="M191" s="38">
        <f t="shared" si="7"/>
        <v>1</v>
      </c>
    </row>
    <row r="192" spans="1:13" hidden="1" x14ac:dyDescent="0.25">
      <c r="A192" s="14" t="s">
        <v>253</v>
      </c>
      <c r="B192" s="15" t="s">
        <v>254</v>
      </c>
      <c r="C192" s="16">
        <v>34396</v>
      </c>
      <c r="D192" s="11">
        <v>27464.74</v>
      </c>
      <c r="E192" s="11">
        <v>37672.65</v>
      </c>
      <c r="F192" s="11">
        <v>37423.78</v>
      </c>
      <c r="G192" s="11">
        <v>30506.62</v>
      </c>
      <c r="H192" s="3"/>
      <c r="I192" s="11">
        <v>25000</v>
      </c>
      <c r="J192" s="11">
        <v>35000</v>
      </c>
      <c r="K192" s="3"/>
      <c r="L192" s="11">
        <v>30000</v>
      </c>
      <c r="M192" s="38">
        <f t="shared" si="7"/>
        <v>0.8571428571428571</v>
      </c>
    </row>
    <row r="193" spans="1:13" hidden="1" x14ac:dyDescent="0.25">
      <c r="A193" s="14" t="s">
        <v>255</v>
      </c>
      <c r="B193" s="15" t="s">
        <v>152</v>
      </c>
      <c r="C193" s="16">
        <v>10778</v>
      </c>
      <c r="D193" s="11">
        <v>10367.9</v>
      </c>
      <c r="E193" s="11">
        <v>12796.5</v>
      </c>
      <c r="F193" s="11">
        <v>5873</v>
      </c>
      <c r="G193" s="11">
        <v>2134</v>
      </c>
      <c r="H193" s="3"/>
      <c r="I193" s="11">
        <v>20000</v>
      </c>
      <c r="J193" s="11">
        <v>5000</v>
      </c>
      <c r="K193" s="3"/>
      <c r="L193" s="11">
        <v>5000</v>
      </c>
      <c r="M193" s="38">
        <f t="shared" si="7"/>
        <v>1</v>
      </c>
    </row>
    <row r="194" spans="1:13" hidden="1" x14ac:dyDescent="0.25">
      <c r="A194" s="14">
        <v>6031125</v>
      </c>
      <c r="B194" s="15" t="s">
        <v>256</v>
      </c>
      <c r="C194" s="16"/>
      <c r="D194" s="11"/>
      <c r="E194" s="11"/>
      <c r="F194" s="11"/>
      <c r="G194" s="11"/>
      <c r="H194" s="3"/>
      <c r="I194" s="11"/>
      <c r="J194" s="11"/>
      <c r="K194" s="3"/>
      <c r="L194" s="11">
        <v>5000</v>
      </c>
    </row>
    <row r="195" spans="1:13" hidden="1" x14ac:dyDescent="0.25">
      <c r="A195" s="14" t="s">
        <v>257</v>
      </c>
      <c r="B195" s="15" t="s">
        <v>154</v>
      </c>
      <c r="C195" s="16">
        <v>79702</v>
      </c>
      <c r="D195" s="11">
        <v>130573.42</v>
      </c>
      <c r="E195" s="11">
        <v>122123.95</v>
      </c>
      <c r="F195" s="11">
        <v>133717.14000000001</v>
      </c>
      <c r="G195" s="11">
        <v>93612.93</v>
      </c>
      <c r="H195" s="3"/>
      <c r="I195" s="11">
        <v>150000</v>
      </c>
      <c r="J195" s="11">
        <v>150000</v>
      </c>
      <c r="K195" s="3"/>
      <c r="L195" s="11">
        <v>150000</v>
      </c>
      <c r="M195" s="38">
        <f t="shared" si="7"/>
        <v>1</v>
      </c>
    </row>
    <row r="196" spans="1:13" hidden="1" x14ac:dyDescent="0.25">
      <c r="A196" s="14" t="s">
        <v>258</v>
      </c>
      <c r="B196" s="15" t="s">
        <v>156</v>
      </c>
      <c r="C196" s="16">
        <v>1251</v>
      </c>
      <c r="D196" s="11">
        <v>1205.47</v>
      </c>
      <c r="E196" s="11">
        <v>676.74</v>
      </c>
      <c r="F196" s="11">
        <v>26669.61</v>
      </c>
      <c r="G196" s="11">
        <v>20247.98</v>
      </c>
      <c r="H196" s="3"/>
      <c r="I196" s="11">
        <v>1000</v>
      </c>
      <c r="J196" s="11">
        <v>25000</v>
      </c>
      <c r="K196" s="3"/>
      <c r="L196" s="11">
        <v>30000</v>
      </c>
      <c r="M196" s="38">
        <f t="shared" si="7"/>
        <v>1.2</v>
      </c>
    </row>
    <row r="197" spans="1:13" hidden="1" x14ac:dyDescent="0.25">
      <c r="A197" s="14" t="s">
        <v>259</v>
      </c>
      <c r="B197" s="15" t="s">
        <v>260</v>
      </c>
      <c r="C197" s="16">
        <v>12089</v>
      </c>
      <c r="D197" s="11">
        <v>7365.48</v>
      </c>
      <c r="E197" s="11">
        <v>12852.77</v>
      </c>
      <c r="F197" s="11">
        <v>30031.31</v>
      </c>
      <c r="G197" s="11">
        <v>7534.9</v>
      </c>
      <c r="H197" s="3"/>
      <c r="I197" s="11">
        <v>15000</v>
      </c>
      <c r="J197" s="11">
        <v>13000</v>
      </c>
      <c r="K197" s="3"/>
      <c r="L197" s="11">
        <v>20000</v>
      </c>
      <c r="M197" s="38">
        <f t="shared" si="7"/>
        <v>1.5384615384615385</v>
      </c>
    </row>
    <row r="198" spans="1:13" hidden="1" x14ac:dyDescent="0.25">
      <c r="A198" s="14">
        <v>6031425</v>
      </c>
      <c r="B198" s="15" t="s">
        <v>261</v>
      </c>
      <c r="C198" s="16">
        <v>0</v>
      </c>
      <c r="D198" s="11"/>
      <c r="E198" s="11"/>
      <c r="F198" s="11">
        <v>95</v>
      </c>
      <c r="G198" s="11">
        <v>596.29999999999995</v>
      </c>
      <c r="H198" s="3"/>
      <c r="I198" s="11"/>
      <c r="J198" s="11">
        <v>1000</v>
      </c>
      <c r="K198" s="3"/>
      <c r="L198" s="11">
        <v>2500</v>
      </c>
      <c r="M198" s="38">
        <f t="shared" si="7"/>
        <v>2.5</v>
      </c>
    </row>
    <row r="199" spans="1:13" hidden="1" x14ac:dyDescent="0.25">
      <c r="A199" s="14">
        <v>6031450</v>
      </c>
      <c r="B199" s="15" t="s">
        <v>262</v>
      </c>
      <c r="C199" s="16">
        <v>0</v>
      </c>
      <c r="D199" s="11"/>
      <c r="E199" s="11"/>
      <c r="F199" s="11">
        <v>3769.13</v>
      </c>
      <c r="G199" s="11">
        <v>950</v>
      </c>
      <c r="H199" s="3"/>
      <c r="I199" s="11"/>
      <c r="J199" s="11">
        <v>1000</v>
      </c>
      <c r="K199" s="3"/>
      <c r="L199" s="11">
        <v>2500</v>
      </c>
      <c r="M199" s="38">
        <f t="shared" si="7"/>
        <v>2.5</v>
      </c>
    </row>
    <row r="200" spans="1:13" hidden="1" x14ac:dyDescent="0.25">
      <c r="A200" s="14">
        <v>6031475</v>
      </c>
      <c r="B200" s="15" t="s">
        <v>263</v>
      </c>
      <c r="C200" s="16">
        <v>0</v>
      </c>
      <c r="D200" s="11"/>
      <c r="E200" s="11"/>
      <c r="F200" s="11">
        <v>24300.38</v>
      </c>
      <c r="G200" s="11">
        <v>22633.52</v>
      </c>
      <c r="H200" s="3"/>
      <c r="I200" s="11">
        <v>14000</v>
      </c>
      <c r="J200" s="11">
        <v>25000</v>
      </c>
      <c r="K200" s="3"/>
      <c r="L200" s="11">
        <v>35000</v>
      </c>
      <c r="M200" s="38">
        <f t="shared" si="7"/>
        <v>1.4</v>
      </c>
    </row>
    <row r="201" spans="1:13" hidden="1" x14ac:dyDescent="0.25">
      <c r="A201" s="14" t="s">
        <v>264</v>
      </c>
      <c r="B201" s="15" t="s">
        <v>160</v>
      </c>
      <c r="C201" s="16">
        <v>3315</v>
      </c>
      <c r="D201" s="11">
        <v>12980.28</v>
      </c>
      <c r="E201" s="11">
        <v>9569.81</v>
      </c>
      <c r="F201" s="11">
        <v>30857.39</v>
      </c>
      <c r="G201" s="11">
        <v>13232.95</v>
      </c>
      <c r="H201" s="3"/>
      <c r="I201" s="11">
        <v>12000</v>
      </c>
      <c r="J201" s="11">
        <v>15000</v>
      </c>
      <c r="K201" s="3"/>
      <c r="L201" s="11">
        <v>15000</v>
      </c>
      <c r="M201" s="38">
        <f t="shared" si="7"/>
        <v>1</v>
      </c>
    </row>
    <row r="202" spans="1:13" hidden="1" x14ac:dyDescent="0.25">
      <c r="A202" s="14">
        <v>6031550</v>
      </c>
      <c r="B202" s="15" t="s">
        <v>265</v>
      </c>
      <c r="C202" s="16">
        <v>0</v>
      </c>
      <c r="D202" s="11"/>
      <c r="E202" s="11"/>
      <c r="F202" s="11">
        <v>38652.86</v>
      </c>
      <c r="G202" s="11">
        <v>19372.22</v>
      </c>
      <c r="H202" s="3"/>
      <c r="I202" s="11">
        <v>8000</v>
      </c>
      <c r="J202" s="11">
        <v>20000</v>
      </c>
      <c r="K202" s="3"/>
      <c r="L202" s="11">
        <v>12000</v>
      </c>
      <c r="M202" s="38">
        <f t="shared" si="7"/>
        <v>0.6</v>
      </c>
    </row>
    <row r="203" spans="1:13" hidden="1" x14ac:dyDescent="0.25">
      <c r="A203" s="14">
        <v>6031600</v>
      </c>
      <c r="B203" s="15" t="s">
        <v>162</v>
      </c>
      <c r="C203" s="16">
        <v>0</v>
      </c>
      <c r="D203" s="11"/>
      <c r="E203" s="11"/>
      <c r="F203" s="11">
        <v>127.5</v>
      </c>
      <c r="G203" s="11">
        <v>0</v>
      </c>
      <c r="H203" s="3"/>
      <c r="I203" s="11"/>
      <c r="J203" s="11">
        <v>0</v>
      </c>
      <c r="K203" s="3"/>
      <c r="L203" s="11"/>
    </row>
    <row r="204" spans="1:13" hidden="1" x14ac:dyDescent="0.25">
      <c r="A204" s="14" t="s">
        <v>266</v>
      </c>
      <c r="B204" s="15" t="s">
        <v>80</v>
      </c>
      <c r="C204" s="16">
        <v>7736</v>
      </c>
      <c r="D204" s="11">
        <v>5581.8</v>
      </c>
      <c r="E204" s="11">
        <v>2006.93</v>
      </c>
      <c r="F204" s="11">
        <v>9088.06</v>
      </c>
      <c r="G204" s="11">
        <v>10108.780000000001</v>
      </c>
      <c r="H204" s="3"/>
      <c r="I204" s="11">
        <v>5000</v>
      </c>
      <c r="J204" s="11">
        <v>11000</v>
      </c>
      <c r="K204" s="3"/>
      <c r="L204" s="11">
        <v>15000</v>
      </c>
      <c r="M204" s="38">
        <f>+L204/J204</f>
        <v>1.3636363636363635</v>
      </c>
    </row>
    <row r="205" spans="1:13" hidden="1" x14ac:dyDescent="0.25">
      <c r="A205" s="14" t="s">
        <v>267</v>
      </c>
      <c r="B205" s="15" t="s">
        <v>164</v>
      </c>
      <c r="C205" s="16">
        <v>22395</v>
      </c>
      <c r="D205" s="11">
        <v>13233.24</v>
      </c>
      <c r="E205" s="11">
        <v>6173.44</v>
      </c>
      <c r="F205" s="11">
        <v>18739.400000000001</v>
      </c>
      <c r="G205" s="11">
        <v>48228.57</v>
      </c>
      <c r="H205" s="3"/>
      <c r="I205" s="11">
        <v>10000</v>
      </c>
      <c r="J205" s="11">
        <v>50000</v>
      </c>
      <c r="K205" s="3"/>
      <c r="L205" s="11">
        <v>50000</v>
      </c>
      <c r="M205" s="38">
        <f>+L205/J205</f>
        <v>1</v>
      </c>
    </row>
    <row r="206" spans="1:13" hidden="1" x14ac:dyDescent="0.25">
      <c r="A206" s="14" t="s">
        <v>268</v>
      </c>
      <c r="B206" s="15" t="s">
        <v>269</v>
      </c>
      <c r="C206" s="16">
        <v>0</v>
      </c>
      <c r="D206" s="11">
        <v>1016.49</v>
      </c>
      <c r="E206" s="11">
        <v>746.03</v>
      </c>
      <c r="F206" s="11">
        <v>3306.25</v>
      </c>
      <c r="G206" s="11">
        <v>1580.17</v>
      </c>
      <c r="H206" s="3"/>
      <c r="I206" s="11">
        <v>1000</v>
      </c>
      <c r="J206" s="11">
        <v>1000</v>
      </c>
      <c r="K206" s="3"/>
      <c r="L206" s="11">
        <v>1500</v>
      </c>
      <c r="M206" s="38">
        <f>+L206/J206</f>
        <v>1.5</v>
      </c>
    </row>
    <row r="207" spans="1:13" hidden="1" x14ac:dyDescent="0.25">
      <c r="A207" s="14" t="s">
        <v>270</v>
      </c>
      <c r="B207" s="15" t="s">
        <v>191</v>
      </c>
      <c r="C207" s="16">
        <v>69</v>
      </c>
      <c r="D207" s="11">
        <v>141252</v>
      </c>
      <c r="E207" s="11">
        <v>86987.44</v>
      </c>
      <c r="F207" s="11">
        <v>13770.45</v>
      </c>
      <c r="G207" s="11">
        <v>23304.49</v>
      </c>
      <c r="H207" s="3"/>
      <c r="I207" s="11">
        <v>315000</v>
      </c>
      <c r="J207" s="11">
        <v>20000</v>
      </c>
      <c r="K207" s="3"/>
      <c r="L207" s="11">
        <v>10000</v>
      </c>
      <c r="M207" s="38">
        <f>+L207/J207</f>
        <v>0.5</v>
      </c>
    </row>
    <row r="208" spans="1:13" hidden="1" x14ac:dyDescent="0.25">
      <c r="A208" s="21"/>
      <c r="B208" s="22"/>
      <c r="C208" s="16"/>
      <c r="D208" s="11"/>
      <c r="E208" s="11"/>
      <c r="F208" s="11"/>
      <c r="G208" s="11"/>
      <c r="H208" s="3"/>
      <c r="I208" s="11"/>
      <c r="J208" s="11"/>
      <c r="K208" s="3"/>
      <c r="L208" s="11"/>
    </row>
    <row r="209" spans="1:13" hidden="1" x14ac:dyDescent="0.25">
      <c r="A209" s="17" t="s">
        <v>21</v>
      </c>
      <c r="B209" s="18" t="s">
        <v>271</v>
      </c>
      <c r="C209" s="19">
        <f>SUM(C168:C208)</f>
        <v>1579629</v>
      </c>
      <c r="D209" s="11">
        <f>SUM(D168:D208)</f>
        <v>1937252.9199999997</v>
      </c>
      <c r="E209" s="11">
        <f>SUM(E168:E208)</f>
        <v>1746817.6199999994</v>
      </c>
      <c r="F209" s="11">
        <f>SUM(F168:F208)</f>
        <v>2558523.8799999994</v>
      </c>
      <c r="G209" s="11">
        <f>SUM(G168:G208)</f>
        <v>2157668.6200000006</v>
      </c>
      <c r="H209" s="3"/>
      <c r="I209" s="11">
        <f>SUM(I168:I208)</f>
        <v>3155324.91</v>
      </c>
      <c r="J209" s="11">
        <f>SUM(J168:J208)</f>
        <v>3165203.5100000002</v>
      </c>
      <c r="K209" s="3"/>
      <c r="L209" s="11">
        <f>SUM(L168:L208)</f>
        <v>3292677.1609702753</v>
      </c>
      <c r="M209" s="38">
        <f>+L209/J209</f>
        <v>1.040273445472792</v>
      </c>
    </row>
    <row r="210" spans="1:13" hidden="1" x14ac:dyDescent="0.25">
      <c r="D210" s="11"/>
      <c r="E210" s="11"/>
      <c r="F210" s="11"/>
      <c r="G210" s="11"/>
      <c r="H210" s="3"/>
      <c r="I210" s="11"/>
      <c r="J210" s="11"/>
      <c r="K210" s="3"/>
      <c r="L210" s="11"/>
    </row>
    <row r="211" spans="1:13" hidden="1" x14ac:dyDescent="0.25">
      <c r="A211" s="9" t="s">
        <v>272</v>
      </c>
      <c r="B211" s="10" t="s">
        <v>273</v>
      </c>
      <c r="D211" s="11"/>
      <c r="E211" s="11"/>
      <c r="F211" s="11"/>
      <c r="G211" s="11"/>
      <c r="H211" s="3"/>
      <c r="I211" s="11"/>
      <c r="J211" s="11"/>
      <c r="K211" s="3"/>
      <c r="L211" s="11"/>
    </row>
    <row r="212" spans="1:13" hidden="1" x14ac:dyDescent="0.25">
      <c r="A212" s="12" t="s">
        <v>9</v>
      </c>
      <c r="B212" s="13" t="s">
        <v>10</v>
      </c>
      <c r="D212" s="11"/>
      <c r="E212" s="11"/>
      <c r="F212" s="11"/>
      <c r="G212" s="11"/>
      <c r="H212" s="3"/>
      <c r="I212" s="11"/>
      <c r="J212" s="11"/>
      <c r="K212" s="3"/>
      <c r="L212" s="11"/>
    </row>
    <row r="213" spans="1:13" hidden="1" x14ac:dyDescent="0.25">
      <c r="A213" s="14" t="s">
        <v>274</v>
      </c>
      <c r="B213" s="15" t="s">
        <v>275</v>
      </c>
      <c r="C213" s="16">
        <v>9277</v>
      </c>
      <c r="D213" s="11">
        <v>5577.97</v>
      </c>
      <c r="E213" s="11">
        <v>4875.72</v>
      </c>
      <c r="F213" s="11">
        <v>9487.18</v>
      </c>
      <c r="G213" s="11">
        <v>7207</v>
      </c>
      <c r="H213" s="3"/>
      <c r="I213" s="11">
        <v>7500</v>
      </c>
      <c r="J213" s="11">
        <v>7500</v>
      </c>
      <c r="K213" s="3"/>
      <c r="L213" s="11">
        <v>7500</v>
      </c>
      <c r="M213" s="38">
        <f>+L213/J213</f>
        <v>1</v>
      </c>
    </row>
    <row r="214" spans="1:13" hidden="1" x14ac:dyDescent="0.25">
      <c r="A214" s="14" t="s">
        <v>276</v>
      </c>
      <c r="B214" s="15" t="s">
        <v>277</v>
      </c>
      <c r="C214" s="16">
        <v>27128</v>
      </c>
      <c r="D214" s="11">
        <v>25347.39</v>
      </c>
      <c r="E214" s="11">
        <v>24004.85</v>
      </c>
      <c r="F214" s="11">
        <v>50514.7</v>
      </c>
      <c r="G214" s="11">
        <v>49979.66</v>
      </c>
      <c r="H214" s="3"/>
      <c r="I214" s="11">
        <v>70000</v>
      </c>
      <c r="J214" s="11">
        <v>70000</v>
      </c>
      <c r="K214" s="3"/>
      <c r="L214" s="11">
        <v>70000</v>
      </c>
      <c r="M214" s="38">
        <f>+L214/J214</f>
        <v>1</v>
      </c>
    </row>
    <row r="215" spans="1:13" hidden="1" x14ac:dyDescent="0.25">
      <c r="A215" s="14" t="s">
        <v>278</v>
      </c>
      <c r="B215" s="15" t="s">
        <v>279</v>
      </c>
      <c r="C215" s="16">
        <v>14531</v>
      </c>
      <c r="D215" s="11">
        <v>19867.900000000001</v>
      </c>
      <c r="E215" s="11">
        <v>39492.120000000003</v>
      </c>
      <c r="F215" s="11">
        <v>23190.560000000001</v>
      </c>
      <c r="G215" s="11">
        <v>10967.22</v>
      </c>
      <c r="H215" s="3"/>
      <c r="I215" s="11">
        <v>20000</v>
      </c>
      <c r="J215" s="11">
        <v>20000</v>
      </c>
      <c r="K215" s="3"/>
      <c r="L215" s="11">
        <v>20000</v>
      </c>
      <c r="M215" s="38">
        <f>+L215/J215</f>
        <v>1</v>
      </c>
    </row>
    <row r="216" spans="1:13" hidden="1" x14ac:dyDescent="0.25">
      <c r="A216" s="14" t="s">
        <v>280</v>
      </c>
      <c r="B216" s="15" t="s">
        <v>281</v>
      </c>
      <c r="C216" s="16">
        <v>11628</v>
      </c>
      <c r="D216" s="11">
        <v>14296.15</v>
      </c>
      <c r="E216" s="11">
        <v>7727.36</v>
      </c>
      <c r="F216" s="11">
        <v>8328.17</v>
      </c>
      <c r="G216" s="11">
        <v>9746.52</v>
      </c>
      <c r="H216" s="3"/>
      <c r="I216" s="11">
        <v>10000</v>
      </c>
      <c r="J216" s="11">
        <v>10000</v>
      </c>
      <c r="K216" s="3"/>
      <c r="L216" s="11">
        <v>10000</v>
      </c>
      <c r="M216" s="38">
        <f>+L216/J216</f>
        <v>1</v>
      </c>
    </row>
    <row r="217" spans="1:13" hidden="1" x14ac:dyDescent="0.25">
      <c r="A217" s="14" t="s">
        <v>282</v>
      </c>
      <c r="B217" s="15" t="s">
        <v>283</v>
      </c>
      <c r="C217" s="16">
        <v>0</v>
      </c>
      <c r="D217" s="11">
        <v>368.57</v>
      </c>
      <c r="E217" s="11">
        <v>0</v>
      </c>
      <c r="F217" s="11">
        <v>32.909999999999997</v>
      </c>
      <c r="G217" s="11">
        <v>0</v>
      </c>
      <c r="H217" s="3"/>
      <c r="I217" s="11"/>
      <c r="J217" s="11">
        <v>0</v>
      </c>
      <c r="K217" s="3"/>
      <c r="L217" s="11"/>
    </row>
    <row r="218" spans="1:13" hidden="1" x14ac:dyDescent="0.25">
      <c r="A218" s="14" t="s">
        <v>284</v>
      </c>
      <c r="B218" s="15" t="s">
        <v>285</v>
      </c>
      <c r="C218" s="16">
        <v>758</v>
      </c>
      <c r="D218" s="11">
        <v>1656.96</v>
      </c>
      <c r="E218" s="11">
        <v>-2061</v>
      </c>
      <c r="F218" s="11">
        <v>16859.53</v>
      </c>
      <c r="G218" s="11">
        <v>1583.02</v>
      </c>
      <c r="H218" s="3"/>
      <c r="I218" s="11">
        <v>500</v>
      </c>
      <c r="J218" s="11">
        <v>1500</v>
      </c>
      <c r="K218" s="3"/>
      <c r="L218" s="11">
        <v>500</v>
      </c>
      <c r="M218" s="38">
        <f>+L218/J218</f>
        <v>0.33333333333333331</v>
      </c>
    </row>
    <row r="219" spans="1:13" hidden="1" x14ac:dyDescent="0.25">
      <c r="A219" s="14"/>
      <c r="B219" s="15"/>
      <c r="C219" s="16"/>
      <c r="D219" s="11"/>
      <c r="E219" s="11"/>
      <c r="F219" s="11"/>
      <c r="G219" s="11"/>
      <c r="H219" s="3"/>
      <c r="I219" s="11"/>
      <c r="J219" s="11"/>
      <c r="K219" s="3"/>
      <c r="L219" s="11"/>
    </row>
    <row r="220" spans="1:13" hidden="1" x14ac:dyDescent="0.25">
      <c r="A220" s="29"/>
      <c r="B220" s="30" t="s">
        <v>286</v>
      </c>
      <c r="C220" s="16">
        <f>SUM(C213:C218)</f>
        <v>63322</v>
      </c>
      <c r="D220" s="11">
        <f>SUM(D213:D218)</f>
        <v>67114.94</v>
      </c>
      <c r="E220" s="11">
        <f>SUM(E213:E218)</f>
        <v>74039.05</v>
      </c>
      <c r="F220" s="11">
        <f>SUM(F213:F218)</f>
        <v>108413.05</v>
      </c>
      <c r="G220" s="11">
        <f>SUM(G213:G218)</f>
        <v>79483.420000000013</v>
      </c>
      <c r="H220" s="3"/>
      <c r="I220" s="11">
        <f>SUM(I213:I218)</f>
        <v>108000</v>
      </c>
      <c r="J220" s="11">
        <f>SUM(J213:J218)</f>
        <v>109000</v>
      </c>
      <c r="K220" s="3"/>
      <c r="L220" s="11">
        <f>SUM(L213:L218)</f>
        <v>108000</v>
      </c>
      <c r="M220" s="38">
        <f>+L220/J220</f>
        <v>0.99082568807339455</v>
      </c>
    </row>
    <row r="221" spans="1:13" hidden="1" x14ac:dyDescent="0.25">
      <c r="A221" s="29"/>
      <c r="B221" s="30"/>
      <c r="C221" s="16"/>
      <c r="D221" s="11"/>
      <c r="E221" s="11"/>
      <c r="F221" s="11"/>
      <c r="G221" s="11"/>
      <c r="H221" s="3"/>
      <c r="I221" s="11"/>
      <c r="J221" s="11"/>
      <c r="K221" s="3"/>
      <c r="L221" s="11"/>
    </row>
    <row r="222" spans="1:13" hidden="1" x14ac:dyDescent="0.25">
      <c r="A222" s="14" t="s">
        <v>287</v>
      </c>
      <c r="B222" s="15" t="s">
        <v>124</v>
      </c>
      <c r="C222" s="16">
        <v>48451</v>
      </c>
      <c r="D222" s="11">
        <v>88856.51</v>
      </c>
      <c r="E222" s="11">
        <v>74977.039999999994</v>
      </c>
      <c r="F222" s="11">
        <v>104204.26</v>
      </c>
      <c r="G222" s="11">
        <v>66398.89</v>
      </c>
      <c r="H222" s="3"/>
      <c r="I222" s="11">
        <v>103599</v>
      </c>
      <c r="J222" s="11">
        <v>103599</v>
      </c>
      <c r="K222" s="3"/>
      <c r="L222" s="11">
        <f>+'[1]Non-Union - 3.5%'!$I$32+'[1]Non-Union - 3.5%'!$V$32</f>
        <v>108255.20399999998</v>
      </c>
      <c r="M222" s="38">
        <f t="shared" ref="M222:M237" si="8">+L222/J222</f>
        <v>1.0449444878811569</v>
      </c>
    </row>
    <row r="223" spans="1:13" hidden="1" x14ac:dyDescent="0.25">
      <c r="A223" s="14" t="s">
        <v>288</v>
      </c>
      <c r="B223" s="15" t="s">
        <v>126</v>
      </c>
      <c r="C223" s="16">
        <v>3883</v>
      </c>
      <c r="D223" s="11">
        <v>7534.55</v>
      </c>
      <c r="E223" s="11">
        <v>6082.32</v>
      </c>
      <c r="F223" s="11">
        <v>9557.49</v>
      </c>
      <c r="G223" s="11">
        <v>5362.49</v>
      </c>
      <c r="H223" s="3"/>
      <c r="I223" s="11">
        <v>8288</v>
      </c>
      <c r="J223" s="11">
        <v>8288</v>
      </c>
      <c r="K223" s="3"/>
      <c r="L223" s="11">
        <f>+'[1]Non-Union - 3.5%'!$P$32+'[1]Non-Union - 3.5%'!$Z$32</f>
        <v>8660.4163200000003</v>
      </c>
      <c r="M223" s="38">
        <f t="shared" si="8"/>
        <v>1.0449344015444015</v>
      </c>
    </row>
    <row r="224" spans="1:13" hidden="1" x14ac:dyDescent="0.25">
      <c r="A224" s="14" t="s">
        <v>289</v>
      </c>
      <c r="B224" s="15" t="s">
        <v>128</v>
      </c>
      <c r="C224" s="16">
        <v>11397</v>
      </c>
      <c r="D224" s="11">
        <v>11398.2</v>
      </c>
      <c r="E224" s="11">
        <v>12847.24</v>
      </c>
      <c r="F224" s="11">
        <v>36232.839999999997</v>
      </c>
      <c r="G224" s="11">
        <v>43496.77</v>
      </c>
      <c r="H224" s="3"/>
      <c r="I224" s="11">
        <v>50740</v>
      </c>
      <c r="J224" s="11">
        <v>50740</v>
      </c>
      <c r="K224" s="3"/>
      <c r="L224" s="11">
        <f>+SUM('[1]Non-Union - 3.5%'!$K$32:$N$32)</f>
        <v>81043.34</v>
      </c>
      <c r="M224" s="38">
        <f t="shared" si="8"/>
        <v>1.5972278281434764</v>
      </c>
    </row>
    <row r="225" spans="1:13" hidden="1" x14ac:dyDescent="0.25">
      <c r="A225" s="14" t="s">
        <v>290</v>
      </c>
      <c r="B225" s="15" t="s">
        <v>130</v>
      </c>
      <c r="C225" s="16">
        <v>1389</v>
      </c>
      <c r="D225" s="11">
        <v>1644.01</v>
      </c>
      <c r="E225" s="11">
        <v>2017.34</v>
      </c>
      <c r="F225" s="11">
        <v>1439.93</v>
      </c>
      <c r="G225" s="11">
        <v>1134.0999999999999</v>
      </c>
      <c r="H225" s="3"/>
      <c r="I225" s="11">
        <v>3108</v>
      </c>
      <c r="J225" s="11">
        <v>3108</v>
      </c>
      <c r="K225" s="3"/>
      <c r="L225" s="11">
        <f>+'[1]Non-Union - 3.5%'!$O$32+'[1]Non-Union - 3.5%'!$X$32</f>
        <v>1757.7979424999996</v>
      </c>
      <c r="M225" s="38">
        <f t="shared" si="8"/>
        <v>0.56557205357142848</v>
      </c>
    </row>
    <row r="226" spans="1:13" hidden="1" x14ac:dyDescent="0.25">
      <c r="A226" s="14" t="s">
        <v>291</v>
      </c>
      <c r="B226" s="15" t="s">
        <v>171</v>
      </c>
      <c r="C226" s="16">
        <v>619</v>
      </c>
      <c r="D226" s="11">
        <v>1144.03</v>
      </c>
      <c r="E226" s="11">
        <v>1059.58</v>
      </c>
      <c r="F226" s="11">
        <v>1475.13</v>
      </c>
      <c r="G226" s="11">
        <v>853.75</v>
      </c>
      <c r="H226" s="3"/>
      <c r="I226" s="11">
        <v>1000</v>
      </c>
      <c r="J226" s="11">
        <v>1000</v>
      </c>
      <c r="K226" s="3"/>
      <c r="L226" s="11">
        <v>1000</v>
      </c>
      <c r="M226" s="38">
        <f t="shared" si="8"/>
        <v>1</v>
      </c>
    </row>
    <row r="227" spans="1:13" hidden="1" x14ac:dyDescent="0.25">
      <c r="A227" s="14" t="s">
        <v>292</v>
      </c>
      <c r="B227" s="15" t="s">
        <v>132</v>
      </c>
      <c r="C227" s="16">
        <v>2386</v>
      </c>
      <c r="D227" s="11">
        <v>1856.23</v>
      </c>
      <c r="E227" s="11">
        <v>1566.85</v>
      </c>
      <c r="F227" s="11">
        <v>1388.72</v>
      </c>
      <c r="G227" s="11">
        <v>2564.87</v>
      </c>
      <c r="H227" s="3"/>
      <c r="I227" s="11">
        <v>3191</v>
      </c>
      <c r="J227" s="11">
        <v>3191</v>
      </c>
      <c r="K227" s="3"/>
      <c r="L227" s="11">
        <f>+'[1]Non-Union - 3.5%'!$R$32+'[1]Non-Union - 3.5%'!$Y$32</f>
        <v>3334.2602831999998</v>
      </c>
      <c r="M227" s="38">
        <f t="shared" si="8"/>
        <v>1.0448951059855844</v>
      </c>
    </row>
    <row r="228" spans="1:13" hidden="1" x14ac:dyDescent="0.25">
      <c r="A228" s="14">
        <v>6040300</v>
      </c>
      <c r="B228" s="15" t="s">
        <v>134</v>
      </c>
      <c r="C228" s="16">
        <v>0</v>
      </c>
      <c r="D228" s="11">
        <v>0</v>
      </c>
      <c r="E228" s="11">
        <v>8572.33</v>
      </c>
      <c r="F228" s="11">
        <v>8903.25</v>
      </c>
      <c r="G228" s="11">
        <v>11898</v>
      </c>
      <c r="H228" s="3"/>
      <c r="I228" s="11">
        <v>10000</v>
      </c>
      <c r="J228" s="11">
        <v>10000</v>
      </c>
      <c r="K228" s="3"/>
      <c r="L228" s="11">
        <v>10000</v>
      </c>
      <c r="M228" s="38">
        <f t="shared" si="8"/>
        <v>1</v>
      </c>
    </row>
    <row r="229" spans="1:13" hidden="1" x14ac:dyDescent="0.25">
      <c r="A229" s="14">
        <v>6040310</v>
      </c>
      <c r="B229" s="15" t="s">
        <v>136</v>
      </c>
      <c r="C229" s="16">
        <v>0</v>
      </c>
      <c r="D229" s="11">
        <v>0</v>
      </c>
      <c r="E229" s="11">
        <v>706.65</v>
      </c>
      <c r="F229" s="11">
        <v>830.74</v>
      </c>
      <c r="G229" s="11">
        <v>1017.92</v>
      </c>
      <c r="H229" s="3"/>
      <c r="I229" s="11">
        <v>900</v>
      </c>
      <c r="J229" s="11">
        <v>900</v>
      </c>
      <c r="K229" s="3"/>
      <c r="L229" s="11">
        <v>1000</v>
      </c>
      <c r="M229" s="38">
        <f t="shared" si="8"/>
        <v>1.1111111111111112</v>
      </c>
    </row>
    <row r="230" spans="1:13" hidden="1" x14ac:dyDescent="0.25">
      <c r="A230" s="14">
        <v>6040350</v>
      </c>
      <c r="B230" s="15" t="s">
        <v>138</v>
      </c>
      <c r="C230" s="16"/>
      <c r="D230" s="11"/>
      <c r="E230" s="11"/>
      <c r="F230" s="11">
        <v>563.01</v>
      </c>
      <c r="G230" s="11">
        <v>227.32</v>
      </c>
      <c r="H230" s="3"/>
      <c r="I230" s="11"/>
      <c r="J230" s="11">
        <v>0</v>
      </c>
      <c r="K230" s="3"/>
      <c r="L230" s="11">
        <f>+L228*3.08/100</f>
        <v>308</v>
      </c>
    </row>
    <row r="231" spans="1:13" hidden="1" x14ac:dyDescent="0.25">
      <c r="A231" s="14" t="s">
        <v>293</v>
      </c>
      <c r="B231" s="15" t="s">
        <v>140</v>
      </c>
      <c r="C231" s="16">
        <v>4014</v>
      </c>
      <c r="D231" s="11">
        <v>4235.8900000000003</v>
      </c>
      <c r="E231" s="11">
        <v>2757.43</v>
      </c>
      <c r="F231" s="11">
        <v>3496.7</v>
      </c>
      <c r="G231" s="11">
        <v>2711.72</v>
      </c>
      <c r="H231" s="3"/>
      <c r="I231" s="11">
        <v>2500</v>
      </c>
      <c r="J231" s="11">
        <v>2500</v>
      </c>
      <c r="K231" s="3"/>
      <c r="L231" s="11">
        <v>3000</v>
      </c>
      <c r="M231" s="38">
        <f t="shared" si="8"/>
        <v>1.2</v>
      </c>
    </row>
    <row r="232" spans="1:13" hidden="1" x14ac:dyDescent="0.25">
      <c r="A232" s="14" t="s">
        <v>294</v>
      </c>
      <c r="B232" s="15" t="s">
        <v>146</v>
      </c>
      <c r="C232" s="16">
        <v>473</v>
      </c>
      <c r="D232" s="11">
        <v>853.69</v>
      </c>
      <c r="E232" s="11">
        <v>16.989999999999998</v>
      </c>
      <c r="F232" s="11">
        <v>1099.22</v>
      </c>
      <c r="G232" s="11">
        <v>3000</v>
      </c>
      <c r="H232" s="3"/>
      <c r="I232" s="11">
        <v>1000</v>
      </c>
      <c r="J232" s="11">
        <v>1000</v>
      </c>
      <c r="K232" s="3"/>
      <c r="L232" s="11">
        <v>1500</v>
      </c>
      <c r="M232" s="38">
        <f t="shared" si="8"/>
        <v>1.5</v>
      </c>
    </row>
    <row r="233" spans="1:13" hidden="1" x14ac:dyDescent="0.25">
      <c r="A233" s="14" t="s">
        <v>295</v>
      </c>
      <c r="B233" s="15" t="s">
        <v>182</v>
      </c>
      <c r="C233" s="16">
        <v>2193</v>
      </c>
      <c r="D233" s="11">
        <v>5278.05</v>
      </c>
      <c r="E233" s="11">
        <v>5053.07</v>
      </c>
      <c r="F233" s="11">
        <v>5451.43</v>
      </c>
      <c r="G233" s="11">
        <v>4691.25</v>
      </c>
      <c r="H233" s="3"/>
      <c r="I233" s="11">
        <v>8000</v>
      </c>
      <c r="J233" s="11">
        <v>8000</v>
      </c>
      <c r="K233" s="3"/>
      <c r="L233" s="11">
        <v>8000</v>
      </c>
      <c r="M233" s="38">
        <f t="shared" si="8"/>
        <v>1</v>
      </c>
    </row>
    <row r="234" spans="1:13" hidden="1" x14ac:dyDescent="0.25">
      <c r="A234" s="14" t="s">
        <v>296</v>
      </c>
      <c r="B234" s="15" t="s">
        <v>254</v>
      </c>
      <c r="C234" s="16">
        <v>2199</v>
      </c>
      <c r="D234" s="11">
        <v>176.26</v>
      </c>
      <c r="E234" s="11">
        <v>2403.52</v>
      </c>
      <c r="F234" s="11">
        <v>2389.83</v>
      </c>
      <c r="G234" s="11">
        <v>332.52</v>
      </c>
      <c r="H234" s="3"/>
      <c r="I234" s="11">
        <v>2500</v>
      </c>
      <c r="J234" s="11">
        <v>2500</v>
      </c>
      <c r="K234" s="3"/>
      <c r="L234" s="11">
        <v>500</v>
      </c>
      <c r="M234" s="38">
        <f t="shared" si="8"/>
        <v>0.2</v>
      </c>
    </row>
    <row r="235" spans="1:13" hidden="1" x14ac:dyDescent="0.25">
      <c r="A235" s="14" t="s">
        <v>297</v>
      </c>
      <c r="B235" s="15" t="s">
        <v>160</v>
      </c>
      <c r="C235" s="16">
        <v>0</v>
      </c>
      <c r="D235" s="11">
        <v>6329.32</v>
      </c>
      <c r="E235" s="11">
        <v>4338.3</v>
      </c>
      <c r="F235" s="11">
        <v>6937.69</v>
      </c>
      <c r="G235" s="11">
        <v>2950.44</v>
      </c>
      <c r="H235" s="3"/>
      <c r="I235" s="11">
        <v>5000</v>
      </c>
      <c r="J235" s="11">
        <v>5000</v>
      </c>
      <c r="K235" s="3"/>
      <c r="L235" s="11">
        <v>5000</v>
      </c>
      <c r="M235" s="38">
        <f t="shared" si="8"/>
        <v>1</v>
      </c>
    </row>
    <row r="236" spans="1:13" hidden="1" x14ac:dyDescent="0.25">
      <c r="A236" s="14" t="s">
        <v>298</v>
      </c>
      <c r="B236" s="15" t="s">
        <v>80</v>
      </c>
      <c r="C236" s="16">
        <v>2718</v>
      </c>
      <c r="D236" s="11">
        <v>177.96</v>
      </c>
      <c r="E236" s="11">
        <v>142.22999999999999</v>
      </c>
      <c r="F236" s="11">
        <v>521.03</v>
      </c>
      <c r="G236" s="11">
        <v>36.24</v>
      </c>
      <c r="H236" s="3"/>
      <c r="I236" s="11">
        <v>150</v>
      </c>
      <c r="J236" s="11">
        <v>150</v>
      </c>
      <c r="K236" s="3"/>
      <c r="L236" s="11">
        <v>150</v>
      </c>
      <c r="M236" s="38">
        <f t="shared" si="8"/>
        <v>1</v>
      </c>
    </row>
    <row r="237" spans="1:13" hidden="1" x14ac:dyDescent="0.25">
      <c r="A237" s="14" t="s">
        <v>299</v>
      </c>
      <c r="B237" s="15" t="s">
        <v>164</v>
      </c>
      <c r="C237" s="16">
        <v>380</v>
      </c>
      <c r="D237" s="11">
        <v>75.31</v>
      </c>
      <c r="E237" s="11">
        <v>377.06</v>
      </c>
      <c r="F237" s="11">
        <v>117.86</v>
      </c>
      <c r="G237" s="11">
        <v>93.92</v>
      </c>
      <c r="H237" s="3"/>
      <c r="I237" s="11">
        <v>2500</v>
      </c>
      <c r="J237" s="11">
        <v>2500</v>
      </c>
      <c r="K237" s="3"/>
      <c r="L237" s="11">
        <v>2500</v>
      </c>
      <c r="M237" s="38">
        <f t="shared" si="8"/>
        <v>1</v>
      </c>
    </row>
    <row r="238" spans="1:13" hidden="1" x14ac:dyDescent="0.25">
      <c r="A238" s="14">
        <v>6042000</v>
      </c>
      <c r="B238" s="15" t="s">
        <v>300</v>
      </c>
      <c r="C238" s="16">
        <v>3327</v>
      </c>
      <c r="D238" s="11">
        <v>9920</v>
      </c>
      <c r="E238" s="11">
        <v>35098.980000000003</v>
      </c>
      <c r="F238" s="11">
        <v>3079.11</v>
      </c>
      <c r="G238" s="11"/>
      <c r="H238" s="3"/>
      <c r="I238" s="11"/>
      <c r="J238" s="11"/>
      <c r="K238" s="3"/>
      <c r="L238" s="11">
        <v>5000</v>
      </c>
    </row>
    <row r="239" spans="1:13" hidden="1" x14ac:dyDescent="0.25">
      <c r="A239" s="14"/>
      <c r="B239" s="15"/>
      <c r="C239" s="16"/>
      <c r="D239" s="11"/>
      <c r="E239" s="11"/>
      <c r="F239" s="11"/>
      <c r="G239" s="11"/>
      <c r="H239" s="3"/>
      <c r="I239" s="11"/>
      <c r="J239" s="11"/>
      <c r="K239" s="3"/>
      <c r="L239" s="11"/>
    </row>
    <row r="240" spans="1:13" hidden="1" x14ac:dyDescent="0.25">
      <c r="A240" s="29"/>
      <c r="B240" s="30" t="s">
        <v>301</v>
      </c>
      <c r="C240" s="16">
        <f>SUM(C222:C238)</f>
        <v>83429</v>
      </c>
      <c r="D240" s="11">
        <f>SUM(D222:D238)</f>
        <v>139480.01</v>
      </c>
      <c r="E240" s="11">
        <f>SUM(E222:E238)</f>
        <v>158016.93</v>
      </c>
      <c r="F240" s="11">
        <f>SUM(F222:F238)</f>
        <v>187688.23999999996</v>
      </c>
      <c r="G240" s="11">
        <f>SUM(G222:G238)</f>
        <v>146770.20000000001</v>
      </c>
      <c r="H240" s="3"/>
      <c r="I240" s="11">
        <f>SUM(I222:I238)</f>
        <v>202476</v>
      </c>
      <c r="J240" s="11">
        <f>SUM(J222:J238)</f>
        <v>202476</v>
      </c>
      <c r="K240" s="3"/>
      <c r="L240" s="11">
        <f>SUM(L222:L238)</f>
        <v>241009.0185457</v>
      </c>
      <c r="M240" s="38">
        <f>+L240/J240</f>
        <v>1.1903090664854106</v>
      </c>
    </row>
    <row r="241" spans="1:13" hidden="1" x14ac:dyDescent="0.25">
      <c r="A241" s="29"/>
      <c r="B241" s="30"/>
      <c r="C241" s="16"/>
      <c r="D241" s="11"/>
      <c r="E241" s="11"/>
      <c r="F241" s="11"/>
      <c r="G241" s="11"/>
      <c r="H241" s="3"/>
      <c r="I241" s="11"/>
      <c r="J241" s="11"/>
      <c r="K241" s="3"/>
      <c r="L241" s="11"/>
    </row>
    <row r="242" spans="1:13" hidden="1" x14ac:dyDescent="0.25">
      <c r="A242" s="17" t="s">
        <v>21</v>
      </c>
      <c r="B242" s="18" t="s">
        <v>302</v>
      </c>
      <c r="C242" s="25">
        <f>+C240+C220</f>
        <v>146751</v>
      </c>
      <c r="D242" s="11">
        <f>+D240+D220</f>
        <v>206594.95</v>
      </c>
      <c r="E242" s="11">
        <f t="shared" ref="E242:J242" si="9">+E240+E220</f>
        <v>232055.97999999998</v>
      </c>
      <c r="F242" s="11">
        <f t="shared" si="9"/>
        <v>296101.28999999998</v>
      </c>
      <c r="G242" s="11">
        <f t="shared" si="9"/>
        <v>226253.62000000002</v>
      </c>
      <c r="H242" s="3"/>
      <c r="I242" s="11">
        <f t="shared" si="9"/>
        <v>310476</v>
      </c>
      <c r="J242" s="11">
        <f t="shared" si="9"/>
        <v>311476</v>
      </c>
      <c r="K242" s="3"/>
      <c r="L242" s="11">
        <f>+L240+L220</f>
        <v>349009.0185457</v>
      </c>
      <c r="M242" s="38">
        <f>+L242/J242</f>
        <v>1.1205005154352181</v>
      </c>
    </row>
    <row r="243" spans="1:13" hidden="1" x14ac:dyDescent="0.25">
      <c r="D243" s="11"/>
      <c r="E243" s="11"/>
      <c r="F243" s="11"/>
      <c r="G243" s="11"/>
      <c r="H243" s="3"/>
      <c r="I243" s="11"/>
      <c r="J243" s="11"/>
      <c r="K243" s="3"/>
      <c r="L243" s="11"/>
    </row>
    <row r="244" spans="1:13" hidden="1" x14ac:dyDescent="0.25">
      <c r="A244" s="9" t="s">
        <v>303</v>
      </c>
      <c r="B244" s="10" t="s">
        <v>304</v>
      </c>
      <c r="D244" s="11"/>
      <c r="E244" s="11"/>
      <c r="F244" s="11"/>
      <c r="G244" s="11"/>
      <c r="H244" s="3"/>
      <c r="I244" s="11"/>
      <c r="J244" s="11"/>
      <c r="K244" s="3"/>
      <c r="L244" s="11"/>
    </row>
    <row r="245" spans="1:13" hidden="1" x14ac:dyDescent="0.25">
      <c r="A245" s="12" t="s">
        <v>9</v>
      </c>
      <c r="B245" s="13" t="s">
        <v>10</v>
      </c>
      <c r="D245" s="11"/>
      <c r="E245" s="11"/>
      <c r="F245" s="11"/>
      <c r="G245" s="11"/>
      <c r="H245" s="3"/>
      <c r="I245" s="11"/>
      <c r="J245" s="11"/>
      <c r="K245" s="3"/>
      <c r="L245" s="11"/>
    </row>
    <row r="246" spans="1:13" hidden="1" x14ac:dyDescent="0.25">
      <c r="A246" s="14" t="s">
        <v>305</v>
      </c>
      <c r="B246" s="15" t="s">
        <v>124</v>
      </c>
      <c r="C246" s="16">
        <v>342053</v>
      </c>
      <c r="D246" s="11">
        <v>325114.84999999998</v>
      </c>
      <c r="E246" s="11">
        <v>17769.150000000001</v>
      </c>
      <c r="F246" s="11">
        <v>23319.919999999998</v>
      </c>
      <c r="G246" s="11">
        <v>16313.84</v>
      </c>
      <c r="H246" s="3"/>
      <c r="I246" s="11">
        <v>25000</v>
      </c>
      <c r="J246" s="11">
        <v>25000</v>
      </c>
      <c r="K246" s="3"/>
      <c r="L246" s="11">
        <v>25875</v>
      </c>
      <c r="M246" s="38">
        <f t="shared" ref="M246:M251" si="10">+L246/J246</f>
        <v>1.0349999999999999</v>
      </c>
    </row>
    <row r="247" spans="1:13" hidden="1" x14ac:dyDescent="0.25">
      <c r="A247" s="14" t="s">
        <v>306</v>
      </c>
      <c r="B247" s="15" t="s">
        <v>126</v>
      </c>
      <c r="C247" s="16">
        <v>32251</v>
      </c>
      <c r="D247" s="11">
        <v>31248.5</v>
      </c>
      <c r="E247" s="11">
        <v>1603.74</v>
      </c>
      <c r="F247" s="11">
        <v>1976.08</v>
      </c>
      <c r="G247" s="11">
        <v>1306.32</v>
      </c>
      <c r="H247" s="3"/>
      <c r="I247" s="11">
        <v>2000</v>
      </c>
      <c r="J247" s="11">
        <v>2000</v>
      </c>
      <c r="K247" s="3"/>
      <c r="L247" s="11">
        <v>2070</v>
      </c>
      <c r="M247" s="38">
        <f t="shared" si="10"/>
        <v>1.0349999999999999</v>
      </c>
    </row>
    <row r="248" spans="1:13" hidden="1" x14ac:dyDescent="0.25">
      <c r="A248" s="14" t="s">
        <v>307</v>
      </c>
      <c r="B248" s="15" t="s">
        <v>128</v>
      </c>
      <c r="C248" s="16">
        <v>490</v>
      </c>
      <c r="D248" s="11">
        <v>704.4</v>
      </c>
      <c r="E248" s="11">
        <v>587</v>
      </c>
      <c r="F248" s="11">
        <v>704.4</v>
      </c>
      <c r="G248" s="11">
        <v>469.6</v>
      </c>
      <c r="H248" s="3"/>
      <c r="I248" s="11">
        <v>704</v>
      </c>
      <c r="J248" s="11">
        <v>704</v>
      </c>
      <c r="K248" s="3"/>
      <c r="L248" s="11">
        <v>704</v>
      </c>
      <c r="M248" s="38">
        <f t="shared" si="10"/>
        <v>1</v>
      </c>
    </row>
    <row r="249" spans="1:13" hidden="1" x14ac:dyDescent="0.25">
      <c r="A249" s="14" t="s">
        <v>308</v>
      </c>
      <c r="B249" s="15" t="s">
        <v>132</v>
      </c>
      <c r="C249" s="16">
        <v>13150</v>
      </c>
      <c r="D249" s="11">
        <v>11541.18</v>
      </c>
      <c r="E249" s="11">
        <v>782</v>
      </c>
      <c r="F249" s="11">
        <v>1295.52</v>
      </c>
      <c r="G249" s="11">
        <v>444.12</v>
      </c>
      <c r="H249" s="3"/>
      <c r="I249" s="11">
        <v>770</v>
      </c>
      <c r="J249" s="11">
        <v>770</v>
      </c>
      <c r="K249" s="3"/>
      <c r="L249" s="11">
        <v>797</v>
      </c>
      <c r="M249" s="38">
        <f t="shared" si="10"/>
        <v>1.035064935064935</v>
      </c>
    </row>
    <row r="250" spans="1:13" hidden="1" x14ac:dyDescent="0.25">
      <c r="A250" s="14">
        <v>6080300</v>
      </c>
      <c r="B250" s="15" t="s">
        <v>134</v>
      </c>
      <c r="C250" s="16">
        <v>0</v>
      </c>
      <c r="D250" s="11">
        <v>0</v>
      </c>
      <c r="E250" s="11">
        <v>356886.9</v>
      </c>
      <c r="F250" s="11">
        <v>364909.6</v>
      </c>
      <c r="G250" s="11">
        <v>402072.36</v>
      </c>
      <c r="H250" s="3"/>
      <c r="I250" s="11">
        <v>401992.5</v>
      </c>
      <c r="J250" s="11">
        <v>401992.5</v>
      </c>
      <c r="K250" s="3"/>
      <c r="L250" s="11">
        <v>445434.38</v>
      </c>
      <c r="M250" s="38">
        <f t="shared" si="10"/>
        <v>1.1080663942735249</v>
      </c>
    </row>
    <row r="251" spans="1:13" hidden="1" x14ac:dyDescent="0.25">
      <c r="A251" s="14">
        <v>6080310</v>
      </c>
      <c r="B251" s="15" t="s">
        <v>136</v>
      </c>
      <c r="C251" s="16">
        <v>0</v>
      </c>
      <c r="D251" s="11">
        <v>0</v>
      </c>
      <c r="E251" s="11">
        <f>33729.62+40.32</f>
        <v>33769.94</v>
      </c>
      <c r="F251" s="11">
        <v>32756.37</v>
      </c>
      <c r="G251" s="11">
        <v>36872.15</v>
      </c>
      <c r="H251" s="3"/>
      <c r="I251" s="11">
        <v>40199.25</v>
      </c>
      <c r="J251" s="11">
        <v>40199.25</v>
      </c>
      <c r="K251" s="3"/>
      <c r="L251" s="11">
        <v>40089.089999999997</v>
      </c>
      <c r="M251" s="38">
        <f t="shared" si="10"/>
        <v>0.99725965036661124</v>
      </c>
    </row>
    <row r="252" spans="1:13" hidden="1" x14ac:dyDescent="0.25">
      <c r="A252" s="14">
        <v>6080320</v>
      </c>
      <c r="B252" s="15" t="s">
        <v>309</v>
      </c>
      <c r="C252" s="16">
        <v>0</v>
      </c>
      <c r="D252" s="11">
        <v>0</v>
      </c>
      <c r="E252" s="11">
        <v>0</v>
      </c>
      <c r="F252" s="11">
        <v>0</v>
      </c>
      <c r="G252" s="11">
        <v>0</v>
      </c>
      <c r="H252" s="3"/>
      <c r="I252" s="11">
        <v>1000</v>
      </c>
      <c r="J252" s="11">
        <v>1000</v>
      </c>
      <c r="K252" s="3"/>
      <c r="L252" s="11">
        <v>0</v>
      </c>
    </row>
    <row r="253" spans="1:13" hidden="1" x14ac:dyDescent="0.25">
      <c r="A253" s="14">
        <v>6080350</v>
      </c>
      <c r="B253" s="15" t="s">
        <v>176</v>
      </c>
      <c r="C253" s="16">
        <v>0</v>
      </c>
      <c r="D253" s="11">
        <v>6569</v>
      </c>
      <c r="E253" s="11">
        <v>4785.88</v>
      </c>
      <c r="F253" s="11">
        <v>12720.3</v>
      </c>
      <c r="G253" s="11">
        <v>5261.6</v>
      </c>
      <c r="H253" s="3"/>
      <c r="I253" s="11">
        <v>10000</v>
      </c>
      <c r="J253" s="11">
        <v>10000</v>
      </c>
      <c r="K253" s="3"/>
      <c r="L253" s="11">
        <v>10000</v>
      </c>
      <c r="M253" s="38">
        <f t="shared" ref="M253:M258" si="11">+L253/J253</f>
        <v>1</v>
      </c>
    </row>
    <row r="254" spans="1:13" hidden="1" x14ac:dyDescent="0.25">
      <c r="A254" s="14">
        <v>6080360</v>
      </c>
      <c r="B254" s="15" t="s">
        <v>138</v>
      </c>
      <c r="C254" s="16">
        <v>0</v>
      </c>
      <c r="D254" s="11">
        <v>0</v>
      </c>
      <c r="E254" s="11">
        <v>7996.8</v>
      </c>
      <c r="F254" s="11">
        <v>31738.97</v>
      </c>
      <c r="G254" s="11">
        <v>-4259.54</v>
      </c>
      <c r="H254" s="3"/>
      <c r="I254" s="11">
        <v>12381.37</v>
      </c>
      <c r="J254" s="11">
        <v>12381.37</v>
      </c>
      <c r="K254" s="3"/>
      <c r="L254" s="11">
        <v>13719.368</v>
      </c>
      <c r="M254" s="38">
        <f t="shared" si="11"/>
        <v>1.1080654241008869</v>
      </c>
    </row>
    <row r="255" spans="1:13" hidden="1" x14ac:dyDescent="0.25">
      <c r="A255" s="14" t="s">
        <v>310</v>
      </c>
      <c r="B255" s="15" t="s">
        <v>140</v>
      </c>
      <c r="C255" s="16">
        <v>7273</v>
      </c>
      <c r="D255" s="11">
        <v>6086.12</v>
      </c>
      <c r="E255" s="11">
        <v>5902.42</v>
      </c>
      <c r="F255" s="11">
        <v>7997.13</v>
      </c>
      <c r="G255" s="11">
        <v>5212.95</v>
      </c>
      <c r="H255" s="3"/>
      <c r="I255" s="11">
        <v>8000</v>
      </c>
      <c r="J255" s="11">
        <v>8000</v>
      </c>
      <c r="K255" s="3"/>
      <c r="L255" s="11">
        <v>8000</v>
      </c>
      <c r="M255" s="38">
        <f t="shared" si="11"/>
        <v>1</v>
      </c>
    </row>
    <row r="256" spans="1:13" hidden="1" x14ac:dyDescent="0.25">
      <c r="A256" s="14" t="s">
        <v>311</v>
      </c>
      <c r="B256" s="15" t="s">
        <v>142</v>
      </c>
      <c r="C256" s="16">
        <v>1200</v>
      </c>
      <c r="D256" s="11">
        <v>1710</v>
      </c>
      <c r="E256" s="11">
        <v>1800</v>
      </c>
      <c r="F256" s="11">
        <v>3000</v>
      </c>
      <c r="G256" s="11">
        <v>1808</v>
      </c>
      <c r="H256" s="3"/>
      <c r="I256" s="11">
        <v>2340</v>
      </c>
      <c r="J256" s="11">
        <v>2340</v>
      </c>
      <c r="K256" s="3"/>
      <c r="L256" s="11">
        <v>3800</v>
      </c>
      <c r="M256" s="38">
        <f t="shared" si="11"/>
        <v>1.6239316239316239</v>
      </c>
    </row>
    <row r="257" spans="1:13" hidden="1" x14ac:dyDescent="0.25">
      <c r="A257" s="14">
        <v>6080520</v>
      </c>
      <c r="B257" s="15" t="s">
        <v>144</v>
      </c>
      <c r="C257" s="16"/>
      <c r="D257" s="11"/>
      <c r="E257" s="11"/>
      <c r="F257" s="11">
        <v>0</v>
      </c>
      <c r="G257" s="11">
        <v>444</v>
      </c>
      <c r="H257" s="3"/>
      <c r="I257" s="11"/>
      <c r="J257" s="11"/>
      <c r="K257" s="3"/>
      <c r="L257" s="11">
        <v>500</v>
      </c>
    </row>
    <row r="258" spans="1:13" hidden="1" x14ac:dyDescent="0.25">
      <c r="A258" s="14" t="s">
        <v>312</v>
      </c>
      <c r="B258" s="15" t="s">
        <v>146</v>
      </c>
      <c r="C258" s="16">
        <v>4475</v>
      </c>
      <c r="D258" s="11">
        <v>4265.8500000000004</v>
      </c>
      <c r="E258" s="11">
        <v>754.95</v>
      </c>
      <c r="F258" s="11">
        <v>12486.38</v>
      </c>
      <c r="G258" s="11">
        <v>1051.9100000000001</v>
      </c>
      <c r="H258" s="3"/>
      <c r="I258" s="11">
        <v>1500</v>
      </c>
      <c r="J258" s="11">
        <v>1500</v>
      </c>
      <c r="K258" s="3"/>
      <c r="L258" s="11">
        <v>1500</v>
      </c>
      <c r="M258" s="38">
        <f t="shared" si="11"/>
        <v>1</v>
      </c>
    </row>
    <row r="259" spans="1:13" hidden="1" x14ac:dyDescent="0.25">
      <c r="A259" s="14" t="s">
        <v>313</v>
      </c>
      <c r="B259" s="15" t="s">
        <v>314</v>
      </c>
      <c r="C259" s="16">
        <v>0</v>
      </c>
      <c r="D259" s="11">
        <v>5</v>
      </c>
      <c r="E259" s="11">
        <v>0</v>
      </c>
      <c r="F259" s="11">
        <v>0</v>
      </c>
      <c r="G259" s="11">
        <v>0</v>
      </c>
      <c r="H259" s="3"/>
      <c r="I259" s="11"/>
      <c r="J259" s="11"/>
      <c r="K259" s="3"/>
      <c r="L259" s="11"/>
    </row>
    <row r="260" spans="1:13" hidden="1" x14ac:dyDescent="0.25">
      <c r="A260" s="14" t="s">
        <v>315</v>
      </c>
      <c r="B260" s="15" t="s">
        <v>182</v>
      </c>
      <c r="C260" s="16">
        <v>386</v>
      </c>
      <c r="D260" s="11">
        <v>926.91</v>
      </c>
      <c r="E260" s="11">
        <v>988.02</v>
      </c>
      <c r="F260" s="11">
        <v>780.24</v>
      </c>
      <c r="G260" s="11">
        <v>782.45</v>
      </c>
      <c r="H260" s="3"/>
      <c r="I260" s="11">
        <v>1000</v>
      </c>
      <c r="J260" s="11">
        <v>1000</v>
      </c>
      <c r="K260" s="3"/>
      <c r="L260" s="11">
        <v>1000</v>
      </c>
      <c r="M260" s="38">
        <f t="shared" ref="M260:M268" si="12">+L260/J260</f>
        <v>1</v>
      </c>
    </row>
    <row r="261" spans="1:13" hidden="1" x14ac:dyDescent="0.25">
      <c r="A261" s="14" t="s">
        <v>316</v>
      </c>
      <c r="B261" s="15" t="s">
        <v>184</v>
      </c>
      <c r="C261" s="16">
        <v>1368</v>
      </c>
      <c r="D261" s="11">
        <v>1940.01</v>
      </c>
      <c r="E261" s="11">
        <v>2239.4</v>
      </c>
      <c r="F261" s="11">
        <v>2928.07</v>
      </c>
      <c r="G261" s="11">
        <v>666.59</v>
      </c>
      <c r="H261" s="3"/>
      <c r="I261" s="11">
        <v>1500</v>
      </c>
      <c r="J261" s="11">
        <v>1500</v>
      </c>
      <c r="K261" s="3"/>
      <c r="L261" s="11">
        <v>1000</v>
      </c>
      <c r="M261" s="38">
        <f t="shared" si="12"/>
        <v>0.66666666666666663</v>
      </c>
    </row>
    <row r="262" spans="1:13" hidden="1" x14ac:dyDescent="0.25">
      <c r="A262" s="14" t="s">
        <v>317</v>
      </c>
      <c r="B262" s="15" t="s">
        <v>154</v>
      </c>
      <c r="C262" s="16">
        <v>995</v>
      </c>
      <c r="D262" s="11">
        <v>1017.96</v>
      </c>
      <c r="E262" s="11">
        <v>843.3</v>
      </c>
      <c r="F262" s="11">
        <v>1314.66</v>
      </c>
      <c r="G262" s="11">
        <v>975.36</v>
      </c>
      <c r="H262" s="3"/>
      <c r="I262" s="11">
        <v>750</v>
      </c>
      <c r="J262" s="11">
        <v>750</v>
      </c>
      <c r="K262" s="3"/>
      <c r="L262" s="11">
        <v>1000</v>
      </c>
      <c r="M262" s="38">
        <f t="shared" si="12"/>
        <v>1.3333333333333333</v>
      </c>
    </row>
    <row r="263" spans="1:13" hidden="1" x14ac:dyDescent="0.25">
      <c r="A263" s="14" t="s">
        <v>318</v>
      </c>
      <c r="B263" s="15" t="s">
        <v>156</v>
      </c>
      <c r="C263" s="16">
        <v>500</v>
      </c>
      <c r="D263" s="11">
        <v>0</v>
      </c>
      <c r="E263" s="11">
        <v>0</v>
      </c>
      <c r="F263" s="11">
        <v>500</v>
      </c>
      <c r="G263" s="11">
        <v>0</v>
      </c>
      <c r="H263" s="3"/>
      <c r="I263" s="11">
        <v>500</v>
      </c>
      <c r="J263" s="11">
        <v>500</v>
      </c>
      <c r="K263" s="3"/>
      <c r="L263" s="11">
        <v>500</v>
      </c>
      <c r="M263" s="38">
        <f t="shared" si="12"/>
        <v>1</v>
      </c>
    </row>
    <row r="264" spans="1:13" hidden="1" x14ac:dyDescent="0.25">
      <c r="A264" s="14" t="s">
        <v>319</v>
      </c>
      <c r="B264" s="15" t="s">
        <v>158</v>
      </c>
      <c r="C264" s="16">
        <v>10420</v>
      </c>
      <c r="D264" s="11">
        <v>9835.7000000000007</v>
      </c>
      <c r="E264" s="11">
        <v>7220</v>
      </c>
      <c r="F264" s="11">
        <v>5075</v>
      </c>
      <c r="G264" s="11">
        <v>9020</v>
      </c>
      <c r="H264" s="3"/>
      <c r="I264" s="11">
        <v>10000</v>
      </c>
      <c r="J264" s="11">
        <v>10000</v>
      </c>
      <c r="K264" s="3"/>
      <c r="L264" s="11">
        <v>10000</v>
      </c>
      <c r="M264" s="38">
        <f t="shared" si="12"/>
        <v>1</v>
      </c>
    </row>
    <row r="265" spans="1:13" hidden="1" x14ac:dyDescent="0.25">
      <c r="A265" s="14" t="s">
        <v>320</v>
      </c>
      <c r="B265" s="15" t="s">
        <v>160</v>
      </c>
      <c r="C265" s="16">
        <v>1896</v>
      </c>
      <c r="D265" s="11">
        <v>6397.81</v>
      </c>
      <c r="E265" s="11">
        <v>4957.8999999999996</v>
      </c>
      <c r="F265" s="11">
        <v>4915.72</v>
      </c>
      <c r="G265" s="11">
        <v>2333.67</v>
      </c>
      <c r="H265" s="3"/>
      <c r="I265" s="11">
        <v>6000</v>
      </c>
      <c r="J265" s="11">
        <v>6000</v>
      </c>
      <c r="K265" s="3"/>
      <c r="L265" s="11">
        <v>5000</v>
      </c>
      <c r="M265" s="38">
        <f t="shared" si="12"/>
        <v>0.83333333333333337</v>
      </c>
    </row>
    <row r="266" spans="1:13" hidden="1" x14ac:dyDescent="0.25">
      <c r="A266" s="14" t="s">
        <v>321</v>
      </c>
      <c r="B266" s="15" t="s">
        <v>162</v>
      </c>
      <c r="C266" s="16">
        <v>811</v>
      </c>
      <c r="D266" s="11">
        <v>705.48</v>
      </c>
      <c r="E266" s="11">
        <v>1026.3399999999999</v>
      </c>
      <c r="F266" s="11">
        <v>0</v>
      </c>
      <c r="G266" s="11">
        <v>1248.79</v>
      </c>
      <c r="H266" s="3"/>
      <c r="I266" s="11"/>
      <c r="J266" s="11"/>
      <c r="K266" s="3"/>
      <c r="L266" s="11">
        <v>1500</v>
      </c>
    </row>
    <row r="267" spans="1:13" hidden="1" x14ac:dyDescent="0.25">
      <c r="A267" s="14" t="s">
        <v>322</v>
      </c>
      <c r="B267" s="15" t="s">
        <v>80</v>
      </c>
      <c r="C267" s="16">
        <v>388</v>
      </c>
      <c r="D267" s="11">
        <v>703.29</v>
      </c>
      <c r="E267" s="11">
        <v>568.28</v>
      </c>
      <c r="F267" s="11">
        <v>779.64</v>
      </c>
      <c r="G267" s="11">
        <v>483.23</v>
      </c>
      <c r="H267" s="3"/>
      <c r="I267" s="11"/>
      <c r="J267" s="11"/>
      <c r="K267" s="3"/>
      <c r="L267" s="11">
        <v>500</v>
      </c>
    </row>
    <row r="268" spans="1:13" hidden="1" x14ac:dyDescent="0.25">
      <c r="A268" s="14" t="s">
        <v>323</v>
      </c>
      <c r="B268" s="15" t="s">
        <v>164</v>
      </c>
      <c r="C268" s="16">
        <v>7135</v>
      </c>
      <c r="D268" s="11">
        <v>5008.47</v>
      </c>
      <c r="E268" s="11">
        <v>1193.99</v>
      </c>
      <c r="F268" s="11">
        <v>3410.95</v>
      </c>
      <c r="G268" s="11">
        <v>1638.72</v>
      </c>
      <c r="H268" s="3"/>
      <c r="I268" s="11">
        <v>2500</v>
      </c>
      <c r="J268" s="11">
        <v>2500</v>
      </c>
      <c r="K268" s="3"/>
      <c r="L268" s="11">
        <v>2500</v>
      </c>
      <c r="M268" s="38">
        <f t="shared" si="12"/>
        <v>1</v>
      </c>
    </row>
    <row r="269" spans="1:13" hidden="1" x14ac:dyDescent="0.25">
      <c r="A269" s="14">
        <v>6082000</v>
      </c>
      <c r="B269" s="15" t="s">
        <v>191</v>
      </c>
      <c r="C269" s="16">
        <v>7039</v>
      </c>
      <c r="D269" s="11">
        <v>7670</v>
      </c>
      <c r="E269" s="11">
        <v>4505</v>
      </c>
      <c r="F269" s="11">
        <v>3557</v>
      </c>
      <c r="G269" s="11">
        <v>0</v>
      </c>
      <c r="H269" s="3"/>
      <c r="I269" s="11"/>
      <c r="J269" s="11"/>
      <c r="K269" s="3"/>
      <c r="L269" s="11"/>
    </row>
    <row r="270" spans="1:13" hidden="1" x14ac:dyDescent="0.25">
      <c r="A270" s="21"/>
      <c r="B270" s="22"/>
      <c r="C270" s="16"/>
      <c r="D270" s="11"/>
      <c r="E270" s="11"/>
      <c r="F270" s="11"/>
      <c r="G270" s="11"/>
      <c r="H270" s="3"/>
      <c r="I270" s="11"/>
      <c r="J270" s="11"/>
      <c r="K270" s="3"/>
      <c r="L270" s="11"/>
    </row>
    <row r="271" spans="1:13" hidden="1" x14ac:dyDescent="0.25">
      <c r="A271" s="17" t="s">
        <v>21</v>
      </c>
      <c r="B271" s="18" t="s">
        <v>324</v>
      </c>
      <c r="C271" s="19">
        <f>SUM(C246:C270)</f>
        <v>431830</v>
      </c>
      <c r="D271" s="11">
        <f>SUM(D246:D270)</f>
        <v>421450.52999999991</v>
      </c>
      <c r="E271" s="11">
        <f>SUM(E246:E270)</f>
        <v>456181.01000000013</v>
      </c>
      <c r="F271" s="11">
        <f>SUM(F246:F270)</f>
        <v>516165.9499999999</v>
      </c>
      <c r="G271" s="11">
        <f>SUM(G246:G270)</f>
        <v>484146.11999999994</v>
      </c>
      <c r="H271" s="3"/>
      <c r="I271" s="11">
        <f>SUM(I246:I270)</f>
        <v>528137.12</v>
      </c>
      <c r="J271" s="11">
        <f>SUM(J246:J270)</f>
        <v>528137.12</v>
      </c>
      <c r="K271" s="3"/>
      <c r="L271" s="11">
        <f>SUM(L246:L270)</f>
        <v>575488.83799999999</v>
      </c>
      <c r="M271" s="38">
        <f>+L271/J271</f>
        <v>1.0896580001799532</v>
      </c>
    </row>
    <row r="272" spans="1:13" hidden="1" x14ac:dyDescent="0.25">
      <c r="D272" s="11"/>
      <c r="E272" s="11"/>
      <c r="F272" s="11"/>
      <c r="G272" s="11"/>
      <c r="H272" s="3"/>
      <c r="I272" s="11"/>
      <c r="J272" s="11"/>
      <c r="K272" s="3"/>
      <c r="L272" s="11"/>
    </row>
    <row r="273" spans="1:13" hidden="1" x14ac:dyDescent="0.25">
      <c r="A273" s="23" t="s">
        <v>86</v>
      </c>
      <c r="B273" s="24" t="s">
        <v>325</v>
      </c>
      <c r="C273" s="11">
        <f>+C271+C242+C209+C164</f>
        <v>3309823</v>
      </c>
      <c r="D273" s="11">
        <f>+D271+D242+D209+D164</f>
        <v>3906752.9799999995</v>
      </c>
      <c r="E273" s="11">
        <f>+E271+E242+E209+E164</f>
        <v>3631751.8499999996</v>
      </c>
      <c r="F273" s="11">
        <f>+F271+F242+F209+F164</f>
        <v>4897407.8759999992</v>
      </c>
      <c r="G273" s="11">
        <f>+G271+G242+G209+G164</f>
        <v>4083281.2700000005</v>
      </c>
      <c r="H273" s="3"/>
      <c r="I273" s="11">
        <f>+I271+I242+I209+I164</f>
        <v>5703036.3300000001</v>
      </c>
      <c r="J273" s="11">
        <f>+J271+J242+J209+J164</f>
        <v>5828826.9300000006</v>
      </c>
      <c r="K273" s="3"/>
      <c r="L273" s="11">
        <f>+L271+L242+L209+L164</f>
        <v>5989034.0945562609</v>
      </c>
      <c r="M273" s="38">
        <f>+L273/J273</f>
        <v>1.0274853184835016</v>
      </c>
    </row>
    <row r="274" spans="1:13" hidden="1" x14ac:dyDescent="0.25">
      <c r="D274" s="11"/>
      <c r="E274" s="11"/>
      <c r="F274" s="11"/>
      <c r="G274" s="11"/>
      <c r="H274" s="3"/>
      <c r="I274" s="11"/>
      <c r="J274" s="11"/>
      <c r="K274" s="3"/>
      <c r="L274" s="11"/>
    </row>
    <row r="275" spans="1:13" hidden="1" x14ac:dyDescent="0.25">
      <c r="D275" s="11"/>
      <c r="E275" s="11"/>
      <c r="F275" s="11"/>
      <c r="G275" s="11"/>
      <c r="H275" s="3"/>
      <c r="I275" s="11"/>
      <c r="J275" s="11"/>
      <c r="K275" s="3"/>
      <c r="L275" s="11"/>
    </row>
    <row r="276" spans="1:13" hidden="1" x14ac:dyDescent="0.25">
      <c r="A276" s="31"/>
      <c r="B276" s="32" t="s">
        <v>326</v>
      </c>
      <c r="C276" s="11">
        <f>+C63-C273</f>
        <v>933839</v>
      </c>
      <c r="D276" s="11">
        <f>+D63-D273</f>
        <v>2023199.9200000009</v>
      </c>
      <c r="E276" s="11">
        <f>+E63-E273</f>
        <v>1136378.6200000001</v>
      </c>
      <c r="F276" s="11">
        <f>+F63-F273</f>
        <v>874954.35400000121</v>
      </c>
      <c r="G276" s="11">
        <f>+G63-G273</f>
        <v>1688182.71</v>
      </c>
      <c r="H276" s="3"/>
      <c r="I276" s="11">
        <f>+I63-I273</f>
        <v>56968.669999999925</v>
      </c>
      <c r="J276" s="11">
        <f>+J63-J273</f>
        <v>349673.06999999937</v>
      </c>
      <c r="K276" s="3"/>
      <c r="L276" s="11">
        <f>+L63-L273</f>
        <v>-249534.09455626085</v>
      </c>
      <c r="M276" s="38">
        <f>+L276/J276</f>
        <v>-0.71362113918655878</v>
      </c>
    </row>
    <row r="277" spans="1:13" hidden="1" x14ac:dyDescent="0.25">
      <c r="D277" s="11"/>
      <c r="E277" s="11"/>
      <c r="F277" s="11"/>
      <c r="G277" s="11"/>
      <c r="H277" s="11"/>
      <c r="I277" s="11"/>
      <c r="J277" s="11"/>
      <c r="K277" s="11"/>
      <c r="L277" s="11"/>
    </row>
    <row r="278" spans="1:13" hidden="1" x14ac:dyDescent="0.25">
      <c r="A278" s="33"/>
      <c r="B278" s="33"/>
      <c r="C278" s="33"/>
      <c r="D278" s="11"/>
      <c r="E278" s="11"/>
      <c r="F278" s="11"/>
      <c r="G278" s="11"/>
      <c r="H278" s="11"/>
      <c r="I278" s="11"/>
      <c r="J278" s="11"/>
      <c r="K278" s="11"/>
      <c r="L278" s="11"/>
    </row>
    <row r="279" spans="1:13" hidden="1" x14ac:dyDescent="0.25">
      <c r="A279" s="33"/>
      <c r="B279" s="33"/>
      <c r="C279" s="34"/>
      <c r="D279" s="11"/>
      <c r="E279" s="11"/>
      <c r="F279" s="11"/>
      <c r="G279" s="11"/>
      <c r="H279" s="11"/>
      <c r="I279" s="11"/>
      <c r="J279" s="11"/>
      <c r="K279" s="11"/>
      <c r="L279" s="11"/>
    </row>
    <row r="280" spans="1:13" hidden="1" x14ac:dyDescent="0.25">
      <c r="A280" s="33"/>
      <c r="B280" s="33"/>
      <c r="C280" s="33"/>
      <c r="D280" s="35"/>
      <c r="E280" s="35"/>
      <c r="F280" s="35"/>
      <c r="G280" s="35"/>
      <c r="H280" s="11"/>
      <c r="I280" s="36"/>
      <c r="J280" s="36"/>
      <c r="K280" s="11"/>
      <c r="L280" s="36"/>
    </row>
    <row r="281" spans="1:13" hidden="1" x14ac:dyDescent="0.25">
      <c r="A281" s="33"/>
      <c r="B281" s="33"/>
      <c r="C281" s="33"/>
      <c r="D281" s="35"/>
      <c r="E281" s="35"/>
      <c r="F281" s="35"/>
      <c r="G281" s="35"/>
      <c r="H281" s="11"/>
      <c r="I281" s="35"/>
      <c r="J281" s="35"/>
      <c r="K281" s="11"/>
      <c r="L281" s="35"/>
    </row>
    <row r="282" spans="1:13" hidden="1" x14ac:dyDescent="0.25">
      <c r="A282" s="33"/>
      <c r="B282" s="33"/>
      <c r="C282" s="33"/>
      <c r="D282" s="35"/>
      <c r="E282" s="35"/>
      <c r="F282" s="35"/>
      <c r="G282" s="35"/>
      <c r="H282" s="11"/>
      <c r="I282" s="35"/>
      <c r="J282" s="35"/>
      <c r="K282" s="11"/>
      <c r="L282" s="35"/>
    </row>
    <row r="283" spans="1:13" hidden="1" x14ac:dyDescent="0.25">
      <c r="A283" s="33"/>
      <c r="B283" s="33"/>
      <c r="C283" s="33"/>
      <c r="D283" s="35"/>
      <c r="E283" s="35"/>
      <c r="F283" s="35"/>
      <c r="G283" s="35"/>
      <c r="H283" s="11"/>
      <c r="I283" s="35"/>
      <c r="J283" s="35"/>
      <c r="K283" s="11"/>
      <c r="L283" s="35"/>
    </row>
    <row r="284" spans="1:13" hidden="1" x14ac:dyDescent="0.25">
      <c r="A284" s="33"/>
      <c r="B284" s="33"/>
      <c r="C284" s="33"/>
      <c r="D284" s="35"/>
      <c r="E284" s="35"/>
      <c r="F284" s="35"/>
      <c r="G284" s="35"/>
      <c r="H284" s="11"/>
      <c r="I284" s="35"/>
      <c r="J284" s="35"/>
      <c r="K284" s="11"/>
      <c r="L284" s="35"/>
    </row>
    <row r="285" spans="1:13" hidden="1" x14ac:dyDescent="0.25">
      <c r="A285" s="33"/>
      <c r="B285" s="33"/>
      <c r="C285" s="33"/>
      <c r="D285" s="35"/>
      <c r="E285" s="35"/>
      <c r="F285" s="35"/>
      <c r="G285" s="35"/>
      <c r="H285" s="11"/>
      <c r="I285" s="35"/>
      <c r="J285" s="35"/>
      <c r="K285" s="11"/>
      <c r="L285" s="35"/>
    </row>
    <row r="286" spans="1:13" hidden="1" x14ac:dyDescent="0.25">
      <c r="A286" s="33"/>
      <c r="B286" s="33"/>
      <c r="C286" s="33"/>
      <c r="D286" s="35"/>
      <c r="E286" s="35"/>
      <c r="F286" s="35"/>
      <c r="G286" s="35"/>
      <c r="H286" s="11"/>
      <c r="I286" s="35"/>
      <c r="J286" s="35"/>
      <c r="K286" s="11"/>
      <c r="L286" s="35"/>
    </row>
    <row r="287" spans="1:13" hidden="1" x14ac:dyDescent="0.25">
      <c r="A287" s="33"/>
      <c r="B287" s="33"/>
      <c r="C287" s="33"/>
      <c r="D287" s="35"/>
      <c r="E287" s="35"/>
      <c r="F287" s="35"/>
      <c r="G287" s="35"/>
      <c r="H287" s="11"/>
      <c r="I287" s="35"/>
      <c r="J287" s="35"/>
      <c r="K287" s="11"/>
      <c r="L287" s="35"/>
    </row>
    <row r="288" spans="1:13" hidden="1" x14ac:dyDescent="0.25">
      <c r="A288" s="33"/>
      <c r="B288" s="33"/>
      <c r="C288" s="33"/>
      <c r="D288" s="35"/>
      <c r="E288" s="35"/>
      <c r="F288" s="35"/>
      <c r="G288" s="35"/>
      <c r="H288" s="11"/>
      <c r="I288" s="35"/>
      <c r="J288" s="35"/>
      <c r="K288" s="11"/>
      <c r="L288" s="35"/>
    </row>
    <row r="289" spans="1:12" hidden="1" x14ac:dyDescent="0.25">
      <c r="A289" s="33"/>
      <c r="B289" s="33"/>
      <c r="C289" s="33"/>
      <c r="D289" s="35"/>
      <c r="E289" s="35"/>
      <c r="F289" s="35"/>
      <c r="G289" s="35"/>
      <c r="H289" s="11"/>
      <c r="I289" s="35"/>
      <c r="J289" s="35"/>
      <c r="K289" s="11"/>
      <c r="L289" s="35"/>
    </row>
    <row r="290" spans="1:12" hidden="1" x14ac:dyDescent="0.25">
      <c r="A290" s="33"/>
      <c r="B290" s="33"/>
      <c r="C290" s="33"/>
      <c r="D290" s="35"/>
      <c r="E290" s="35"/>
      <c r="F290" s="35"/>
      <c r="G290" s="35"/>
      <c r="H290" s="11"/>
      <c r="I290" s="35"/>
      <c r="J290" s="35"/>
      <c r="K290" s="11"/>
      <c r="L290" s="35"/>
    </row>
    <row r="291" spans="1:12" hidden="1" x14ac:dyDescent="0.25">
      <c r="A291" s="33"/>
      <c r="B291" s="33"/>
      <c r="C291" s="33"/>
      <c r="D291" s="35"/>
      <c r="E291" s="35"/>
      <c r="F291" s="35"/>
      <c r="G291" s="35"/>
      <c r="H291" s="11"/>
      <c r="I291" s="35"/>
      <c r="J291" s="35"/>
      <c r="K291" s="11"/>
      <c r="L291" s="35"/>
    </row>
    <row r="292" spans="1:12" hidden="1" x14ac:dyDescent="0.25">
      <c r="A292" s="33"/>
      <c r="B292" s="33"/>
      <c r="C292" s="33"/>
      <c r="D292" s="35"/>
      <c r="E292" s="35"/>
      <c r="F292" s="35"/>
      <c r="G292" s="35"/>
      <c r="H292" s="11"/>
      <c r="I292" s="35"/>
      <c r="J292" s="35"/>
      <c r="K292" s="11"/>
      <c r="L292" s="35"/>
    </row>
    <row r="293" spans="1:12" hidden="1" x14ac:dyDescent="0.25">
      <c r="A293" s="33"/>
      <c r="B293" s="33"/>
      <c r="C293" s="33"/>
      <c r="D293" s="35"/>
      <c r="E293" s="35"/>
      <c r="F293" s="35"/>
      <c r="G293" s="35"/>
      <c r="H293" s="11"/>
      <c r="I293" s="35"/>
      <c r="J293" s="35"/>
      <c r="K293" s="11"/>
      <c r="L293" s="35"/>
    </row>
    <row r="294" spans="1:12" hidden="1" x14ac:dyDescent="0.25">
      <c r="A294" s="33"/>
      <c r="B294" s="33"/>
      <c r="C294" s="33"/>
      <c r="D294" s="35"/>
      <c r="E294" s="35"/>
      <c r="F294" s="35"/>
      <c r="G294" s="35"/>
      <c r="H294" s="11"/>
      <c r="I294" s="35"/>
      <c r="J294" s="35"/>
      <c r="K294" s="11"/>
      <c r="L294" s="35"/>
    </row>
    <row r="295" spans="1:12" hidden="1" x14ac:dyDescent="0.25">
      <c r="A295" s="33"/>
      <c r="B295" s="33"/>
      <c r="C295" s="33"/>
      <c r="D295" s="35"/>
      <c r="E295" s="35"/>
      <c r="F295" s="35"/>
      <c r="G295" s="35"/>
      <c r="H295" s="11"/>
      <c r="I295" s="35"/>
      <c r="J295" s="35"/>
      <c r="K295" s="11"/>
      <c r="L295" s="35"/>
    </row>
    <row r="296" spans="1:12" hidden="1" x14ac:dyDescent="0.25">
      <c r="A296" s="33"/>
      <c r="B296" s="33"/>
      <c r="C296" s="33"/>
      <c r="D296" s="35"/>
      <c r="E296" s="35"/>
      <c r="F296" s="35"/>
      <c r="G296" s="35"/>
      <c r="H296" s="11"/>
      <c r="I296" s="35"/>
      <c r="J296" s="35"/>
      <c r="K296" s="11"/>
      <c r="L296" s="35"/>
    </row>
    <row r="297" spans="1:12" hidden="1" x14ac:dyDescent="0.25">
      <c r="A297" s="33"/>
      <c r="B297" s="33"/>
      <c r="C297" s="33"/>
      <c r="D297" s="35"/>
      <c r="E297" s="35"/>
      <c r="F297" s="35"/>
      <c r="G297" s="35"/>
      <c r="H297" s="11"/>
      <c r="I297" s="35"/>
      <c r="J297" s="35"/>
      <c r="K297" s="11"/>
      <c r="L297" s="35"/>
    </row>
    <row r="298" spans="1:12" hidden="1" x14ac:dyDescent="0.25">
      <c r="A298" s="33"/>
      <c r="B298" s="33"/>
      <c r="C298" s="33"/>
      <c r="D298" s="35"/>
      <c r="E298" s="35"/>
      <c r="F298" s="35"/>
      <c r="G298" s="35"/>
      <c r="H298" s="11"/>
      <c r="I298" s="35"/>
      <c r="J298" s="35"/>
      <c r="K298" s="11"/>
      <c r="L298" s="35"/>
    </row>
    <row r="299" spans="1:12" hidden="1" x14ac:dyDescent="0.25">
      <c r="A299" s="33"/>
      <c r="B299" s="33"/>
      <c r="C299" s="33"/>
      <c r="D299" s="35"/>
      <c r="E299" s="35"/>
      <c r="F299" s="35"/>
      <c r="G299" s="35"/>
      <c r="H299" s="11"/>
      <c r="I299" s="35"/>
      <c r="J299" s="35"/>
      <c r="K299" s="11"/>
      <c r="L299" s="35"/>
    </row>
    <row r="300" spans="1:12" x14ac:dyDescent="0.25">
      <c r="A300" s="33"/>
      <c r="B300" s="33"/>
      <c r="C300" s="33"/>
      <c r="D300" s="35"/>
      <c r="E300" s="35"/>
      <c r="F300" s="35"/>
      <c r="G300" s="35"/>
      <c r="H300" s="11"/>
      <c r="I300" s="35"/>
      <c r="J300" s="35"/>
      <c r="K300" s="11"/>
      <c r="L300" s="35"/>
    </row>
    <row r="301" spans="1:12" x14ac:dyDescent="0.25">
      <c r="A301" s="33"/>
      <c r="B301" s="33"/>
      <c r="C301" s="33"/>
      <c r="D301" s="35"/>
      <c r="E301" s="35"/>
      <c r="F301" s="35"/>
      <c r="G301" s="35"/>
      <c r="H301" s="11"/>
      <c r="I301" s="35"/>
      <c r="J301" s="35"/>
      <c r="K301" s="11"/>
      <c r="L301" s="35"/>
    </row>
    <row r="302" spans="1:12" x14ac:dyDescent="0.25">
      <c r="A302" s="33"/>
      <c r="B302" s="33"/>
      <c r="C302" s="33"/>
      <c r="D302" s="35"/>
      <c r="E302" s="35"/>
      <c r="F302" s="35"/>
      <c r="G302" s="35"/>
      <c r="H302" s="11"/>
      <c r="I302" s="35"/>
      <c r="J302" s="35"/>
      <c r="K302" s="11"/>
      <c r="L302" s="35"/>
    </row>
    <row r="303" spans="1:12" x14ac:dyDescent="0.25">
      <c r="A303" s="33"/>
      <c r="B303" s="33"/>
      <c r="C303" s="33"/>
      <c r="D303" s="35"/>
      <c r="E303" s="35"/>
      <c r="F303" s="35"/>
      <c r="G303" s="35"/>
      <c r="H303" s="11"/>
      <c r="I303" s="35"/>
      <c r="J303" s="35"/>
      <c r="K303" s="11"/>
      <c r="L303" s="35"/>
    </row>
    <row r="304" spans="1:12" x14ac:dyDescent="0.25">
      <c r="A304" s="33"/>
      <c r="B304" s="33"/>
      <c r="C304" s="33"/>
      <c r="D304" s="35"/>
      <c r="E304" s="35"/>
      <c r="F304" s="35"/>
      <c r="G304" s="35"/>
      <c r="H304" s="11"/>
      <c r="I304" s="35"/>
      <c r="J304" s="35"/>
      <c r="K304" s="11"/>
      <c r="L304" s="35"/>
    </row>
    <row r="305" spans="1:12" x14ac:dyDescent="0.25">
      <c r="A305" s="33"/>
      <c r="B305" s="33"/>
      <c r="C305" s="33"/>
      <c r="D305" s="35"/>
      <c r="E305" s="35"/>
      <c r="F305" s="35"/>
      <c r="G305" s="35"/>
      <c r="H305" s="11"/>
      <c r="I305" s="35"/>
      <c r="J305" s="35"/>
      <c r="K305" s="11"/>
      <c r="L305" s="35"/>
    </row>
    <row r="306" spans="1:12" x14ac:dyDescent="0.25">
      <c r="A306" s="33"/>
      <c r="B306" s="33"/>
      <c r="C306" s="33"/>
      <c r="D306" s="35"/>
      <c r="E306" s="35"/>
      <c r="F306" s="35"/>
      <c r="G306" s="35"/>
      <c r="H306" s="11"/>
      <c r="I306" s="35"/>
      <c r="J306" s="35"/>
      <c r="K306" s="11"/>
      <c r="L306" s="35"/>
    </row>
    <row r="307" spans="1:12" x14ac:dyDescent="0.25">
      <c r="A307" s="33"/>
      <c r="B307" s="33"/>
      <c r="C307" s="33"/>
      <c r="D307" s="35"/>
      <c r="E307" s="35"/>
      <c r="F307" s="35"/>
      <c r="G307" s="35"/>
      <c r="H307" s="11"/>
      <c r="I307" s="35"/>
      <c r="J307" s="35"/>
      <c r="K307" s="11"/>
      <c r="L307" s="35"/>
    </row>
    <row r="308" spans="1:12" x14ac:dyDescent="0.25">
      <c r="A308" s="33"/>
      <c r="B308" s="33"/>
      <c r="C308" s="33"/>
      <c r="D308" s="35"/>
      <c r="E308" s="35"/>
      <c r="F308" s="35"/>
      <c r="G308" s="35"/>
      <c r="H308" s="11"/>
      <c r="I308" s="35"/>
      <c r="J308" s="35"/>
      <c r="K308" s="11"/>
      <c r="L308" s="35"/>
    </row>
    <row r="309" spans="1:12" x14ac:dyDescent="0.25">
      <c r="A309" s="33"/>
      <c r="B309" s="33"/>
      <c r="C309" s="33"/>
      <c r="D309" s="35"/>
      <c r="E309" s="35"/>
      <c r="F309" s="35"/>
      <c r="G309" s="35"/>
      <c r="H309" s="11"/>
      <c r="I309" s="35"/>
      <c r="J309" s="35"/>
      <c r="K309" s="11"/>
      <c r="L309" s="35"/>
    </row>
    <row r="310" spans="1:12" x14ac:dyDescent="0.25">
      <c r="A310" s="33"/>
      <c r="B310" s="33"/>
      <c r="C310" s="33"/>
      <c r="D310" s="35"/>
      <c r="E310" s="35"/>
      <c r="F310" s="35"/>
      <c r="G310" s="35"/>
      <c r="H310" s="11"/>
      <c r="I310" s="35"/>
      <c r="J310" s="35"/>
      <c r="K310" s="11"/>
      <c r="L310" s="35"/>
    </row>
    <row r="311" spans="1:12" x14ac:dyDescent="0.25">
      <c r="A311" s="33"/>
      <c r="B311" s="33"/>
      <c r="C311" s="33"/>
      <c r="D311" s="35"/>
      <c r="E311" s="35"/>
      <c r="F311" s="35"/>
      <c r="G311" s="35"/>
      <c r="H311" s="11"/>
      <c r="I311" s="35"/>
      <c r="J311" s="35"/>
      <c r="K311" s="11"/>
      <c r="L311" s="35"/>
    </row>
    <row r="312" spans="1:12" x14ac:dyDescent="0.25">
      <c r="A312" s="33"/>
      <c r="B312" s="33"/>
      <c r="C312" s="33"/>
      <c r="D312" s="35"/>
      <c r="E312" s="35"/>
      <c r="F312" s="35"/>
      <c r="G312" s="35"/>
      <c r="H312" s="11"/>
      <c r="I312" s="35"/>
      <c r="J312" s="35"/>
      <c r="K312" s="11"/>
      <c r="L312" s="35"/>
    </row>
    <row r="313" spans="1:12" x14ac:dyDescent="0.25">
      <c r="A313" s="33"/>
      <c r="B313" s="33"/>
      <c r="C313" s="33"/>
      <c r="D313" s="35"/>
      <c r="E313" s="35"/>
      <c r="F313" s="35"/>
      <c r="G313" s="35"/>
      <c r="H313" s="11"/>
      <c r="I313" s="35"/>
      <c r="J313" s="35"/>
      <c r="K313" s="11"/>
      <c r="L313" s="35"/>
    </row>
    <row r="314" spans="1:12" x14ac:dyDescent="0.25">
      <c r="A314" s="33"/>
      <c r="B314" s="33"/>
      <c r="C314" s="33"/>
      <c r="D314" s="35"/>
      <c r="E314" s="35"/>
      <c r="F314" s="35"/>
      <c r="G314" s="35"/>
      <c r="H314" s="11"/>
      <c r="I314" s="35"/>
      <c r="J314" s="35"/>
      <c r="K314" s="11"/>
      <c r="L314" s="35"/>
    </row>
    <row r="315" spans="1:12" x14ac:dyDescent="0.25">
      <c r="A315" s="33"/>
      <c r="B315" s="33"/>
      <c r="C315" s="33"/>
      <c r="D315" s="35"/>
      <c r="E315" s="35"/>
      <c r="F315" s="35"/>
      <c r="G315" s="35"/>
      <c r="H315" s="11"/>
      <c r="I315" s="35"/>
      <c r="J315" s="35"/>
      <c r="K315" s="11"/>
      <c r="L315" s="35"/>
    </row>
    <row r="316" spans="1:12" x14ac:dyDescent="0.25">
      <c r="A316" s="33"/>
      <c r="B316" s="33"/>
      <c r="C316" s="33"/>
      <c r="D316" s="35"/>
      <c r="E316" s="35"/>
      <c r="F316" s="35"/>
      <c r="G316" s="35"/>
      <c r="H316" s="11"/>
      <c r="I316" s="35"/>
      <c r="J316" s="35"/>
      <c r="K316" s="11"/>
      <c r="L316" s="35"/>
    </row>
    <row r="317" spans="1:12" x14ac:dyDescent="0.25">
      <c r="A317" s="33"/>
      <c r="B317" s="33"/>
      <c r="C317" s="33"/>
      <c r="D317" s="35"/>
      <c r="E317" s="35"/>
      <c r="F317" s="35"/>
      <c r="G317" s="35"/>
      <c r="H317" s="11"/>
      <c r="I317" s="35"/>
      <c r="J317" s="35"/>
      <c r="K317" s="11"/>
      <c r="L317" s="35"/>
    </row>
    <row r="318" spans="1:12" x14ac:dyDescent="0.25">
      <c r="A318" s="33"/>
      <c r="B318" s="33"/>
      <c r="C318" s="33"/>
      <c r="D318" s="35"/>
      <c r="E318" s="35"/>
      <c r="F318" s="35"/>
      <c r="G318" s="35"/>
      <c r="H318" s="11"/>
      <c r="I318" s="35"/>
      <c r="J318" s="35"/>
      <c r="K318" s="11"/>
      <c r="L318" s="35"/>
    </row>
    <row r="319" spans="1:12" x14ac:dyDescent="0.25">
      <c r="A319" s="33"/>
      <c r="B319" s="33"/>
      <c r="C319" s="33"/>
      <c r="D319" s="35"/>
      <c r="E319" s="35"/>
      <c r="F319" s="35"/>
      <c r="G319" s="35"/>
      <c r="H319" s="11"/>
      <c r="I319" s="35"/>
      <c r="J319" s="35"/>
      <c r="K319" s="11"/>
      <c r="L319" s="35"/>
    </row>
    <row r="320" spans="1:12" x14ac:dyDescent="0.25">
      <c r="A320" s="33"/>
      <c r="B320" s="33"/>
      <c r="C320" s="33"/>
      <c r="D320" s="35"/>
      <c r="E320" s="35"/>
      <c r="F320" s="35"/>
      <c r="G320" s="35"/>
      <c r="H320" s="11"/>
      <c r="I320" s="35"/>
      <c r="J320" s="35"/>
      <c r="K320" s="11"/>
      <c r="L320" s="35"/>
    </row>
    <row r="321" spans="1:12" x14ac:dyDescent="0.25">
      <c r="A321" s="33"/>
      <c r="B321" s="33"/>
      <c r="C321" s="33"/>
      <c r="D321" s="35"/>
      <c r="E321" s="35"/>
      <c r="F321" s="35"/>
      <c r="G321" s="35"/>
      <c r="H321" s="11"/>
      <c r="I321" s="35"/>
      <c r="J321" s="35"/>
      <c r="K321" s="11"/>
      <c r="L321" s="35"/>
    </row>
    <row r="322" spans="1:12" x14ac:dyDescent="0.25">
      <c r="A322" s="33"/>
      <c r="B322" s="33"/>
      <c r="C322" s="33"/>
      <c r="D322" s="35"/>
      <c r="E322" s="35"/>
      <c r="F322" s="35"/>
      <c r="G322" s="35"/>
      <c r="H322" s="11"/>
      <c r="I322" s="35"/>
      <c r="J322" s="35"/>
      <c r="K322" s="11"/>
      <c r="L322" s="35"/>
    </row>
    <row r="323" spans="1:12" x14ac:dyDescent="0.25">
      <c r="A323" s="33"/>
      <c r="B323" s="33"/>
      <c r="C323" s="33"/>
      <c r="D323" s="35"/>
      <c r="E323" s="35"/>
      <c r="F323" s="35"/>
      <c r="G323" s="35"/>
      <c r="H323" s="11"/>
      <c r="I323" s="35"/>
      <c r="J323" s="35"/>
      <c r="K323" s="11"/>
      <c r="L323" s="35"/>
    </row>
    <row r="324" spans="1:12" x14ac:dyDescent="0.25">
      <c r="A324" s="33"/>
      <c r="B324" s="33"/>
      <c r="C324" s="33"/>
      <c r="D324" s="35"/>
      <c r="E324" s="35"/>
      <c r="F324" s="35"/>
      <c r="G324" s="35"/>
      <c r="H324" s="11"/>
      <c r="I324" s="35"/>
      <c r="J324" s="35"/>
      <c r="K324" s="11"/>
      <c r="L324" s="35"/>
    </row>
    <row r="325" spans="1:12" x14ac:dyDescent="0.25">
      <c r="A325" s="33"/>
      <c r="B325" s="33"/>
      <c r="C325" s="33"/>
      <c r="D325" s="35"/>
      <c r="E325" s="35"/>
      <c r="F325" s="35"/>
      <c r="G325" s="35"/>
      <c r="H325" s="11"/>
      <c r="I325" s="35"/>
      <c r="J325" s="35"/>
      <c r="K325" s="11"/>
      <c r="L325" s="35"/>
    </row>
    <row r="326" spans="1:12" x14ac:dyDescent="0.25">
      <c r="A326" s="33"/>
      <c r="B326" s="33"/>
      <c r="C326" s="33"/>
      <c r="D326" s="35"/>
      <c r="E326" s="35"/>
      <c r="F326" s="35"/>
      <c r="G326" s="35"/>
      <c r="H326" s="11"/>
      <c r="I326" s="35"/>
      <c r="J326" s="35"/>
      <c r="K326" s="11"/>
      <c r="L326" s="35"/>
    </row>
    <row r="327" spans="1:12" x14ac:dyDescent="0.25">
      <c r="A327" s="33"/>
      <c r="B327" s="33"/>
      <c r="C327" s="33"/>
      <c r="D327" s="35"/>
      <c r="E327" s="35"/>
      <c r="F327" s="35"/>
      <c r="G327" s="35"/>
      <c r="H327" s="11"/>
      <c r="I327" s="35"/>
      <c r="J327" s="35"/>
      <c r="K327" s="11"/>
      <c r="L327" s="35"/>
    </row>
    <row r="328" spans="1:12" x14ac:dyDescent="0.25">
      <c r="A328" s="33"/>
      <c r="B328" s="33"/>
      <c r="C328" s="33"/>
      <c r="D328" s="35"/>
      <c r="E328" s="35"/>
      <c r="F328" s="35"/>
      <c r="G328" s="35"/>
      <c r="H328" s="11"/>
      <c r="I328" s="35"/>
      <c r="J328" s="35"/>
      <c r="K328" s="11"/>
      <c r="L328" s="35"/>
    </row>
    <row r="329" spans="1:12" x14ac:dyDescent="0.25">
      <c r="A329" s="33"/>
      <c r="B329" s="33"/>
      <c r="C329" s="33"/>
      <c r="D329" s="35"/>
      <c r="E329" s="35"/>
      <c r="F329" s="35"/>
      <c r="G329" s="35"/>
      <c r="H329" s="11"/>
      <c r="I329" s="35"/>
      <c r="J329" s="35"/>
      <c r="K329" s="11"/>
      <c r="L329" s="35"/>
    </row>
    <row r="330" spans="1:12" x14ac:dyDescent="0.25">
      <c r="A330" s="33"/>
      <c r="B330" s="33"/>
      <c r="C330" s="33"/>
      <c r="D330" s="35"/>
      <c r="E330" s="35"/>
      <c r="F330" s="35"/>
      <c r="G330" s="35"/>
      <c r="H330" s="11"/>
      <c r="I330" s="35"/>
      <c r="J330" s="35"/>
      <c r="K330" s="11"/>
      <c r="L330" s="35"/>
    </row>
    <row r="331" spans="1:12" x14ac:dyDescent="0.25">
      <c r="A331" s="33"/>
      <c r="B331" s="33"/>
      <c r="C331" s="33"/>
      <c r="D331" s="35"/>
      <c r="E331" s="35"/>
      <c r="F331" s="35"/>
      <c r="G331" s="35"/>
      <c r="H331" s="11"/>
      <c r="I331" s="35"/>
      <c r="J331" s="35"/>
      <c r="K331" s="11"/>
      <c r="L331" s="35"/>
    </row>
    <row r="332" spans="1:12" x14ac:dyDescent="0.25">
      <c r="A332" s="33"/>
      <c r="B332" s="33"/>
      <c r="C332" s="33"/>
      <c r="D332" s="35"/>
      <c r="E332" s="35"/>
      <c r="F332" s="35"/>
      <c r="G332" s="35"/>
      <c r="H332" s="11"/>
      <c r="I332" s="35"/>
      <c r="J332" s="35"/>
      <c r="K332" s="11"/>
      <c r="L332" s="35"/>
    </row>
    <row r="333" spans="1:12" x14ac:dyDescent="0.25">
      <c r="A333" s="33"/>
      <c r="B333" s="33"/>
      <c r="C333" s="33"/>
      <c r="D333" s="35"/>
      <c r="E333" s="35"/>
      <c r="F333" s="35"/>
      <c r="G333" s="35"/>
      <c r="H333" s="11"/>
      <c r="I333" s="35"/>
      <c r="J333" s="35"/>
      <c r="K333" s="11"/>
      <c r="L333" s="35"/>
    </row>
    <row r="334" spans="1:12" x14ac:dyDescent="0.25">
      <c r="A334" s="33"/>
      <c r="B334" s="33"/>
      <c r="C334" s="33"/>
      <c r="D334" s="35"/>
      <c r="E334" s="35"/>
      <c r="F334" s="35"/>
      <c r="G334" s="35"/>
      <c r="H334" s="11"/>
      <c r="I334" s="35"/>
      <c r="J334" s="35"/>
      <c r="K334" s="11"/>
      <c r="L334" s="35"/>
    </row>
    <row r="335" spans="1:12" x14ac:dyDescent="0.25">
      <c r="A335" s="33"/>
      <c r="B335" s="33"/>
      <c r="C335" s="33"/>
      <c r="D335" s="35"/>
      <c r="E335" s="35"/>
      <c r="F335" s="35"/>
      <c r="G335" s="35"/>
      <c r="H335" s="11"/>
      <c r="I335" s="35"/>
      <c r="J335" s="35"/>
      <c r="K335" s="11"/>
      <c r="L335" s="35"/>
    </row>
    <row r="336" spans="1:12" x14ac:dyDescent="0.25">
      <c r="A336" s="33"/>
      <c r="B336" s="33"/>
      <c r="C336" s="33"/>
      <c r="D336" s="35"/>
      <c r="E336" s="35"/>
      <c r="F336" s="35"/>
      <c r="G336" s="35"/>
      <c r="H336" s="11"/>
      <c r="I336" s="35"/>
      <c r="J336" s="35"/>
      <c r="K336" s="11"/>
      <c r="L336" s="35"/>
    </row>
    <row r="337" spans="1:12" x14ac:dyDescent="0.25">
      <c r="A337" s="33"/>
      <c r="B337" s="33"/>
      <c r="C337" s="33"/>
      <c r="D337" s="35"/>
      <c r="E337" s="35"/>
      <c r="F337" s="35"/>
      <c r="G337" s="35"/>
      <c r="H337" s="11"/>
      <c r="I337" s="35"/>
      <c r="J337" s="35"/>
      <c r="K337" s="11"/>
      <c r="L337" s="35"/>
    </row>
    <row r="338" spans="1:12" x14ac:dyDescent="0.25">
      <c r="A338" s="33"/>
      <c r="B338" s="33"/>
      <c r="C338" s="33"/>
      <c r="D338" s="35"/>
      <c r="E338" s="35"/>
      <c r="F338" s="35"/>
      <c r="G338" s="35"/>
      <c r="H338" s="11"/>
      <c r="I338" s="35"/>
      <c r="J338" s="35"/>
      <c r="K338" s="11"/>
      <c r="L338" s="35"/>
    </row>
    <row r="339" spans="1:12" x14ac:dyDescent="0.25">
      <c r="A339" s="33"/>
      <c r="B339" s="33"/>
      <c r="C339" s="33"/>
      <c r="D339" s="35"/>
      <c r="E339" s="35"/>
      <c r="F339" s="35"/>
      <c r="G339" s="35"/>
      <c r="H339" s="11"/>
      <c r="I339" s="35"/>
      <c r="J339" s="35"/>
      <c r="K339" s="11"/>
      <c r="L339" s="35"/>
    </row>
    <row r="340" spans="1:12" x14ac:dyDescent="0.25">
      <c r="A340" s="33"/>
      <c r="B340" s="33"/>
      <c r="C340" s="33"/>
      <c r="D340" s="35"/>
      <c r="E340" s="35"/>
      <c r="F340" s="35"/>
      <c r="G340" s="35"/>
      <c r="H340" s="11"/>
      <c r="I340" s="35"/>
      <c r="J340" s="35"/>
      <c r="K340" s="11"/>
      <c r="L340" s="35"/>
    </row>
    <row r="341" spans="1:12" x14ac:dyDescent="0.25">
      <c r="A341" s="33"/>
      <c r="B341" s="33"/>
      <c r="C341" s="33"/>
      <c r="D341" s="35"/>
      <c r="E341" s="35"/>
      <c r="F341" s="35"/>
      <c r="G341" s="35"/>
      <c r="H341" s="11"/>
      <c r="I341" s="35"/>
      <c r="J341" s="35"/>
      <c r="K341" s="11"/>
      <c r="L341" s="35"/>
    </row>
    <row r="342" spans="1:12" x14ac:dyDescent="0.25">
      <c r="A342" s="33"/>
      <c r="B342" s="33"/>
      <c r="C342" s="33"/>
      <c r="D342" s="35"/>
      <c r="E342" s="35"/>
      <c r="F342" s="35"/>
      <c r="G342" s="35"/>
      <c r="H342" s="11"/>
      <c r="I342" s="35"/>
      <c r="J342" s="35"/>
      <c r="K342" s="11"/>
      <c r="L342" s="35"/>
    </row>
    <row r="343" spans="1:12" x14ac:dyDescent="0.25">
      <c r="A343" s="33"/>
      <c r="B343" s="33"/>
      <c r="C343" s="33"/>
      <c r="D343" s="35"/>
      <c r="E343" s="35"/>
      <c r="F343" s="35"/>
      <c r="G343" s="35"/>
      <c r="H343" s="11"/>
      <c r="I343" s="35"/>
      <c r="J343" s="35"/>
      <c r="K343" s="11"/>
      <c r="L343" s="35"/>
    </row>
    <row r="344" spans="1:12" x14ac:dyDescent="0.25">
      <c r="A344" s="33"/>
      <c r="B344" s="33"/>
      <c r="C344" s="33"/>
      <c r="D344" s="35"/>
      <c r="E344" s="35"/>
      <c r="F344" s="35"/>
      <c r="G344" s="35"/>
      <c r="H344" s="11"/>
      <c r="I344" s="35"/>
      <c r="J344" s="35"/>
      <c r="K344" s="11"/>
      <c r="L344" s="35"/>
    </row>
    <row r="345" spans="1:12" x14ac:dyDescent="0.25">
      <c r="A345" s="33"/>
      <c r="B345" s="33"/>
      <c r="C345" s="33"/>
      <c r="D345" s="35"/>
      <c r="E345" s="35"/>
      <c r="F345" s="35"/>
      <c r="G345" s="35"/>
      <c r="H345" s="11"/>
      <c r="I345" s="35"/>
      <c r="J345" s="35"/>
      <c r="K345" s="11"/>
      <c r="L345" s="35"/>
    </row>
    <row r="346" spans="1:12" x14ac:dyDescent="0.25">
      <c r="A346" s="33"/>
      <c r="B346" s="33"/>
      <c r="C346" s="33"/>
      <c r="D346" s="35"/>
      <c r="E346" s="35"/>
      <c r="F346" s="35"/>
      <c r="G346" s="35"/>
      <c r="H346" s="11"/>
      <c r="I346" s="35"/>
      <c r="J346" s="35"/>
      <c r="K346" s="11"/>
      <c r="L346" s="35"/>
    </row>
    <row r="347" spans="1:12" x14ac:dyDescent="0.25">
      <c r="A347" s="33"/>
      <c r="B347" s="33"/>
      <c r="C347" s="33"/>
      <c r="D347" s="35"/>
      <c r="E347" s="35"/>
      <c r="F347" s="35"/>
      <c r="G347" s="35"/>
      <c r="H347" s="11"/>
      <c r="I347" s="35"/>
      <c r="J347" s="35"/>
      <c r="K347" s="11"/>
      <c r="L347" s="35"/>
    </row>
    <row r="348" spans="1:12" x14ac:dyDescent="0.25">
      <c r="A348" s="33"/>
      <c r="B348" s="33"/>
      <c r="C348" s="33"/>
      <c r="D348" s="35"/>
      <c r="E348" s="35"/>
      <c r="F348" s="35"/>
      <c r="G348" s="35"/>
      <c r="H348" s="11"/>
      <c r="I348" s="35"/>
      <c r="J348" s="35"/>
      <c r="K348" s="11"/>
      <c r="L348" s="35"/>
    </row>
    <row r="349" spans="1:12" x14ac:dyDescent="0.25">
      <c r="A349" s="33"/>
      <c r="B349" s="33"/>
      <c r="C349" s="33"/>
      <c r="D349" s="35"/>
      <c r="E349" s="35"/>
      <c r="F349" s="35"/>
      <c r="G349" s="35"/>
      <c r="H349" s="11"/>
      <c r="I349" s="35"/>
      <c r="J349" s="35"/>
      <c r="K349" s="11"/>
      <c r="L349" s="35"/>
    </row>
    <row r="350" spans="1:12" x14ac:dyDescent="0.25">
      <c r="A350" s="33"/>
      <c r="B350" s="33"/>
      <c r="C350" s="33"/>
      <c r="D350" s="35"/>
      <c r="E350" s="35"/>
      <c r="F350" s="35"/>
      <c r="G350" s="35"/>
      <c r="H350" s="11"/>
      <c r="I350" s="35"/>
      <c r="J350" s="35"/>
      <c r="K350" s="11"/>
      <c r="L350" s="35"/>
    </row>
    <row r="351" spans="1:12" x14ac:dyDescent="0.25">
      <c r="A351" s="33"/>
      <c r="B351" s="33"/>
      <c r="C351" s="33"/>
      <c r="D351" s="35"/>
      <c r="E351" s="35"/>
      <c r="F351" s="35"/>
      <c r="G351" s="35"/>
      <c r="H351" s="11"/>
      <c r="I351" s="35"/>
      <c r="J351" s="35"/>
      <c r="K351" s="11"/>
      <c r="L351" s="35"/>
    </row>
    <row r="352" spans="1:12" x14ac:dyDescent="0.25">
      <c r="A352" s="33"/>
      <c r="B352" s="33"/>
      <c r="C352" s="33"/>
      <c r="D352" s="35"/>
      <c r="E352" s="35"/>
      <c r="F352" s="35"/>
      <c r="G352" s="35"/>
      <c r="H352" s="11"/>
      <c r="I352" s="35"/>
      <c r="J352" s="35"/>
      <c r="K352" s="11"/>
      <c r="L352" s="35"/>
    </row>
    <row r="353" spans="1:12" x14ac:dyDescent="0.25">
      <c r="A353" s="33"/>
      <c r="B353" s="33"/>
      <c r="C353" s="33"/>
      <c r="D353" s="35"/>
      <c r="E353" s="35"/>
      <c r="F353" s="35"/>
      <c r="G353" s="35"/>
      <c r="H353" s="11"/>
      <c r="I353" s="35"/>
      <c r="J353" s="35"/>
      <c r="K353" s="11"/>
      <c r="L353" s="35"/>
    </row>
    <row r="354" spans="1:12" x14ac:dyDescent="0.25">
      <c r="A354" s="33"/>
      <c r="B354" s="33"/>
      <c r="C354" s="33"/>
      <c r="D354" s="35"/>
      <c r="E354" s="35"/>
      <c r="F354" s="35"/>
      <c r="G354" s="35"/>
      <c r="H354" s="11"/>
      <c r="I354" s="35"/>
      <c r="J354" s="35"/>
      <c r="K354" s="11"/>
      <c r="L354" s="35"/>
    </row>
    <row r="355" spans="1:12" x14ac:dyDescent="0.25">
      <c r="A355" s="33"/>
      <c r="B355" s="33"/>
      <c r="C355" s="33"/>
      <c r="D355" s="35"/>
      <c r="E355" s="35"/>
      <c r="F355" s="35"/>
      <c r="G355" s="35"/>
      <c r="H355" s="11"/>
      <c r="I355" s="35"/>
      <c r="J355" s="35"/>
      <c r="K355" s="11"/>
      <c r="L355" s="35"/>
    </row>
    <row r="356" spans="1:12" x14ac:dyDescent="0.25">
      <c r="A356" s="33"/>
      <c r="B356" s="33"/>
      <c r="C356" s="33"/>
      <c r="D356" s="35"/>
      <c r="E356" s="35"/>
      <c r="F356" s="35"/>
      <c r="G356" s="35"/>
      <c r="H356" s="11"/>
      <c r="I356" s="35"/>
      <c r="J356" s="35"/>
      <c r="K356" s="11"/>
      <c r="L356" s="35"/>
    </row>
    <row r="357" spans="1:12" x14ac:dyDescent="0.25">
      <c r="A357" s="33"/>
      <c r="B357" s="33"/>
      <c r="C357" s="33"/>
      <c r="D357" s="35"/>
      <c r="E357" s="35"/>
      <c r="F357" s="35"/>
      <c r="G357" s="35"/>
      <c r="H357" s="11"/>
      <c r="I357" s="35"/>
      <c r="J357" s="35"/>
      <c r="K357" s="11"/>
      <c r="L357" s="35"/>
    </row>
    <row r="358" spans="1:12" x14ac:dyDescent="0.25">
      <c r="D358" s="11"/>
      <c r="E358" s="11"/>
      <c r="F358" s="11"/>
      <c r="G358" s="11"/>
      <c r="H358" s="11"/>
      <c r="I358" s="11"/>
      <c r="J358" s="11"/>
      <c r="K358" s="11"/>
      <c r="L358" s="11"/>
    </row>
    <row r="359" spans="1:12" x14ac:dyDescent="0.25">
      <c r="D359" s="11"/>
      <c r="E359" s="11"/>
      <c r="F359" s="11"/>
      <c r="G359" s="11"/>
      <c r="H359" s="11"/>
      <c r="I359" s="11"/>
      <c r="J359" s="11"/>
      <c r="K359" s="11"/>
      <c r="L359" s="11"/>
    </row>
    <row r="360" spans="1:12" x14ac:dyDescent="0.25">
      <c r="D360" s="11"/>
      <c r="E360" s="11"/>
      <c r="F360" s="11"/>
      <c r="G360" s="11"/>
      <c r="H360" s="11"/>
      <c r="I360" s="11"/>
      <c r="J360" s="11"/>
      <c r="K360" s="11"/>
      <c r="L360" s="11"/>
    </row>
    <row r="361" spans="1:12" x14ac:dyDescent="0.25">
      <c r="D361" s="11"/>
      <c r="E361" s="11"/>
      <c r="F361" s="11"/>
      <c r="G361" s="11"/>
      <c r="H361" s="11"/>
      <c r="I361" s="11"/>
      <c r="J361" s="11"/>
      <c r="K361" s="11"/>
      <c r="L361" s="11"/>
    </row>
    <row r="362" spans="1:12" x14ac:dyDescent="0.25">
      <c r="D362" s="11"/>
      <c r="E362" s="11"/>
      <c r="F362" s="11"/>
      <c r="G362" s="11"/>
      <c r="H362" s="11"/>
      <c r="I362" s="11"/>
      <c r="J362" s="11"/>
      <c r="K362" s="11"/>
      <c r="L362" s="11"/>
    </row>
    <row r="363" spans="1:12" x14ac:dyDescent="0.25">
      <c r="D363" s="11"/>
      <c r="E363" s="11"/>
      <c r="F363" s="11"/>
      <c r="G363" s="11"/>
      <c r="H363" s="11"/>
      <c r="I363" s="11"/>
      <c r="J363" s="11"/>
      <c r="K363" s="11"/>
      <c r="L363" s="11"/>
    </row>
    <row r="364" spans="1:12" x14ac:dyDescent="0.25">
      <c r="D364" s="11"/>
      <c r="E364" s="11"/>
      <c r="F364" s="11"/>
      <c r="G364" s="11"/>
      <c r="H364" s="11"/>
      <c r="I364" s="11"/>
      <c r="J364" s="11"/>
      <c r="K364" s="11"/>
      <c r="L364" s="11"/>
    </row>
    <row r="365" spans="1:12" x14ac:dyDescent="0.25">
      <c r="D365" s="11"/>
      <c r="E365" s="11"/>
      <c r="F365" s="11"/>
      <c r="G365" s="11"/>
      <c r="H365" s="11"/>
      <c r="I365" s="11"/>
      <c r="J365" s="11"/>
      <c r="K365" s="11"/>
      <c r="L365" s="11"/>
    </row>
    <row r="366" spans="1:12" x14ac:dyDescent="0.25">
      <c r="D366" s="11"/>
      <c r="E366" s="11"/>
      <c r="F366" s="11"/>
      <c r="G366" s="11"/>
      <c r="H366" s="11"/>
      <c r="I366" s="11"/>
      <c r="J366" s="11"/>
      <c r="K366" s="11"/>
      <c r="L366" s="11"/>
    </row>
    <row r="367" spans="1:12" x14ac:dyDescent="0.25">
      <c r="D367" s="11"/>
      <c r="E367" s="11"/>
      <c r="F367" s="11"/>
      <c r="G367" s="11"/>
      <c r="H367" s="11"/>
      <c r="I367" s="11"/>
      <c r="J367" s="11"/>
      <c r="K367" s="11"/>
      <c r="L367" s="11"/>
    </row>
    <row r="368" spans="1:12" x14ac:dyDescent="0.25">
      <c r="D368" s="11"/>
      <c r="E368" s="11"/>
      <c r="F368" s="11"/>
      <c r="G368" s="11"/>
      <c r="H368" s="11"/>
      <c r="I368" s="11"/>
      <c r="J368" s="11"/>
      <c r="K368" s="11"/>
      <c r="L368" s="11"/>
    </row>
    <row r="369" spans="4:12" x14ac:dyDescent="0.25">
      <c r="D369" s="11"/>
      <c r="E369" s="11"/>
      <c r="F369" s="11"/>
      <c r="G369" s="11"/>
      <c r="H369" s="11"/>
      <c r="I369" s="11"/>
      <c r="J369" s="11"/>
      <c r="K369" s="11"/>
      <c r="L369" s="11"/>
    </row>
    <row r="370" spans="4:12" x14ac:dyDescent="0.25">
      <c r="D370" s="11"/>
      <c r="E370" s="11"/>
      <c r="F370" s="11"/>
      <c r="G370" s="11"/>
      <c r="H370" s="11"/>
      <c r="I370" s="11"/>
      <c r="J370" s="11"/>
      <c r="K370" s="11"/>
      <c r="L370" s="11"/>
    </row>
    <row r="371" spans="4:12" x14ac:dyDescent="0.25">
      <c r="D371" s="11"/>
      <c r="E371" s="11"/>
      <c r="F371" s="11"/>
      <c r="G371" s="11"/>
      <c r="H371" s="11"/>
      <c r="I371" s="11"/>
      <c r="J371" s="11"/>
      <c r="K371" s="11"/>
      <c r="L371" s="11"/>
    </row>
    <row r="372" spans="4:12" x14ac:dyDescent="0.25">
      <c r="D372" s="11"/>
      <c r="E372" s="11"/>
      <c r="F372" s="11"/>
      <c r="G372" s="11"/>
      <c r="H372" s="11"/>
      <c r="I372" s="11"/>
      <c r="J372" s="11"/>
      <c r="K372" s="11"/>
      <c r="L372" s="11"/>
    </row>
    <row r="373" spans="4:12" x14ac:dyDescent="0.25">
      <c r="D373" s="11"/>
      <c r="E373" s="11"/>
      <c r="F373" s="11"/>
      <c r="G373" s="11"/>
      <c r="H373" s="11"/>
      <c r="I373" s="11"/>
      <c r="J373" s="11"/>
      <c r="K373" s="11"/>
      <c r="L373" s="11"/>
    </row>
    <row r="374" spans="4:12" x14ac:dyDescent="0.25">
      <c r="D374" s="11"/>
      <c r="E374" s="11"/>
      <c r="F374" s="11"/>
      <c r="G374" s="11"/>
      <c r="H374" s="11"/>
      <c r="I374" s="11"/>
      <c r="J374" s="11"/>
      <c r="K374" s="11"/>
      <c r="L374" s="11"/>
    </row>
    <row r="375" spans="4:12" x14ac:dyDescent="0.25">
      <c r="D375" s="11"/>
      <c r="E375" s="11"/>
      <c r="F375" s="11"/>
      <c r="G375" s="11"/>
      <c r="H375" s="11"/>
      <c r="I375" s="11"/>
      <c r="J375" s="11"/>
      <c r="K375" s="11"/>
      <c r="L375" s="11"/>
    </row>
    <row r="376" spans="4:12" x14ac:dyDescent="0.25">
      <c r="D376" s="11"/>
      <c r="E376" s="11"/>
      <c r="F376" s="11"/>
      <c r="G376" s="11"/>
      <c r="H376" s="11"/>
      <c r="I376" s="11"/>
      <c r="J376" s="11"/>
      <c r="K376" s="11"/>
      <c r="L376" s="11"/>
    </row>
    <row r="377" spans="4:12" x14ac:dyDescent="0.25">
      <c r="D377" s="11"/>
      <c r="E377" s="11"/>
      <c r="F377" s="11"/>
      <c r="G377" s="11"/>
      <c r="H377" s="11"/>
      <c r="I377" s="11"/>
      <c r="J377" s="11"/>
      <c r="K377" s="11"/>
      <c r="L377" s="11"/>
    </row>
    <row r="378" spans="4:12" x14ac:dyDescent="0.25">
      <c r="D378" s="11"/>
      <c r="E378" s="11"/>
      <c r="F378" s="11"/>
      <c r="G378" s="11"/>
      <c r="H378" s="11"/>
      <c r="I378" s="11"/>
      <c r="J378" s="11"/>
      <c r="K378" s="11"/>
      <c r="L378" s="11"/>
    </row>
    <row r="379" spans="4:12" x14ac:dyDescent="0.25">
      <c r="D379" s="11"/>
      <c r="E379" s="11"/>
      <c r="F379" s="11"/>
      <c r="G379" s="11"/>
      <c r="H379" s="11"/>
      <c r="I379" s="11"/>
      <c r="J379" s="11"/>
      <c r="K379" s="11"/>
      <c r="L379" s="11"/>
    </row>
    <row r="380" spans="4:12" x14ac:dyDescent="0.25">
      <c r="D380" s="11"/>
      <c r="E380" s="11"/>
      <c r="F380" s="11"/>
      <c r="G380" s="11"/>
      <c r="H380" s="11"/>
      <c r="I380" s="11"/>
      <c r="J380" s="11"/>
      <c r="K380" s="11"/>
      <c r="L380" s="11"/>
    </row>
    <row r="381" spans="4:12" x14ac:dyDescent="0.25">
      <c r="D381" s="11"/>
      <c r="E381" s="11"/>
      <c r="F381" s="11"/>
      <c r="G381" s="11"/>
      <c r="H381" s="11"/>
      <c r="I381" s="11"/>
      <c r="J381" s="11"/>
      <c r="K381" s="11"/>
      <c r="L381" s="11"/>
    </row>
    <row r="382" spans="4:12" x14ac:dyDescent="0.25">
      <c r="D382" s="11"/>
      <c r="E382" s="11"/>
      <c r="F382" s="11"/>
      <c r="G382" s="11"/>
      <c r="H382" s="11"/>
      <c r="I382" s="11"/>
      <c r="J382" s="11"/>
      <c r="K382" s="11"/>
      <c r="L382" s="11"/>
    </row>
    <row r="383" spans="4:12" x14ac:dyDescent="0.25">
      <c r="D383" s="11"/>
      <c r="E383" s="11"/>
      <c r="F383" s="11"/>
      <c r="G383" s="11"/>
      <c r="H383" s="11"/>
      <c r="I383" s="11"/>
      <c r="J383" s="11"/>
      <c r="K383" s="11"/>
      <c r="L383" s="11"/>
    </row>
    <row r="384" spans="4:12" x14ac:dyDescent="0.25">
      <c r="D384" s="11"/>
      <c r="E384" s="11"/>
      <c r="F384" s="11"/>
      <c r="G384" s="11"/>
      <c r="H384" s="11"/>
      <c r="I384" s="11"/>
      <c r="J384" s="11"/>
      <c r="K384" s="11"/>
      <c r="L384" s="11"/>
    </row>
    <row r="385" spans="4:12" x14ac:dyDescent="0.25">
      <c r="D385" s="11"/>
      <c r="E385" s="11"/>
      <c r="F385" s="11"/>
      <c r="G385" s="11"/>
      <c r="H385" s="11"/>
      <c r="I385" s="11"/>
      <c r="J385" s="11"/>
      <c r="K385" s="11"/>
      <c r="L385" s="11"/>
    </row>
    <row r="386" spans="4:12" x14ac:dyDescent="0.25">
      <c r="D386" s="11"/>
      <c r="E386" s="11"/>
      <c r="F386" s="11"/>
      <c r="G386" s="11"/>
      <c r="H386" s="11"/>
      <c r="I386" s="11"/>
      <c r="J386" s="11"/>
      <c r="K386" s="11"/>
      <c r="L386" s="11"/>
    </row>
    <row r="387" spans="4:12" x14ac:dyDescent="0.25">
      <c r="D387" s="11"/>
      <c r="E387" s="11"/>
      <c r="F387" s="11"/>
      <c r="G387" s="11"/>
      <c r="H387" s="11"/>
      <c r="I387" s="11"/>
      <c r="J387" s="11"/>
      <c r="K387" s="11"/>
      <c r="L387" s="11"/>
    </row>
    <row r="388" spans="4:12" x14ac:dyDescent="0.25">
      <c r="D388" s="11"/>
      <c r="E388" s="11"/>
      <c r="F388" s="11"/>
      <c r="G388" s="11"/>
      <c r="H388" s="11"/>
      <c r="I388" s="11"/>
      <c r="J388" s="11"/>
      <c r="K388" s="11"/>
      <c r="L388" s="11"/>
    </row>
    <row r="389" spans="4:12" x14ac:dyDescent="0.25">
      <c r="D389" s="11"/>
      <c r="E389" s="11"/>
      <c r="F389" s="11"/>
      <c r="G389" s="11"/>
      <c r="H389" s="11"/>
      <c r="I389" s="11"/>
      <c r="J389" s="11"/>
      <c r="K389" s="11"/>
      <c r="L389" s="11"/>
    </row>
    <row r="390" spans="4:12" x14ac:dyDescent="0.25">
      <c r="D390" s="11"/>
      <c r="E390" s="11"/>
      <c r="F390" s="11"/>
      <c r="G390" s="11"/>
      <c r="H390" s="11"/>
      <c r="I390" s="11"/>
      <c r="J390" s="11"/>
      <c r="K390" s="11"/>
      <c r="L390" s="11"/>
    </row>
    <row r="391" spans="4:12" x14ac:dyDescent="0.25">
      <c r="D391" s="11"/>
      <c r="E391" s="11"/>
      <c r="F391" s="11"/>
      <c r="G391" s="11"/>
      <c r="H391" s="11"/>
      <c r="I391" s="11"/>
      <c r="J391" s="11"/>
      <c r="K391" s="11"/>
      <c r="L391" s="11"/>
    </row>
    <row r="392" spans="4:12" x14ac:dyDescent="0.25">
      <c r="D392" s="11"/>
      <c r="E392" s="11"/>
      <c r="F392" s="11"/>
      <c r="G392" s="11"/>
      <c r="H392" s="11"/>
      <c r="I392" s="11"/>
      <c r="J392" s="11"/>
      <c r="K392" s="11"/>
      <c r="L392" s="11"/>
    </row>
    <row r="393" spans="4:12" x14ac:dyDescent="0.25">
      <c r="D393" s="11"/>
      <c r="E393" s="11"/>
      <c r="F393" s="11"/>
      <c r="G393" s="11"/>
      <c r="H393" s="11"/>
      <c r="I393" s="11"/>
      <c r="J393" s="11"/>
      <c r="K393" s="11"/>
      <c r="L393" s="11"/>
    </row>
    <row r="394" spans="4:12" x14ac:dyDescent="0.25">
      <c r="D394" s="11"/>
      <c r="E394" s="11"/>
      <c r="F394" s="11"/>
      <c r="G394" s="11"/>
      <c r="H394" s="11"/>
      <c r="I394" s="11"/>
      <c r="J394" s="11"/>
      <c r="K394" s="11"/>
      <c r="L394" s="11"/>
    </row>
    <row r="395" spans="4:12" x14ac:dyDescent="0.25">
      <c r="D395" s="11"/>
      <c r="E395" s="11"/>
      <c r="F395" s="11"/>
      <c r="G395" s="11"/>
      <c r="H395" s="11"/>
      <c r="I395" s="11"/>
      <c r="J395" s="11"/>
      <c r="K395" s="11"/>
      <c r="L395" s="11"/>
    </row>
    <row r="396" spans="4:12" x14ac:dyDescent="0.25">
      <c r="D396" s="11"/>
      <c r="E396" s="11"/>
      <c r="F396" s="11"/>
      <c r="G396" s="11"/>
      <c r="H396" s="11"/>
      <c r="I396" s="11"/>
      <c r="J396" s="11"/>
      <c r="K396" s="11"/>
      <c r="L396" s="11"/>
    </row>
    <row r="397" spans="4:12" x14ac:dyDescent="0.25">
      <c r="D397" s="11"/>
      <c r="E397" s="11"/>
      <c r="F397" s="11"/>
      <c r="G397" s="11"/>
      <c r="H397" s="11"/>
      <c r="I397" s="11"/>
      <c r="J397" s="11"/>
      <c r="K397" s="11"/>
      <c r="L397" s="11"/>
    </row>
    <row r="398" spans="4:12" x14ac:dyDescent="0.25">
      <c r="D398" s="11"/>
      <c r="E398" s="11"/>
      <c r="F398" s="11"/>
      <c r="G398" s="11"/>
      <c r="H398" s="11"/>
      <c r="I398" s="11"/>
      <c r="J398" s="11"/>
      <c r="K398" s="11"/>
      <c r="L398" s="11"/>
    </row>
    <row r="399" spans="4:12" x14ac:dyDescent="0.25">
      <c r="D399" s="11"/>
      <c r="E399" s="11"/>
      <c r="F399" s="11"/>
      <c r="G399" s="11"/>
      <c r="H399" s="11"/>
      <c r="I399" s="11"/>
      <c r="J399" s="11"/>
      <c r="K399" s="11"/>
      <c r="L399" s="11"/>
    </row>
    <row r="400" spans="4:12" x14ac:dyDescent="0.25">
      <c r="D400" s="11"/>
      <c r="E400" s="11"/>
      <c r="F400" s="11"/>
      <c r="G400" s="11"/>
      <c r="H400" s="11"/>
      <c r="I400" s="11"/>
      <c r="J400" s="11"/>
      <c r="K400" s="11"/>
      <c r="L400" s="11"/>
    </row>
    <row r="401" spans="4:12" x14ac:dyDescent="0.25">
      <c r="D401" s="11"/>
      <c r="E401" s="11"/>
      <c r="F401" s="11"/>
      <c r="G401" s="11"/>
      <c r="H401" s="11"/>
      <c r="I401" s="11"/>
      <c r="J401" s="11"/>
      <c r="K401" s="11"/>
      <c r="L401" s="11"/>
    </row>
    <row r="402" spans="4:12" x14ac:dyDescent="0.25">
      <c r="D402" s="11"/>
      <c r="E402" s="11"/>
      <c r="F402" s="11"/>
      <c r="G402" s="11"/>
      <c r="H402" s="11"/>
      <c r="I402" s="11"/>
      <c r="J402" s="11"/>
      <c r="K402" s="11"/>
      <c r="L402" s="11"/>
    </row>
    <row r="403" spans="4:12" x14ac:dyDescent="0.25">
      <c r="D403" s="11"/>
      <c r="E403" s="11"/>
      <c r="F403" s="11"/>
      <c r="G403" s="11"/>
      <c r="H403" s="11"/>
      <c r="I403" s="11"/>
      <c r="J403" s="11"/>
      <c r="K403" s="11"/>
      <c r="L403" s="11"/>
    </row>
    <row r="404" spans="4:12" x14ac:dyDescent="0.25">
      <c r="D404" s="11"/>
      <c r="E404" s="11"/>
      <c r="F404" s="11"/>
      <c r="G404" s="11"/>
      <c r="H404" s="11"/>
      <c r="I404" s="11"/>
      <c r="J404" s="11"/>
      <c r="K404" s="11"/>
      <c r="L404" s="11"/>
    </row>
    <row r="405" spans="4:12" x14ac:dyDescent="0.25">
      <c r="D405" s="11"/>
      <c r="E405" s="11"/>
      <c r="F405" s="11"/>
      <c r="G405" s="11"/>
      <c r="H405" s="11"/>
      <c r="I405" s="11"/>
      <c r="J405" s="11"/>
      <c r="K405" s="11"/>
      <c r="L405" s="11"/>
    </row>
    <row r="406" spans="4:12" x14ac:dyDescent="0.25">
      <c r="D406" s="11"/>
      <c r="E406" s="11"/>
      <c r="F406" s="11"/>
      <c r="G406" s="11"/>
      <c r="H406" s="11"/>
      <c r="I406" s="11"/>
      <c r="J406" s="11"/>
      <c r="K406" s="11"/>
      <c r="L406" s="11"/>
    </row>
    <row r="407" spans="4:12" x14ac:dyDescent="0.25">
      <c r="D407" s="11"/>
      <c r="E407" s="11"/>
      <c r="F407" s="11"/>
      <c r="G407" s="11"/>
      <c r="H407" s="11"/>
      <c r="I407" s="11"/>
      <c r="J407" s="11"/>
      <c r="K407" s="11"/>
      <c r="L407" s="11"/>
    </row>
    <row r="408" spans="4:12" x14ac:dyDescent="0.25">
      <c r="D408" s="11"/>
      <c r="E408" s="11"/>
      <c r="F408" s="11"/>
      <c r="G408" s="11"/>
      <c r="H408" s="11"/>
      <c r="I408" s="11"/>
      <c r="J408" s="11"/>
      <c r="K408" s="11"/>
      <c r="L408" s="11"/>
    </row>
    <row r="409" spans="4:12" x14ac:dyDescent="0.25">
      <c r="D409" s="11"/>
      <c r="E409" s="11"/>
      <c r="F409" s="11"/>
      <c r="G409" s="11"/>
      <c r="H409" s="11"/>
      <c r="I409" s="11"/>
      <c r="J409" s="11"/>
      <c r="K409" s="11"/>
      <c r="L409" s="11"/>
    </row>
    <row r="410" spans="4:12" x14ac:dyDescent="0.25">
      <c r="D410" s="11"/>
      <c r="E410" s="11"/>
      <c r="F410" s="11"/>
      <c r="G410" s="11"/>
      <c r="H410" s="11"/>
      <c r="I410" s="11"/>
      <c r="J410" s="11"/>
      <c r="K410" s="11"/>
      <c r="L410" s="11"/>
    </row>
    <row r="411" spans="4:12" x14ac:dyDescent="0.25">
      <c r="D411" s="11"/>
      <c r="E411" s="11"/>
      <c r="F411" s="11"/>
      <c r="G411" s="11"/>
      <c r="H411" s="11"/>
      <c r="I411" s="11"/>
      <c r="J411" s="11"/>
      <c r="K411" s="11"/>
      <c r="L411" s="11"/>
    </row>
    <row r="412" spans="4:12" x14ac:dyDescent="0.25">
      <c r="D412" s="11"/>
      <c r="E412" s="11"/>
      <c r="F412" s="11"/>
      <c r="G412" s="11"/>
      <c r="H412" s="11"/>
      <c r="I412" s="11"/>
      <c r="J412" s="11"/>
      <c r="K412" s="11"/>
      <c r="L412" s="11"/>
    </row>
    <row r="413" spans="4:12" x14ac:dyDescent="0.25">
      <c r="D413" s="11"/>
      <c r="E413" s="11"/>
      <c r="F413" s="11"/>
      <c r="G413" s="11"/>
      <c r="H413" s="11"/>
      <c r="I413" s="11"/>
      <c r="J413" s="11"/>
      <c r="K413" s="11"/>
      <c r="L413" s="11"/>
    </row>
    <row r="414" spans="4:12" x14ac:dyDescent="0.25">
      <c r="D414" s="11"/>
      <c r="E414" s="11"/>
      <c r="F414" s="11"/>
      <c r="G414" s="11"/>
      <c r="H414" s="11"/>
      <c r="I414" s="11"/>
      <c r="J414" s="11"/>
      <c r="K414" s="11"/>
      <c r="L414" s="11"/>
    </row>
    <row r="415" spans="4:12" x14ac:dyDescent="0.25">
      <c r="D415" s="11"/>
      <c r="E415" s="11"/>
      <c r="F415" s="11"/>
      <c r="G415" s="11"/>
      <c r="H415" s="11"/>
      <c r="I415" s="11"/>
      <c r="J415" s="11"/>
      <c r="K415" s="11"/>
      <c r="L415" s="11"/>
    </row>
    <row r="416" spans="4:12" x14ac:dyDescent="0.25">
      <c r="D416" s="11"/>
      <c r="E416" s="11"/>
      <c r="F416" s="11"/>
      <c r="G416" s="11"/>
      <c r="H416" s="11"/>
      <c r="I416" s="11"/>
      <c r="J416" s="11"/>
      <c r="K416" s="11"/>
      <c r="L416" s="11"/>
    </row>
    <row r="417" spans="4:12" x14ac:dyDescent="0.25">
      <c r="D417" s="11"/>
      <c r="E417" s="11"/>
      <c r="F417" s="11"/>
      <c r="G417" s="11"/>
      <c r="H417" s="11"/>
      <c r="I417" s="11"/>
      <c r="J417" s="11"/>
      <c r="K417" s="11"/>
      <c r="L417" s="11"/>
    </row>
    <row r="418" spans="4:12" x14ac:dyDescent="0.25">
      <c r="D418" s="11"/>
      <c r="E418" s="11"/>
      <c r="F418" s="11"/>
      <c r="G418" s="11"/>
      <c r="H418" s="11"/>
      <c r="I418" s="11"/>
      <c r="J418" s="11"/>
      <c r="K418" s="11"/>
      <c r="L418" s="11"/>
    </row>
    <row r="419" spans="4:12" x14ac:dyDescent="0.25">
      <c r="D419" s="11"/>
      <c r="E419" s="11"/>
      <c r="F419" s="11"/>
      <c r="G419" s="11"/>
      <c r="H419" s="11"/>
      <c r="I419" s="11"/>
      <c r="J419" s="11"/>
      <c r="K419" s="11"/>
      <c r="L419" s="11"/>
    </row>
    <row r="420" spans="4:12" x14ac:dyDescent="0.25">
      <c r="D420" s="11"/>
      <c r="E420" s="11"/>
      <c r="F420" s="11"/>
      <c r="G420" s="11"/>
      <c r="H420" s="11"/>
      <c r="I420" s="11"/>
      <c r="J420" s="11"/>
      <c r="K420" s="11"/>
      <c r="L420" s="11"/>
    </row>
    <row r="421" spans="4:12" x14ac:dyDescent="0.25">
      <c r="D421" s="11"/>
      <c r="E421" s="11"/>
      <c r="F421" s="11"/>
      <c r="G421" s="11"/>
      <c r="H421" s="11"/>
      <c r="I421" s="11"/>
      <c r="J421" s="11"/>
      <c r="K421" s="11"/>
      <c r="L421" s="11"/>
    </row>
    <row r="422" spans="4:12" x14ac:dyDescent="0.25">
      <c r="D422" s="11"/>
      <c r="E422" s="11"/>
      <c r="F422" s="11"/>
      <c r="G422" s="11"/>
      <c r="H422" s="11"/>
      <c r="I422" s="11"/>
      <c r="J422" s="11"/>
      <c r="K422" s="11"/>
      <c r="L422" s="11"/>
    </row>
    <row r="423" spans="4:12" x14ac:dyDescent="0.25">
      <c r="D423" s="11"/>
      <c r="E423" s="11"/>
      <c r="F423" s="11"/>
      <c r="G423" s="11"/>
      <c r="H423" s="11"/>
      <c r="I423" s="11"/>
      <c r="J423" s="11"/>
      <c r="K423" s="11"/>
      <c r="L423" s="11"/>
    </row>
    <row r="424" spans="4:12" x14ac:dyDescent="0.25">
      <c r="D424" s="11"/>
      <c r="E424" s="11"/>
      <c r="F424" s="11"/>
      <c r="G424" s="11"/>
      <c r="H424" s="11"/>
      <c r="I424" s="11"/>
      <c r="J424" s="11"/>
      <c r="K424" s="11"/>
      <c r="L424" s="11"/>
    </row>
    <row r="425" spans="4:12" x14ac:dyDescent="0.25">
      <c r="D425" s="11"/>
      <c r="E425" s="11"/>
      <c r="F425" s="11"/>
      <c r="G425" s="11"/>
      <c r="H425" s="11"/>
      <c r="I425" s="11"/>
      <c r="J425" s="11"/>
      <c r="K425" s="11"/>
      <c r="L425" s="11"/>
    </row>
    <row r="426" spans="4:12" x14ac:dyDescent="0.25">
      <c r="D426" s="11"/>
      <c r="E426" s="11"/>
      <c r="F426" s="11"/>
      <c r="G426" s="11"/>
      <c r="H426" s="11"/>
      <c r="I426" s="11"/>
      <c r="J426" s="11"/>
      <c r="K426" s="11"/>
      <c r="L426" s="11"/>
    </row>
    <row r="427" spans="4:12" x14ac:dyDescent="0.25">
      <c r="D427" s="11"/>
      <c r="E427" s="11"/>
      <c r="F427" s="11"/>
      <c r="G427" s="11"/>
      <c r="H427" s="11"/>
      <c r="I427" s="11"/>
      <c r="J427" s="11"/>
      <c r="K427" s="11"/>
      <c r="L427" s="11"/>
    </row>
    <row r="428" spans="4:12" x14ac:dyDescent="0.25">
      <c r="D428" s="11"/>
      <c r="E428" s="11"/>
      <c r="F428" s="11"/>
      <c r="G428" s="11"/>
      <c r="H428" s="11"/>
      <c r="I428" s="11"/>
      <c r="J428" s="11"/>
      <c r="K428" s="11"/>
      <c r="L428" s="11"/>
    </row>
    <row r="429" spans="4:12" x14ac:dyDescent="0.25">
      <c r="D429" s="11"/>
      <c r="E429" s="11"/>
      <c r="F429" s="11"/>
      <c r="G429" s="11"/>
      <c r="H429" s="11"/>
      <c r="I429" s="11"/>
      <c r="J429" s="11"/>
      <c r="K429" s="11"/>
      <c r="L429" s="11"/>
    </row>
    <row r="430" spans="4:12" x14ac:dyDescent="0.25">
      <c r="D430" s="11"/>
      <c r="E430" s="11"/>
      <c r="F430" s="11"/>
      <c r="G430" s="11"/>
      <c r="H430" s="11"/>
      <c r="I430" s="11"/>
      <c r="J430" s="11"/>
      <c r="K430" s="11"/>
      <c r="L430" s="11"/>
    </row>
    <row r="431" spans="4:12" x14ac:dyDescent="0.25">
      <c r="D431" s="11"/>
      <c r="E431" s="11"/>
      <c r="F431" s="11"/>
      <c r="G431" s="11"/>
      <c r="H431" s="11"/>
      <c r="I431" s="11"/>
      <c r="J431" s="11"/>
      <c r="K431" s="11"/>
      <c r="L431" s="11"/>
    </row>
    <row r="432" spans="4:12" x14ac:dyDescent="0.25">
      <c r="D432" s="11"/>
      <c r="E432" s="11"/>
      <c r="F432" s="11"/>
      <c r="G432" s="11"/>
      <c r="H432" s="11"/>
      <c r="I432" s="11"/>
      <c r="J432" s="11"/>
      <c r="K432" s="11"/>
      <c r="L432" s="11"/>
    </row>
    <row r="433" spans="4:12" x14ac:dyDescent="0.25">
      <c r="D433" s="11"/>
      <c r="E433" s="11"/>
      <c r="F433" s="11"/>
      <c r="G433" s="11"/>
      <c r="H433" s="11"/>
      <c r="I433" s="11"/>
      <c r="J433" s="11"/>
      <c r="K433" s="11"/>
      <c r="L433" s="11"/>
    </row>
    <row r="434" spans="4:12" x14ac:dyDescent="0.25">
      <c r="D434" s="11"/>
      <c r="E434" s="11"/>
      <c r="F434" s="11"/>
      <c r="G434" s="11"/>
      <c r="H434" s="11"/>
      <c r="I434" s="11"/>
      <c r="J434" s="11"/>
      <c r="K434" s="11"/>
      <c r="L434" s="11"/>
    </row>
    <row r="435" spans="4:12" x14ac:dyDescent="0.25">
      <c r="D435" s="11"/>
      <c r="E435" s="11"/>
      <c r="F435" s="11"/>
      <c r="G435" s="11"/>
      <c r="H435" s="11"/>
      <c r="I435" s="11"/>
      <c r="J435" s="11"/>
      <c r="K435" s="11"/>
      <c r="L435" s="11"/>
    </row>
    <row r="436" spans="4:12" x14ac:dyDescent="0.25">
      <c r="D436" s="11"/>
      <c r="E436" s="11"/>
      <c r="F436" s="11"/>
      <c r="G436" s="11"/>
      <c r="H436" s="11"/>
      <c r="I436" s="11"/>
      <c r="J436" s="11"/>
      <c r="K436" s="11"/>
      <c r="L436" s="11"/>
    </row>
    <row r="437" spans="4:12" x14ac:dyDescent="0.25">
      <c r="D437" s="11"/>
      <c r="E437" s="11"/>
      <c r="F437" s="11"/>
      <c r="G437" s="11"/>
      <c r="H437" s="11"/>
      <c r="I437" s="11"/>
      <c r="J437" s="11"/>
      <c r="K437" s="11"/>
      <c r="L437" s="11"/>
    </row>
    <row r="438" spans="4:12" x14ac:dyDescent="0.25">
      <c r="D438" s="11"/>
      <c r="E438" s="11"/>
      <c r="F438" s="11"/>
      <c r="G438" s="11"/>
      <c r="H438" s="11"/>
      <c r="I438" s="11"/>
      <c r="J438" s="11"/>
      <c r="K438" s="11"/>
      <c r="L438" s="11"/>
    </row>
    <row r="439" spans="4:12" x14ac:dyDescent="0.25">
      <c r="D439" s="11"/>
      <c r="E439" s="11"/>
      <c r="F439" s="11"/>
      <c r="G439" s="11"/>
      <c r="H439" s="11"/>
      <c r="I439" s="11"/>
      <c r="J439" s="11"/>
      <c r="K439" s="11"/>
      <c r="L439" s="11"/>
    </row>
    <row r="440" spans="4:12" x14ac:dyDescent="0.25">
      <c r="D440" s="11"/>
      <c r="E440" s="11"/>
      <c r="F440" s="11"/>
      <c r="G440" s="11"/>
      <c r="H440" s="11"/>
      <c r="I440" s="11"/>
      <c r="J440" s="11"/>
      <c r="K440" s="11"/>
      <c r="L440" s="11"/>
    </row>
    <row r="441" spans="4:12" x14ac:dyDescent="0.25">
      <c r="D441" s="11"/>
      <c r="E441" s="11"/>
      <c r="F441" s="11"/>
      <c r="G441" s="11"/>
      <c r="H441" s="11"/>
      <c r="I441" s="11"/>
      <c r="J441" s="11"/>
      <c r="K441" s="11"/>
      <c r="L441" s="11"/>
    </row>
    <row r="442" spans="4:12" x14ac:dyDescent="0.25">
      <c r="D442" s="11"/>
      <c r="E442" s="11"/>
      <c r="F442" s="11"/>
      <c r="G442" s="11"/>
      <c r="H442" s="11"/>
      <c r="I442" s="11"/>
      <c r="J442" s="11"/>
      <c r="K442" s="11"/>
      <c r="L442" s="11"/>
    </row>
    <row r="443" spans="4:12" x14ac:dyDescent="0.25">
      <c r="D443" s="11"/>
      <c r="E443" s="11"/>
      <c r="F443" s="11"/>
      <c r="G443" s="11"/>
      <c r="H443" s="11"/>
      <c r="I443" s="11"/>
      <c r="J443" s="11"/>
      <c r="K443" s="11"/>
      <c r="L443" s="11"/>
    </row>
    <row r="444" spans="4:12" x14ac:dyDescent="0.25">
      <c r="D444" s="11"/>
      <c r="E444" s="11"/>
      <c r="F444" s="11"/>
      <c r="G444" s="11"/>
      <c r="H444" s="11"/>
      <c r="I444" s="11"/>
      <c r="J444" s="11"/>
      <c r="K444" s="11"/>
      <c r="L444" s="11"/>
    </row>
    <row r="445" spans="4:12" x14ac:dyDescent="0.25">
      <c r="D445" s="11"/>
      <c r="E445" s="11"/>
      <c r="F445" s="11"/>
      <c r="G445" s="11"/>
      <c r="H445" s="11"/>
      <c r="I445" s="11"/>
      <c r="J445" s="11"/>
      <c r="K445" s="11"/>
      <c r="L445" s="11"/>
    </row>
    <row r="446" spans="4:12" x14ac:dyDescent="0.25">
      <c r="D446" s="11"/>
      <c r="E446" s="11"/>
      <c r="F446" s="11"/>
      <c r="G446" s="11"/>
      <c r="H446" s="11"/>
      <c r="I446" s="11"/>
      <c r="J446" s="11"/>
      <c r="K446" s="11"/>
      <c r="L446" s="11"/>
    </row>
    <row r="447" spans="4:12" x14ac:dyDescent="0.25">
      <c r="D447" s="11"/>
      <c r="E447" s="11"/>
      <c r="F447" s="11"/>
      <c r="G447" s="11"/>
      <c r="H447" s="11"/>
      <c r="I447" s="11"/>
      <c r="J447" s="11"/>
      <c r="K447" s="11"/>
      <c r="L447" s="11"/>
    </row>
    <row r="448" spans="4:12" x14ac:dyDescent="0.25">
      <c r="D448" s="11"/>
      <c r="E448" s="11"/>
      <c r="F448" s="11"/>
      <c r="G448" s="11"/>
      <c r="H448" s="11"/>
      <c r="I448" s="11"/>
      <c r="J448" s="11"/>
      <c r="K448" s="11"/>
      <c r="L448" s="11"/>
    </row>
    <row r="449" spans="4:12" x14ac:dyDescent="0.25">
      <c r="D449" s="11"/>
      <c r="E449" s="11"/>
      <c r="F449" s="11"/>
      <c r="G449" s="11"/>
      <c r="H449" s="11"/>
      <c r="I449" s="11"/>
      <c r="J449" s="11"/>
      <c r="K449" s="11"/>
      <c r="L449" s="11"/>
    </row>
    <row r="450" spans="4:12" x14ac:dyDescent="0.25">
      <c r="D450" s="11"/>
      <c r="E450" s="11"/>
      <c r="F450" s="11"/>
      <c r="G450" s="11"/>
      <c r="H450" s="11"/>
      <c r="I450" s="11"/>
      <c r="J450" s="11"/>
      <c r="K450" s="11"/>
      <c r="L450" s="11"/>
    </row>
    <row r="451" spans="4:12" x14ac:dyDescent="0.25">
      <c r="D451" s="11"/>
      <c r="E451" s="11"/>
      <c r="F451" s="11"/>
      <c r="G451" s="11"/>
      <c r="H451" s="11"/>
      <c r="I451" s="11"/>
      <c r="J451" s="11"/>
      <c r="K451" s="11"/>
      <c r="L451" s="11"/>
    </row>
    <row r="452" spans="4:12" x14ac:dyDescent="0.25">
      <c r="D452" s="11"/>
      <c r="E452" s="11"/>
      <c r="F452" s="11"/>
      <c r="G452" s="11"/>
      <c r="H452" s="11"/>
      <c r="I452" s="11"/>
      <c r="J452" s="11"/>
      <c r="K452" s="11"/>
      <c r="L452" s="11"/>
    </row>
    <row r="453" spans="4:12" x14ac:dyDescent="0.25">
      <c r="D453" s="11"/>
      <c r="E453" s="11"/>
      <c r="F453" s="11"/>
      <c r="G453" s="11"/>
      <c r="H453" s="11"/>
      <c r="I453" s="11"/>
      <c r="J453" s="11"/>
      <c r="K453" s="11"/>
      <c r="L453" s="11"/>
    </row>
    <row r="454" spans="4:12" x14ac:dyDescent="0.25">
      <c r="D454" s="11"/>
      <c r="E454" s="11"/>
      <c r="F454" s="11"/>
      <c r="G454" s="11"/>
      <c r="H454" s="11"/>
      <c r="I454" s="11"/>
      <c r="J454" s="11"/>
      <c r="K454" s="11"/>
      <c r="L454" s="11"/>
    </row>
    <row r="455" spans="4:12" x14ac:dyDescent="0.25">
      <c r="D455" s="11"/>
      <c r="E455" s="11"/>
      <c r="F455" s="11"/>
      <c r="G455" s="11"/>
      <c r="H455" s="11"/>
      <c r="I455" s="11"/>
      <c r="J455" s="11"/>
      <c r="K455" s="11"/>
      <c r="L455" s="11"/>
    </row>
    <row r="456" spans="4:12" x14ac:dyDescent="0.25">
      <c r="D456" s="11"/>
      <c r="E456" s="11"/>
      <c r="F456" s="11"/>
      <c r="G456" s="11"/>
      <c r="H456" s="11"/>
      <c r="I456" s="11"/>
      <c r="J456" s="11"/>
      <c r="K456" s="11"/>
      <c r="L456" s="11"/>
    </row>
    <row r="457" spans="4:12" x14ac:dyDescent="0.25">
      <c r="D457" s="11"/>
      <c r="E457" s="11"/>
      <c r="F457" s="11"/>
      <c r="G457" s="11"/>
      <c r="H457" s="11"/>
      <c r="I457" s="11"/>
      <c r="J457" s="11"/>
      <c r="K457" s="11"/>
      <c r="L457" s="11"/>
    </row>
    <row r="458" spans="4:12" x14ac:dyDescent="0.25">
      <c r="D458" s="11"/>
      <c r="E458" s="11"/>
      <c r="F458" s="11"/>
      <c r="G458" s="11"/>
      <c r="H458" s="11"/>
      <c r="I458" s="11"/>
      <c r="J458" s="11"/>
      <c r="K458" s="11"/>
      <c r="L458" s="11"/>
    </row>
    <row r="459" spans="4:12" x14ac:dyDescent="0.25">
      <c r="D459" s="11"/>
      <c r="E459" s="11"/>
      <c r="F459" s="11"/>
      <c r="G459" s="11"/>
      <c r="H459" s="11"/>
      <c r="I459" s="11"/>
      <c r="J459" s="11"/>
      <c r="K459" s="11"/>
      <c r="L459" s="11"/>
    </row>
    <row r="460" spans="4:12" x14ac:dyDescent="0.25">
      <c r="D460" s="11"/>
      <c r="E460" s="11"/>
      <c r="F460" s="11"/>
      <c r="G460" s="11"/>
      <c r="H460" s="11"/>
      <c r="I460" s="11"/>
      <c r="J460" s="11"/>
      <c r="K460" s="11"/>
      <c r="L460" s="11"/>
    </row>
    <row r="461" spans="4:12" x14ac:dyDescent="0.25">
      <c r="D461" s="11"/>
      <c r="E461" s="11"/>
      <c r="F461" s="11"/>
      <c r="G461" s="11"/>
      <c r="H461" s="11"/>
      <c r="I461" s="11"/>
      <c r="J461" s="11"/>
      <c r="K461" s="11"/>
      <c r="L461" s="11"/>
    </row>
    <row r="462" spans="4:12" x14ac:dyDescent="0.25">
      <c r="D462" s="11"/>
      <c r="E462" s="11"/>
      <c r="F462" s="11"/>
      <c r="G462" s="11"/>
      <c r="H462" s="11"/>
      <c r="I462" s="11"/>
      <c r="J462" s="11"/>
      <c r="K462" s="11"/>
      <c r="L462" s="11"/>
    </row>
    <row r="463" spans="4:12" x14ac:dyDescent="0.25">
      <c r="D463" s="11"/>
      <c r="E463" s="11"/>
      <c r="F463" s="11"/>
      <c r="G463" s="11"/>
      <c r="H463" s="11"/>
      <c r="I463" s="11"/>
      <c r="J463" s="11"/>
      <c r="K463" s="11"/>
      <c r="L463" s="11"/>
    </row>
    <row r="464" spans="4:12" x14ac:dyDescent="0.25">
      <c r="D464" s="11"/>
      <c r="E464" s="11"/>
      <c r="F464" s="11"/>
      <c r="G464" s="11"/>
      <c r="H464" s="11"/>
      <c r="I464" s="11"/>
      <c r="J464" s="11"/>
      <c r="K464" s="11"/>
      <c r="L464" s="11"/>
    </row>
    <row r="465" spans="4:12" x14ac:dyDescent="0.25">
      <c r="D465" s="11"/>
      <c r="E465" s="11"/>
      <c r="F465" s="11"/>
      <c r="G465" s="11"/>
      <c r="H465" s="11"/>
      <c r="I465" s="11"/>
      <c r="J465" s="11"/>
      <c r="K465" s="11"/>
      <c r="L465" s="11"/>
    </row>
    <row r="466" spans="4:12" x14ac:dyDescent="0.25">
      <c r="D466" s="11"/>
      <c r="E466" s="11"/>
      <c r="F466" s="11"/>
      <c r="G466" s="11"/>
      <c r="H466" s="11"/>
      <c r="I466" s="11"/>
      <c r="J466" s="11"/>
      <c r="K466" s="11"/>
      <c r="L466" s="11"/>
    </row>
    <row r="467" spans="4:12" x14ac:dyDescent="0.25">
      <c r="D467" s="11"/>
      <c r="E467" s="11"/>
      <c r="F467" s="11"/>
      <c r="G467" s="11"/>
      <c r="H467" s="11"/>
      <c r="I467" s="11"/>
      <c r="J467" s="11"/>
      <c r="K467" s="11"/>
      <c r="L467" s="11"/>
    </row>
    <row r="468" spans="4:12" x14ac:dyDescent="0.25">
      <c r="D468" s="11"/>
      <c r="E468" s="11"/>
      <c r="F468" s="11"/>
      <c r="G468" s="11"/>
      <c r="H468" s="11"/>
      <c r="I468" s="11"/>
      <c r="J468" s="11"/>
      <c r="K468" s="11"/>
      <c r="L468" s="11"/>
    </row>
    <row r="469" spans="4:12" x14ac:dyDescent="0.25">
      <c r="D469" s="11"/>
      <c r="E469" s="11"/>
      <c r="F469" s="11"/>
      <c r="G469" s="11"/>
      <c r="H469" s="11"/>
      <c r="I469" s="11"/>
      <c r="J469" s="11"/>
      <c r="K469" s="11"/>
      <c r="L469" s="11"/>
    </row>
    <row r="470" spans="4:12" x14ac:dyDescent="0.25">
      <c r="D470" s="11"/>
      <c r="E470" s="11"/>
      <c r="F470" s="11"/>
      <c r="G470" s="11"/>
      <c r="H470" s="11"/>
      <c r="I470" s="11"/>
      <c r="J470" s="11"/>
      <c r="K470" s="11"/>
      <c r="L470" s="11"/>
    </row>
    <row r="471" spans="4:12" x14ac:dyDescent="0.25">
      <c r="D471" s="11"/>
      <c r="E471" s="11"/>
      <c r="F471" s="11"/>
      <c r="G471" s="11"/>
      <c r="H471" s="11"/>
      <c r="I471" s="11"/>
      <c r="J471" s="11"/>
      <c r="K471" s="11"/>
      <c r="L471" s="11"/>
    </row>
    <row r="472" spans="4:12" x14ac:dyDescent="0.25">
      <c r="D472" s="11"/>
      <c r="E472" s="11"/>
      <c r="F472" s="11"/>
      <c r="G472" s="11"/>
      <c r="H472" s="11"/>
      <c r="I472" s="11"/>
      <c r="J472" s="11"/>
      <c r="K472" s="11"/>
      <c r="L472" s="11"/>
    </row>
    <row r="473" spans="4:12" x14ac:dyDescent="0.25">
      <c r="D473" s="11"/>
      <c r="E473" s="11"/>
      <c r="F473" s="11"/>
      <c r="G473" s="11"/>
      <c r="H473" s="11"/>
      <c r="I473" s="11"/>
      <c r="J473" s="11"/>
      <c r="K473" s="11"/>
      <c r="L473" s="11"/>
    </row>
    <row r="474" spans="4:12" x14ac:dyDescent="0.25">
      <c r="D474" s="11"/>
      <c r="E474" s="11"/>
      <c r="F474" s="11"/>
      <c r="G474" s="11"/>
      <c r="H474" s="11"/>
      <c r="I474" s="11"/>
      <c r="J474" s="11"/>
      <c r="K474" s="11"/>
      <c r="L474" s="11"/>
    </row>
    <row r="475" spans="4:12" x14ac:dyDescent="0.25">
      <c r="D475" s="11"/>
      <c r="E475" s="11"/>
      <c r="F475" s="11"/>
      <c r="G475" s="11"/>
      <c r="H475" s="11"/>
      <c r="I475" s="11"/>
      <c r="J475" s="11"/>
      <c r="K475" s="11"/>
      <c r="L475" s="11"/>
    </row>
    <row r="476" spans="4:12" x14ac:dyDescent="0.25">
      <c r="D476" s="11"/>
      <c r="E476" s="11"/>
      <c r="F476" s="11"/>
      <c r="G476" s="11"/>
      <c r="H476" s="11"/>
      <c r="I476" s="11"/>
      <c r="J476" s="11"/>
      <c r="K476" s="11"/>
      <c r="L476" s="11"/>
    </row>
    <row r="477" spans="4:12" x14ac:dyDescent="0.25">
      <c r="D477" s="11"/>
      <c r="E477" s="11"/>
      <c r="F477" s="11"/>
      <c r="G477" s="11"/>
      <c r="H477" s="11"/>
      <c r="I477" s="11"/>
      <c r="J477" s="11"/>
      <c r="K477" s="11"/>
      <c r="L477" s="11"/>
    </row>
    <row r="478" spans="4:12" x14ac:dyDescent="0.25">
      <c r="D478" s="11"/>
      <c r="E478" s="11"/>
      <c r="F478" s="11"/>
      <c r="G478" s="11"/>
      <c r="H478" s="11"/>
      <c r="I478" s="11"/>
      <c r="J478" s="11"/>
      <c r="K478" s="11"/>
      <c r="L478" s="11"/>
    </row>
    <row r="479" spans="4:12" x14ac:dyDescent="0.25">
      <c r="D479" s="11"/>
      <c r="E479" s="11"/>
      <c r="F479" s="11"/>
      <c r="G479" s="11"/>
      <c r="H479" s="11"/>
      <c r="I479" s="11"/>
      <c r="J479" s="11"/>
      <c r="K479" s="11"/>
      <c r="L479" s="11"/>
    </row>
    <row r="480" spans="4:12" x14ac:dyDescent="0.25">
      <c r="D480" s="11"/>
      <c r="E480" s="11"/>
      <c r="F480" s="11"/>
      <c r="G480" s="11"/>
      <c r="H480" s="11"/>
      <c r="I480" s="11"/>
      <c r="J480" s="11"/>
      <c r="K480" s="11"/>
      <c r="L480" s="11"/>
    </row>
    <row r="481" spans="4:12" x14ac:dyDescent="0.25">
      <c r="D481" s="11"/>
      <c r="E481" s="11"/>
      <c r="F481" s="11"/>
      <c r="G481" s="11"/>
      <c r="H481" s="11"/>
      <c r="I481" s="11"/>
      <c r="J481" s="11"/>
      <c r="K481" s="11"/>
      <c r="L481" s="11"/>
    </row>
    <row r="482" spans="4:12" x14ac:dyDescent="0.25">
      <c r="D482" s="11"/>
      <c r="E482" s="11"/>
      <c r="F482" s="11"/>
      <c r="G482" s="11"/>
      <c r="H482" s="11"/>
      <c r="I482" s="11"/>
      <c r="J482" s="11"/>
      <c r="K482" s="11"/>
      <c r="L482" s="11"/>
    </row>
    <row r="483" spans="4:12" x14ac:dyDescent="0.25">
      <c r="D483" s="11"/>
      <c r="E483" s="11"/>
      <c r="F483" s="11"/>
      <c r="G483" s="11"/>
      <c r="H483" s="11"/>
      <c r="I483" s="11"/>
      <c r="J483" s="11"/>
      <c r="K483" s="11"/>
      <c r="L483" s="11"/>
    </row>
    <row r="484" spans="4:12" x14ac:dyDescent="0.25">
      <c r="D484" s="11"/>
      <c r="E484" s="11"/>
      <c r="F484" s="11"/>
      <c r="G484" s="11"/>
      <c r="H484" s="11"/>
      <c r="I484" s="11"/>
      <c r="J484" s="11"/>
      <c r="K484" s="11"/>
      <c r="L484" s="11"/>
    </row>
    <row r="485" spans="4:12" x14ac:dyDescent="0.25">
      <c r="D485" s="11"/>
      <c r="E485" s="11"/>
      <c r="F485" s="11"/>
      <c r="G485" s="11"/>
      <c r="H485" s="11"/>
      <c r="I485" s="11"/>
      <c r="J485" s="11"/>
      <c r="K485" s="11"/>
      <c r="L485" s="11"/>
    </row>
    <row r="486" spans="4:12" x14ac:dyDescent="0.25">
      <c r="D486" s="11"/>
      <c r="E486" s="11"/>
      <c r="F486" s="11"/>
      <c r="G486" s="11"/>
      <c r="H486" s="11"/>
      <c r="I486" s="11"/>
      <c r="J486" s="11"/>
      <c r="K486" s="11"/>
      <c r="L486" s="11"/>
    </row>
    <row r="487" spans="4:12" x14ac:dyDescent="0.25">
      <c r="D487" s="11"/>
      <c r="E487" s="11"/>
      <c r="F487" s="11"/>
      <c r="G487" s="11"/>
      <c r="H487" s="11"/>
      <c r="I487" s="11"/>
      <c r="J487" s="11"/>
      <c r="K487" s="11"/>
      <c r="L487" s="11"/>
    </row>
    <row r="488" spans="4:12" x14ac:dyDescent="0.25">
      <c r="D488" s="11"/>
      <c r="E488" s="11"/>
      <c r="F488" s="11"/>
      <c r="G488" s="11"/>
      <c r="H488" s="11"/>
      <c r="I488" s="11"/>
      <c r="J488" s="11"/>
      <c r="K488" s="11"/>
      <c r="L488" s="11"/>
    </row>
    <row r="489" spans="4:12" x14ac:dyDescent="0.25">
      <c r="D489" s="11"/>
      <c r="E489" s="11"/>
      <c r="F489" s="11"/>
      <c r="G489" s="11"/>
      <c r="H489" s="11"/>
      <c r="I489" s="11"/>
      <c r="J489" s="11"/>
      <c r="K489" s="11"/>
      <c r="L489" s="11"/>
    </row>
    <row r="490" spans="4:12" x14ac:dyDescent="0.25">
      <c r="D490" s="11"/>
      <c r="E490" s="11"/>
      <c r="F490" s="11"/>
      <c r="G490" s="11"/>
      <c r="H490" s="11"/>
      <c r="I490" s="11"/>
      <c r="J490" s="11"/>
      <c r="K490" s="11"/>
      <c r="L490" s="11"/>
    </row>
    <row r="491" spans="4:12" x14ac:dyDescent="0.25">
      <c r="D491" s="11"/>
      <c r="E491" s="11"/>
      <c r="F491" s="11"/>
      <c r="G491" s="11"/>
      <c r="H491" s="11"/>
      <c r="I491" s="11"/>
      <c r="J491" s="11"/>
      <c r="K491" s="11"/>
      <c r="L491" s="11"/>
    </row>
    <row r="492" spans="4:12" x14ac:dyDescent="0.25">
      <c r="D492" s="11"/>
      <c r="E492" s="11"/>
      <c r="F492" s="11"/>
      <c r="G492" s="11"/>
      <c r="H492" s="11"/>
      <c r="I492" s="11"/>
      <c r="J492" s="11"/>
      <c r="K492" s="11"/>
      <c r="L492" s="11"/>
    </row>
    <row r="493" spans="4:12" x14ac:dyDescent="0.25">
      <c r="D493" s="11"/>
      <c r="E493" s="11"/>
      <c r="F493" s="11"/>
      <c r="G493" s="11"/>
      <c r="H493" s="11"/>
      <c r="I493" s="11"/>
      <c r="J493" s="11"/>
      <c r="K493" s="11"/>
      <c r="L493" s="11"/>
    </row>
    <row r="494" spans="4:12" x14ac:dyDescent="0.25">
      <c r="D494" s="11"/>
      <c r="E494" s="11"/>
      <c r="F494" s="11"/>
      <c r="G494" s="11"/>
      <c r="H494" s="11"/>
      <c r="I494" s="11"/>
      <c r="J494" s="11"/>
      <c r="K494" s="11"/>
      <c r="L494" s="11"/>
    </row>
    <row r="495" spans="4:12" x14ac:dyDescent="0.25">
      <c r="D495" s="11"/>
      <c r="E495" s="11"/>
      <c r="F495" s="11"/>
      <c r="G495" s="11"/>
      <c r="H495" s="11"/>
      <c r="I495" s="11"/>
      <c r="J495" s="11"/>
      <c r="K495" s="11"/>
      <c r="L495" s="11"/>
    </row>
    <row r="496" spans="4:12" x14ac:dyDescent="0.25">
      <c r="D496" s="11"/>
      <c r="E496" s="11"/>
      <c r="F496" s="11"/>
      <c r="G496" s="11"/>
      <c r="H496" s="11"/>
      <c r="I496" s="11"/>
      <c r="J496" s="11"/>
      <c r="K496" s="11"/>
      <c r="L496" s="11"/>
    </row>
    <row r="497" spans="4:12" x14ac:dyDescent="0.25">
      <c r="D497" s="11"/>
      <c r="E497" s="11"/>
      <c r="F497" s="11"/>
      <c r="G497" s="11"/>
      <c r="H497" s="11"/>
      <c r="I497" s="11"/>
      <c r="J497" s="11"/>
      <c r="K497" s="11"/>
      <c r="L497" s="11"/>
    </row>
    <row r="498" spans="4:12" x14ac:dyDescent="0.25">
      <c r="D498" s="11"/>
      <c r="E498" s="11"/>
      <c r="F498" s="11"/>
      <c r="G498" s="11"/>
      <c r="H498" s="11"/>
      <c r="I498" s="11"/>
      <c r="J498" s="11"/>
      <c r="K498" s="11"/>
      <c r="L498" s="11"/>
    </row>
    <row r="499" spans="4:12" x14ac:dyDescent="0.25">
      <c r="D499" s="11"/>
      <c r="E499" s="11"/>
      <c r="F499" s="11"/>
      <c r="G499" s="11"/>
      <c r="H499" s="11"/>
      <c r="I499" s="11"/>
      <c r="J499" s="11"/>
      <c r="K499" s="11"/>
      <c r="L499" s="11"/>
    </row>
    <row r="500" spans="4:12" x14ac:dyDescent="0.25">
      <c r="D500" s="11"/>
      <c r="E500" s="11"/>
      <c r="F500" s="11"/>
      <c r="G500" s="11"/>
      <c r="H500" s="11"/>
      <c r="I500" s="11"/>
      <c r="J500" s="11"/>
      <c r="K500" s="11"/>
      <c r="L500" s="11"/>
    </row>
    <row r="501" spans="4:12" x14ac:dyDescent="0.25">
      <c r="D501" s="11"/>
      <c r="E501" s="11"/>
      <c r="F501" s="11"/>
      <c r="G501" s="11"/>
      <c r="H501" s="11"/>
      <c r="I501" s="11"/>
      <c r="J501" s="11"/>
      <c r="K501" s="11"/>
      <c r="L501" s="11"/>
    </row>
    <row r="502" spans="4:12" x14ac:dyDescent="0.25">
      <c r="D502" s="11"/>
      <c r="E502" s="11"/>
      <c r="F502" s="11"/>
      <c r="G502" s="11"/>
      <c r="H502" s="11"/>
      <c r="I502" s="11"/>
      <c r="J502" s="11"/>
      <c r="K502" s="11"/>
      <c r="L502" s="11"/>
    </row>
    <row r="503" spans="4:12" x14ac:dyDescent="0.25">
      <c r="D503" s="11"/>
      <c r="E503" s="11"/>
      <c r="F503" s="11"/>
      <c r="G503" s="11"/>
      <c r="H503" s="11"/>
      <c r="I503" s="11"/>
      <c r="J503" s="11"/>
      <c r="K503" s="11"/>
      <c r="L503" s="11"/>
    </row>
    <row r="504" spans="4:12" x14ac:dyDescent="0.25">
      <c r="D504" s="11"/>
      <c r="E504" s="11"/>
      <c r="F504" s="11"/>
      <c r="G504" s="11"/>
      <c r="H504" s="11"/>
      <c r="I504" s="11"/>
      <c r="J504" s="11"/>
      <c r="K504" s="11"/>
      <c r="L504" s="11"/>
    </row>
    <row r="505" spans="4:12" x14ac:dyDescent="0.25">
      <c r="D505" s="11"/>
      <c r="E505" s="11"/>
      <c r="F505" s="11"/>
      <c r="G505" s="11"/>
      <c r="H505" s="11"/>
      <c r="I505" s="11"/>
      <c r="J505" s="11"/>
      <c r="K505" s="11"/>
      <c r="L505" s="11"/>
    </row>
    <row r="506" spans="4:12" x14ac:dyDescent="0.25">
      <c r="D506" s="11"/>
      <c r="E506" s="11"/>
      <c r="F506" s="11"/>
      <c r="G506" s="11"/>
      <c r="H506" s="11"/>
      <c r="I506" s="11"/>
      <c r="J506" s="11"/>
      <c r="K506" s="11"/>
      <c r="L506" s="11"/>
    </row>
    <row r="507" spans="4:12" x14ac:dyDescent="0.25">
      <c r="D507" s="11"/>
      <c r="E507" s="11"/>
      <c r="F507" s="11"/>
      <c r="G507" s="11"/>
      <c r="H507" s="11"/>
      <c r="I507" s="11"/>
      <c r="J507" s="11"/>
      <c r="K507" s="11"/>
      <c r="L507" s="11"/>
    </row>
    <row r="508" spans="4:12" x14ac:dyDescent="0.25">
      <c r="D508" s="11"/>
      <c r="E508" s="11"/>
      <c r="F508" s="11"/>
      <c r="G508" s="11"/>
      <c r="H508" s="11"/>
      <c r="I508" s="11"/>
      <c r="J508" s="11"/>
      <c r="K508" s="11"/>
      <c r="L508" s="11"/>
    </row>
    <row r="509" spans="4:12" x14ac:dyDescent="0.25">
      <c r="D509" s="11"/>
      <c r="E509" s="11"/>
      <c r="F509" s="11"/>
      <c r="G509" s="11"/>
      <c r="H509" s="11"/>
      <c r="I509" s="11"/>
      <c r="J509" s="11"/>
      <c r="K509" s="11"/>
      <c r="L509" s="11"/>
    </row>
    <row r="510" spans="4:12" x14ac:dyDescent="0.25">
      <c r="D510" s="11"/>
      <c r="E510" s="11"/>
      <c r="F510" s="11"/>
      <c r="G510" s="11"/>
      <c r="H510" s="11"/>
      <c r="I510" s="11"/>
      <c r="J510" s="11"/>
      <c r="K510" s="11"/>
      <c r="L510" s="11"/>
    </row>
    <row r="511" spans="4:12" x14ac:dyDescent="0.25">
      <c r="D511" s="11"/>
      <c r="E511" s="11"/>
      <c r="F511" s="11"/>
      <c r="G511" s="11"/>
      <c r="H511" s="11"/>
      <c r="I511" s="11"/>
      <c r="J511" s="11"/>
      <c r="K511" s="11"/>
      <c r="L511" s="11"/>
    </row>
    <row r="512" spans="4:12" x14ac:dyDescent="0.25">
      <c r="D512" s="11"/>
      <c r="E512" s="11"/>
      <c r="F512" s="11"/>
      <c r="G512" s="11"/>
      <c r="H512" s="11"/>
      <c r="I512" s="11"/>
      <c r="J512" s="11"/>
      <c r="K512" s="11"/>
      <c r="L512" s="11"/>
    </row>
    <row r="513" spans="4:12" x14ac:dyDescent="0.25">
      <c r="D513" s="11"/>
      <c r="E513" s="11"/>
      <c r="F513" s="11"/>
      <c r="G513" s="11"/>
      <c r="H513" s="11"/>
      <c r="I513" s="11"/>
      <c r="J513" s="11"/>
      <c r="K513" s="11"/>
      <c r="L513" s="11"/>
    </row>
    <row r="514" spans="4:12" x14ac:dyDescent="0.25">
      <c r="D514" s="11"/>
      <c r="E514" s="11"/>
      <c r="F514" s="11"/>
      <c r="G514" s="11"/>
      <c r="H514" s="11"/>
      <c r="I514" s="11"/>
      <c r="J514" s="11"/>
      <c r="K514" s="11"/>
      <c r="L514" s="11"/>
    </row>
    <row r="515" spans="4:12" x14ac:dyDescent="0.25">
      <c r="D515" s="11"/>
      <c r="E515" s="11"/>
      <c r="F515" s="11"/>
      <c r="G515" s="11"/>
      <c r="H515" s="11"/>
      <c r="I515" s="11"/>
      <c r="J515" s="11"/>
      <c r="K515" s="11"/>
      <c r="L515" s="11"/>
    </row>
    <row r="516" spans="4:12" x14ac:dyDescent="0.25">
      <c r="D516" s="11"/>
      <c r="E516" s="11"/>
      <c r="F516" s="11"/>
      <c r="G516" s="11"/>
      <c r="H516" s="11"/>
      <c r="I516" s="11"/>
      <c r="J516" s="11"/>
      <c r="K516" s="11"/>
      <c r="L516" s="11"/>
    </row>
    <row r="517" spans="4:12" x14ac:dyDescent="0.25">
      <c r="D517" s="11"/>
      <c r="E517" s="11"/>
      <c r="F517" s="11"/>
      <c r="G517" s="11"/>
      <c r="H517" s="11"/>
      <c r="I517" s="11"/>
      <c r="J517" s="11"/>
      <c r="K517" s="11"/>
      <c r="L517" s="11"/>
    </row>
    <row r="518" spans="4:12" x14ac:dyDescent="0.25">
      <c r="D518" s="11"/>
      <c r="E518" s="11"/>
      <c r="F518" s="11"/>
      <c r="G518" s="11"/>
      <c r="H518" s="11"/>
      <c r="I518" s="11"/>
      <c r="J518" s="11"/>
      <c r="K518" s="11"/>
      <c r="L518" s="11"/>
    </row>
    <row r="519" spans="4:12" x14ac:dyDescent="0.25">
      <c r="D519" s="11"/>
      <c r="E519" s="11"/>
      <c r="F519" s="11"/>
      <c r="G519" s="11"/>
      <c r="H519" s="11"/>
      <c r="I519" s="11"/>
      <c r="J519" s="11"/>
      <c r="K519" s="11"/>
      <c r="L519" s="11"/>
    </row>
    <row r="520" spans="4:12" x14ac:dyDescent="0.25">
      <c r="D520" s="11"/>
      <c r="E520" s="11"/>
      <c r="F520" s="11"/>
      <c r="G520" s="11"/>
      <c r="H520" s="11"/>
      <c r="I520" s="11"/>
      <c r="J520" s="11"/>
      <c r="K520" s="11"/>
      <c r="L520" s="11"/>
    </row>
    <row r="521" spans="4:12" x14ac:dyDescent="0.25">
      <c r="D521" s="11"/>
      <c r="E521" s="11"/>
      <c r="F521" s="11"/>
      <c r="G521" s="11"/>
      <c r="H521" s="11"/>
      <c r="I521" s="11"/>
      <c r="J521" s="11"/>
      <c r="K521" s="11"/>
      <c r="L521" s="11"/>
    </row>
    <row r="522" spans="4:12" x14ac:dyDescent="0.25">
      <c r="D522" s="11"/>
      <c r="E522" s="11"/>
      <c r="F522" s="11"/>
      <c r="G522" s="11"/>
      <c r="H522" s="11"/>
      <c r="I522" s="11"/>
      <c r="J522" s="11"/>
      <c r="K522" s="11"/>
      <c r="L522" s="11"/>
    </row>
    <row r="523" spans="4:12" x14ac:dyDescent="0.25">
      <c r="D523" s="11"/>
      <c r="E523" s="11"/>
      <c r="F523" s="11"/>
      <c r="G523" s="11"/>
      <c r="H523" s="11"/>
      <c r="I523" s="11"/>
      <c r="J523" s="11"/>
      <c r="K523" s="11"/>
      <c r="L523" s="11"/>
    </row>
    <row r="524" spans="4:12" x14ac:dyDescent="0.25">
      <c r="D524" s="11"/>
      <c r="E524" s="11"/>
      <c r="F524" s="11"/>
      <c r="G524" s="11"/>
      <c r="H524" s="11"/>
      <c r="I524" s="11"/>
      <c r="J524" s="11"/>
      <c r="K524" s="11"/>
      <c r="L524" s="11"/>
    </row>
    <row r="525" spans="4:12" x14ac:dyDescent="0.25">
      <c r="D525" s="11"/>
      <c r="E525" s="11"/>
      <c r="F525" s="11"/>
      <c r="G525" s="11"/>
      <c r="H525" s="11"/>
      <c r="I525" s="11"/>
      <c r="J525" s="11"/>
      <c r="K525" s="11"/>
      <c r="L525" s="11"/>
    </row>
    <row r="526" spans="4:12" x14ac:dyDescent="0.25">
      <c r="D526" s="11"/>
      <c r="E526" s="11"/>
      <c r="F526" s="11"/>
      <c r="G526" s="11"/>
      <c r="H526" s="11"/>
      <c r="I526" s="11"/>
      <c r="J526" s="11"/>
      <c r="K526" s="11"/>
      <c r="L526" s="11"/>
    </row>
    <row r="527" spans="4:12" x14ac:dyDescent="0.25">
      <c r="D527" s="11"/>
      <c r="E527" s="11"/>
      <c r="F527" s="11"/>
      <c r="G527" s="11"/>
      <c r="H527" s="11"/>
      <c r="I527" s="11"/>
      <c r="J527" s="11"/>
      <c r="K527" s="11"/>
      <c r="L527" s="11"/>
    </row>
    <row r="528" spans="4:12" x14ac:dyDescent="0.25">
      <c r="D528" s="11"/>
      <c r="E528" s="11"/>
      <c r="F528" s="11"/>
      <c r="G528" s="11"/>
      <c r="H528" s="11"/>
      <c r="I528" s="11"/>
      <c r="J528" s="11"/>
      <c r="K528" s="11"/>
      <c r="L528" s="11"/>
    </row>
    <row r="529" spans="4:12" x14ac:dyDescent="0.25">
      <c r="D529" s="11"/>
      <c r="E529" s="11"/>
      <c r="F529" s="11"/>
      <c r="G529" s="11"/>
      <c r="H529" s="11"/>
      <c r="I529" s="11"/>
      <c r="J529" s="11"/>
      <c r="K529" s="11"/>
      <c r="L529" s="11"/>
    </row>
    <row r="530" spans="4:12" x14ac:dyDescent="0.25">
      <c r="D530" s="11"/>
      <c r="E530" s="11"/>
      <c r="F530" s="11"/>
      <c r="G530" s="11"/>
      <c r="H530" s="11"/>
      <c r="I530" s="11"/>
      <c r="J530" s="11"/>
      <c r="K530" s="11"/>
      <c r="L530" s="11"/>
    </row>
    <row r="531" spans="4:12" x14ac:dyDescent="0.25">
      <c r="D531" s="11"/>
      <c r="E531" s="11"/>
      <c r="F531" s="11"/>
      <c r="G531" s="11"/>
      <c r="H531" s="11"/>
      <c r="I531" s="11"/>
      <c r="J531" s="11"/>
      <c r="K531" s="11"/>
      <c r="L531" s="11"/>
    </row>
    <row r="532" spans="4:12" x14ac:dyDescent="0.25">
      <c r="D532" s="11"/>
      <c r="E532" s="11"/>
      <c r="F532" s="11"/>
      <c r="G532" s="11"/>
      <c r="H532" s="11"/>
      <c r="I532" s="11"/>
      <c r="J532" s="11"/>
      <c r="K532" s="11"/>
      <c r="L532" s="11"/>
    </row>
    <row r="533" spans="4:12" x14ac:dyDescent="0.25">
      <c r="D533" s="11"/>
      <c r="E533" s="11"/>
      <c r="F533" s="11"/>
      <c r="G533" s="11"/>
      <c r="H533" s="11"/>
      <c r="I533" s="11"/>
      <c r="J533" s="11"/>
      <c r="K533" s="11"/>
      <c r="L533" s="11"/>
    </row>
    <row r="534" spans="4:12" x14ac:dyDescent="0.25">
      <c r="D534" s="11"/>
      <c r="E534" s="11"/>
      <c r="F534" s="11"/>
      <c r="G534" s="11"/>
      <c r="H534" s="11"/>
      <c r="I534" s="11"/>
      <c r="J534" s="11"/>
      <c r="K534" s="11"/>
      <c r="L534" s="11"/>
    </row>
    <row r="535" spans="4:12" x14ac:dyDescent="0.25">
      <c r="D535" s="11"/>
      <c r="E535" s="11"/>
      <c r="F535" s="11"/>
      <c r="G535" s="11"/>
      <c r="H535" s="11"/>
      <c r="I535" s="11"/>
      <c r="J535" s="11"/>
      <c r="K535" s="11"/>
      <c r="L535" s="11"/>
    </row>
    <row r="536" spans="4:12" x14ac:dyDescent="0.25">
      <c r="D536" s="11"/>
      <c r="E536" s="11"/>
      <c r="F536" s="11"/>
      <c r="G536" s="11"/>
      <c r="H536" s="11"/>
      <c r="I536" s="11"/>
      <c r="J536" s="11"/>
      <c r="K536" s="11"/>
      <c r="L536" s="11"/>
    </row>
    <row r="537" spans="4:12" x14ac:dyDescent="0.25">
      <c r="D537" s="11"/>
      <c r="E537" s="11"/>
      <c r="F537" s="11"/>
      <c r="G537" s="11"/>
      <c r="H537" s="11"/>
      <c r="I537" s="11"/>
      <c r="J537" s="11"/>
      <c r="K537" s="11"/>
      <c r="L537" s="11"/>
    </row>
    <row r="538" spans="4:12" x14ac:dyDescent="0.25">
      <c r="D538" s="11"/>
      <c r="E538" s="11"/>
      <c r="F538" s="11"/>
      <c r="G538" s="11"/>
      <c r="H538" s="11"/>
      <c r="I538" s="11"/>
      <c r="J538" s="11"/>
      <c r="K538" s="11"/>
      <c r="L538" s="11"/>
    </row>
    <row r="539" spans="4:12" x14ac:dyDescent="0.25">
      <c r="D539" s="11"/>
      <c r="E539" s="11"/>
      <c r="F539" s="11"/>
      <c r="G539" s="11"/>
      <c r="H539" s="11"/>
      <c r="I539" s="11"/>
      <c r="J539" s="11"/>
      <c r="K539" s="11"/>
      <c r="L539" s="11"/>
    </row>
    <row r="540" spans="4:12" x14ac:dyDescent="0.25">
      <c r="D540" s="11"/>
      <c r="E540" s="11"/>
      <c r="F540" s="11"/>
      <c r="G540" s="11"/>
      <c r="H540" s="11"/>
      <c r="I540" s="11"/>
      <c r="J540" s="11"/>
      <c r="K540" s="11"/>
      <c r="L540" s="11"/>
    </row>
    <row r="541" spans="4:12" x14ac:dyDescent="0.25">
      <c r="D541" s="11"/>
      <c r="E541" s="11"/>
      <c r="F541" s="11"/>
      <c r="G541" s="11"/>
      <c r="H541" s="11"/>
      <c r="I541" s="11"/>
      <c r="J541" s="11"/>
      <c r="K541" s="11"/>
      <c r="L541" s="11"/>
    </row>
    <row r="542" spans="4:12" x14ac:dyDescent="0.25">
      <c r="D542" s="11"/>
      <c r="E542" s="11"/>
      <c r="F542" s="11"/>
      <c r="G542" s="11"/>
      <c r="H542" s="11"/>
      <c r="I542" s="11"/>
      <c r="J542" s="11"/>
      <c r="K542" s="11"/>
      <c r="L542" s="11"/>
    </row>
    <row r="543" spans="4:12" x14ac:dyDescent="0.25">
      <c r="D543" s="11"/>
      <c r="E543" s="11"/>
      <c r="F543" s="11"/>
      <c r="G543" s="11"/>
      <c r="H543" s="11"/>
      <c r="I543" s="11"/>
      <c r="J543" s="11"/>
      <c r="K543" s="11"/>
      <c r="L543" s="11"/>
    </row>
    <row r="544" spans="4:12" x14ac:dyDescent="0.25">
      <c r="D544" s="11"/>
      <c r="E544" s="11"/>
      <c r="F544" s="11"/>
      <c r="G544" s="11"/>
      <c r="H544" s="11"/>
      <c r="I544" s="11"/>
      <c r="J544" s="11"/>
      <c r="K544" s="11"/>
      <c r="L544" s="11"/>
    </row>
    <row r="545" spans="4:12" x14ac:dyDescent="0.25">
      <c r="D545" s="11"/>
      <c r="E545" s="11"/>
      <c r="F545" s="11"/>
      <c r="G545" s="11"/>
      <c r="H545" s="11"/>
      <c r="I545" s="11"/>
      <c r="J545" s="11"/>
      <c r="K545" s="11"/>
      <c r="L545" s="11"/>
    </row>
    <row r="546" spans="4:12" x14ac:dyDescent="0.25">
      <c r="D546" s="11"/>
      <c r="E546" s="11"/>
      <c r="F546" s="11"/>
      <c r="G546" s="11"/>
      <c r="H546" s="11"/>
      <c r="I546" s="11"/>
      <c r="J546" s="11"/>
      <c r="K546" s="11"/>
      <c r="L546" s="11"/>
    </row>
    <row r="547" spans="4:12" x14ac:dyDescent="0.25">
      <c r="D547" s="11"/>
      <c r="E547" s="11"/>
      <c r="F547" s="11"/>
      <c r="G547" s="11"/>
      <c r="H547" s="11"/>
      <c r="I547" s="11"/>
      <c r="J547" s="11"/>
      <c r="K547" s="11"/>
      <c r="L547" s="11"/>
    </row>
    <row r="548" spans="4:12" x14ac:dyDescent="0.25">
      <c r="D548" s="11"/>
      <c r="E548" s="11"/>
      <c r="F548" s="11"/>
      <c r="G548" s="11"/>
      <c r="H548" s="11"/>
      <c r="I548" s="11"/>
      <c r="J548" s="11"/>
      <c r="K548" s="11"/>
      <c r="L548" s="11"/>
    </row>
    <row r="549" spans="4:12" x14ac:dyDescent="0.25">
      <c r="D549" s="11"/>
      <c r="E549" s="11"/>
      <c r="F549" s="11"/>
      <c r="G549" s="11"/>
      <c r="H549" s="11"/>
      <c r="I549" s="11"/>
      <c r="J549" s="11"/>
      <c r="K549" s="11"/>
      <c r="L549" s="11"/>
    </row>
    <row r="550" spans="4:12" x14ac:dyDescent="0.25">
      <c r="D550" s="11"/>
      <c r="E550" s="11"/>
      <c r="F550" s="11"/>
      <c r="G550" s="11"/>
      <c r="H550" s="11"/>
      <c r="I550" s="11"/>
      <c r="J550" s="11"/>
      <c r="K550" s="11"/>
      <c r="L550" s="11"/>
    </row>
    <row r="551" spans="4:12" x14ac:dyDescent="0.25">
      <c r="D551" s="11"/>
      <c r="E551" s="11"/>
      <c r="F551" s="11"/>
      <c r="G551" s="11"/>
      <c r="H551" s="11"/>
      <c r="I551" s="11"/>
      <c r="J551" s="11"/>
      <c r="K551" s="11"/>
      <c r="L551" s="11"/>
    </row>
    <row r="552" spans="4:12" x14ac:dyDescent="0.25">
      <c r="D552" s="11"/>
      <c r="E552" s="11"/>
      <c r="F552" s="11"/>
      <c r="G552" s="11"/>
      <c r="H552" s="11"/>
      <c r="I552" s="11"/>
      <c r="J552" s="11"/>
      <c r="K552" s="11"/>
      <c r="L552" s="11"/>
    </row>
    <row r="553" spans="4:12" x14ac:dyDescent="0.25">
      <c r="D553" s="11"/>
      <c r="E553" s="11"/>
      <c r="F553" s="11"/>
      <c r="G553" s="11"/>
      <c r="H553" s="11"/>
      <c r="I553" s="11"/>
      <c r="J553" s="11"/>
      <c r="K553" s="11"/>
      <c r="L553" s="11"/>
    </row>
    <row r="554" spans="4:12" x14ac:dyDescent="0.25">
      <c r="D554" s="11"/>
      <c r="E554" s="11"/>
      <c r="F554" s="11"/>
      <c r="G554" s="11"/>
      <c r="H554" s="11"/>
      <c r="I554" s="11"/>
      <c r="J554" s="11"/>
      <c r="K554" s="11"/>
      <c r="L554" s="11"/>
    </row>
    <row r="555" spans="4:12" x14ac:dyDescent="0.25">
      <c r="D555" s="11"/>
      <c r="E555" s="11"/>
      <c r="F555" s="11"/>
      <c r="G555" s="11"/>
      <c r="H555" s="11"/>
      <c r="I555" s="11"/>
      <c r="J555" s="11"/>
      <c r="K555" s="11"/>
      <c r="L555" s="11"/>
    </row>
    <row r="556" spans="4:12" x14ac:dyDescent="0.25">
      <c r="D556" s="11"/>
      <c r="E556" s="11"/>
      <c r="F556" s="11"/>
      <c r="G556" s="11"/>
      <c r="H556" s="11"/>
      <c r="I556" s="11"/>
      <c r="J556" s="11"/>
      <c r="K556" s="11"/>
      <c r="L556" s="11"/>
    </row>
    <row r="557" spans="4:12" x14ac:dyDescent="0.25">
      <c r="D557" s="11"/>
      <c r="E557" s="11"/>
      <c r="F557" s="11"/>
      <c r="G557" s="11"/>
      <c r="H557" s="11"/>
      <c r="I557" s="11"/>
      <c r="J557" s="11"/>
      <c r="K557" s="11"/>
      <c r="L557" s="11"/>
    </row>
    <row r="558" spans="4:12" x14ac:dyDescent="0.25">
      <c r="D558" s="11"/>
      <c r="E558" s="11"/>
      <c r="F558" s="11"/>
      <c r="G558" s="11"/>
      <c r="H558" s="11"/>
      <c r="I558" s="11"/>
      <c r="J558" s="11"/>
      <c r="K558" s="11"/>
      <c r="L558" s="11"/>
    </row>
    <row r="559" spans="4:12" x14ac:dyDescent="0.25">
      <c r="D559" s="11"/>
      <c r="E559" s="11"/>
      <c r="F559" s="11"/>
      <c r="G559" s="11"/>
      <c r="H559" s="11"/>
      <c r="I559" s="11"/>
      <c r="J559" s="11"/>
      <c r="K559" s="11"/>
      <c r="L559" s="11"/>
    </row>
    <row r="560" spans="4:12" x14ac:dyDescent="0.25">
      <c r="D560" s="11"/>
      <c r="E560" s="11"/>
      <c r="F560" s="11"/>
      <c r="G560" s="11"/>
      <c r="H560" s="11"/>
      <c r="I560" s="11"/>
      <c r="J560" s="11"/>
      <c r="K560" s="11"/>
      <c r="L560" s="11"/>
    </row>
    <row r="561" spans="4:12" x14ac:dyDescent="0.25">
      <c r="D561" s="11"/>
      <c r="E561" s="11"/>
      <c r="F561" s="11"/>
      <c r="G561" s="11"/>
      <c r="H561" s="11"/>
      <c r="I561" s="11"/>
      <c r="J561" s="11"/>
      <c r="K561" s="11"/>
      <c r="L561" s="11"/>
    </row>
    <row r="562" spans="4:12" x14ac:dyDescent="0.25">
      <c r="D562" s="11"/>
      <c r="E562" s="11"/>
      <c r="F562" s="11"/>
      <c r="G562" s="11"/>
      <c r="H562" s="11"/>
      <c r="I562" s="11"/>
      <c r="J562" s="11"/>
      <c r="K562" s="11"/>
      <c r="L562" s="11"/>
    </row>
    <row r="563" spans="4:12" x14ac:dyDescent="0.25">
      <c r="D563" s="11"/>
      <c r="E563" s="11"/>
      <c r="F563" s="11"/>
      <c r="G563" s="11"/>
      <c r="H563" s="11"/>
      <c r="I563" s="11"/>
      <c r="J563" s="11"/>
      <c r="K563" s="11"/>
      <c r="L563" s="11"/>
    </row>
    <row r="564" spans="4:12" x14ac:dyDescent="0.25">
      <c r="D564" s="11"/>
      <c r="E564" s="11"/>
      <c r="F564" s="11"/>
      <c r="G564" s="11"/>
      <c r="H564" s="11"/>
      <c r="I564" s="11"/>
      <c r="J564" s="11"/>
      <c r="K564" s="11"/>
      <c r="L564" s="11"/>
    </row>
    <row r="565" spans="4:12" x14ac:dyDescent="0.25">
      <c r="D565" s="11"/>
      <c r="E565" s="11"/>
      <c r="F565" s="11"/>
      <c r="G565" s="11"/>
      <c r="H565" s="11"/>
      <c r="I565" s="11"/>
      <c r="J565" s="11"/>
      <c r="K565" s="11"/>
      <c r="L565" s="11"/>
    </row>
    <row r="566" spans="4:12" x14ac:dyDescent="0.25">
      <c r="D566" s="11"/>
      <c r="E566" s="11"/>
      <c r="F566" s="11"/>
      <c r="G566" s="11"/>
      <c r="H566" s="11"/>
      <c r="I566" s="11"/>
      <c r="J566" s="11"/>
      <c r="K566" s="11"/>
      <c r="L566" s="11"/>
    </row>
    <row r="567" spans="4:12" x14ac:dyDescent="0.25">
      <c r="D567" s="11"/>
      <c r="E567" s="11"/>
      <c r="F567" s="11"/>
      <c r="G567" s="11"/>
      <c r="H567" s="11"/>
      <c r="I567" s="11"/>
      <c r="J567" s="11"/>
      <c r="K567" s="11"/>
      <c r="L567" s="11"/>
    </row>
    <row r="568" spans="4:12" x14ac:dyDescent="0.25">
      <c r="D568" s="11"/>
      <c r="E568" s="11"/>
      <c r="F568" s="11"/>
      <c r="G568" s="11"/>
      <c r="H568" s="11"/>
      <c r="I568" s="11"/>
      <c r="J568" s="11"/>
      <c r="K568" s="11"/>
      <c r="L568" s="11"/>
    </row>
    <row r="569" spans="4:12" x14ac:dyDescent="0.25">
      <c r="D569" s="11"/>
      <c r="E569" s="11"/>
      <c r="F569" s="11"/>
      <c r="G569" s="11"/>
      <c r="H569" s="11"/>
      <c r="I569" s="11"/>
      <c r="J569" s="11"/>
      <c r="K569" s="11"/>
      <c r="L569" s="11"/>
    </row>
    <row r="570" spans="4:12" x14ac:dyDescent="0.25">
      <c r="D570" s="11"/>
      <c r="E570" s="11"/>
      <c r="F570" s="11"/>
      <c r="G570" s="11"/>
      <c r="H570" s="11"/>
      <c r="I570" s="11"/>
      <c r="J570" s="11"/>
      <c r="K570" s="11"/>
      <c r="L570" s="11"/>
    </row>
    <row r="571" spans="4:12" x14ac:dyDescent="0.25">
      <c r="D571" s="11"/>
      <c r="E571" s="11"/>
      <c r="F571" s="11"/>
      <c r="G571" s="11"/>
      <c r="H571" s="11"/>
      <c r="I571" s="11"/>
      <c r="J571" s="11"/>
      <c r="K571" s="11"/>
      <c r="L571" s="11"/>
    </row>
    <row r="572" spans="4:12" x14ac:dyDescent="0.25">
      <c r="D572" s="11"/>
      <c r="E572" s="11"/>
      <c r="F572" s="11"/>
      <c r="G572" s="11"/>
      <c r="H572" s="11"/>
      <c r="I572" s="11"/>
      <c r="J572" s="11"/>
      <c r="K572" s="11"/>
      <c r="L572" s="11"/>
    </row>
    <row r="573" spans="4:12" x14ac:dyDescent="0.25">
      <c r="D573" s="11"/>
      <c r="E573" s="11"/>
      <c r="F573" s="11"/>
      <c r="G573" s="11"/>
      <c r="H573" s="11"/>
      <c r="I573" s="11"/>
      <c r="J573" s="11"/>
      <c r="K573" s="11"/>
      <c r="L573" s="11"/>
    </row>
    <row r="574" spans="4:12" x14ac:dyDescent="0.25">
      <c r="D574" s="11"/>
      <c r="E574" s="11"/>
      <c r="F574" s="11"/>
      <c r="G574" s="11"/>
      <c r="H574" s="11"/>
      <c r="I574" s="11"/>
      <c r="J574" s="11"/>
      <c r="K574" s="11"/>
      <c r="L574" s="11"/>
    </row>
    <row r="575" spans="4:12" x14ac:dyDescent="0.25">
      <c r="D575" s="11"/>
      <c r="E575" s="11"/>
      <c r="F575" s="11"/>
      <c r="G575" s="11"/>
      <c r="H575" s="11"/>
      <c r="I575" s="11"/>
      <c r="J575" s="11"/>
      <c r="K575" s="11"/>
      <c r="L575" s="11"/>
    </row>
    <row r="576" spans="4:12" x14ac:dyDescent="0.25">
      <c r="D576" s="11"/>
      <c r="E576" s="11"/>
      <c r="F576" s="11"/>
      <c r="G576" s="11"/>
      <c r="H576" s="11"/>
      <c r="I576" s="11"/>
      <c r="J576" s="11"/>
      <c r="K576" s="11"/>
      <c r="L576" s="11"/>
    </row>
    <row r="577" spans="4:12" x14ac:dyDescent="0.25">
      <c r="D577" s="11"/>
      <c r="E577" s="11"/>
      <c r="F577" s="11"/>
      <c r="G577" s="11"/>
      <c r="H577" s="11"/>
      <c r="I577" s="11"/>
      <c r="J577" s="11"/>
      <c r="K577" s="11"/>
      <c r="L577" s="11"/>
    </row>
    <row r="578" spans="4:12" x14ac:dyDescent="0.25">
      <c r="D578" s="11"/>
      <c r="E578" s="11"/>
      <c r="F578" s="11"/>
      <c r="G578" s="11"/>
      <c r="H578" s="11"/>
      <c r="I578" s="11"/>
      <c r="J578" s="11"/>
      <c r="K578" s="11"/>
      <c r="L578" s="11"/>
    </row>
    <row r="579" spans="4:12" x14ac:dyDescent="0.25">
      <c r="D579" s="11"/>
      <c r="E579" s="11"/>
      <c r="F579" s="11"/>
      <c r="G579" s="11"/>
      <c r="H579" s="11"/>
      <c r="I579" s="11"/>
      <c r="J579" s="11"/>
      <c r="K579" s="11"/>
      <c r="L579" s="11"/>
    </row>
    <row r="580" spans="4:12" x14ac:dyDescent="0.25">
      <c r="D580" s="11"/>
      <c r="E580" s="11"/>
      <c r="F580" s="11"/>
      <c r="G580" s="11"/>
      <c r="H580" s="11"/>
      <c r="I580" s="11"/>
      <c r="J580" s="11"/>
      <c r="K580" s="11"/>
      <c r="L580" s="11"/>
    </row>
    <row r="581" spans="4:12" x14ac:dyDescent="0.25">
      <c r="D581" s="11"/>
      <c r="E581" s="11"/>
      <c r="F581" s="11"/>
      <c r="G581" s="11"/>
      <c r="H581" s="11"/>
      <c r="I581" s="11"/>
      <c r="J581" s="11"/>
      <c r="K581" s="11"/>
      <c r="L581" s="11"/>
    </row>
    <row r="582" spans="4:12" x14ac:dyDescent="0.25">
      <c r="D582" s="11"/>
      <c r="E582" s="11"/>
      <c r="F582" s="11"/>
      <c r="G582" s="11"/>
      <c r="H582" s="11"/>
      <c r="I582" s="11"/>
      <c r="J582" s="11"/>
      <c r="K582" s="11"/>
      <c r="L582" s="11"/>
    </row>
    <row r="583" spans="4:12" x14ac:dyDescent="0.25">
      <c r="D583" s="11"/>
      <c r="E583" s="11"/>
      <c r="F583" s="11"/>
      <c r="G583" s="11"/>
      <c r="H583" s="11"/>
      <c r="I583" s="11"/>
      <c r="J583" s="11"/>
      <c r="K583" s="11"/>
      <c r="L583" s="11"/>
    </row>
    <row r="584" spans="4:12" x14ac:dyDescent="0.25">
      <c r="D584" s="11"/>
      <c r="E584" s="11"/>
      <c r="F584" s="11"/>
      <c r="G584" s="11"/>
      <c r="H584" s="11"/>
      <c r="I584" s="11"/>
      <c r="J584" s="11"/>
      <c r="K584" s="11"/>
      <c r="L584" s="11"/>
    </row>
    <row r="585" spans="4:12" x14ac:dyDescent="0.25">
      <c r="D585" s="11"/>
      <c r="E585" s="11"/>
      <c r="F585" s="11"/>
      <c r="G585" s="11"/>
      <c r="H585" s="11"/>
      <c r="I585" s="11"/>
      <c r="J585" s="11"/>
      <c r="K585" s="11"/>
      <c r="L585" s="11"/>
    </row>
    <row r="586" spans="4:12" x14ac:dyDescent="0.25">
      <c r="D586" s="11"/>
      <c r="E586" s="11"/>
      <c r="F586" s="11"/>
      <c r="G586" s="11"/>
      <c r="H586" s="11"/>
      <c r="I586" s="11"/>
      <c r="J586" s="11"/>
      <c r="K586" s="11"/>
      <c r="L586" s="11"/>
    </row>
    <row r="587" spans="4:12" x14ac:dyDescent="0.25">
      <c r="D587" s="11"/>
      <c r="E587" s="11"/>
      <c r="F587" s="11"/>
      <c r="G587" s="11"/>
      <c r="H587" s="11"/>
      <c r="I587" s="11"/>
      <c r="J587" s="11"/>
      <c r="K587" s="11"/>
      <c r="L587" s="11"/>
    </row>
    <row r="588" spans="4:12" x14ac:dyDescent="0.25">
      <c r="D588" s="11"/>
      <c r="E588" s="11"/>
      <c r="F588" s="11"/>
      <c r="G588" s="11"/>
      <c r="H588" s="11"/>
      <c r="I588" s="11"/>
      <c r="J588" s="11"/>
      <c r="K588" s="11"/>
      <c r="L588" s="11"/>
    </row>
    <row r="589" spans="4:12" x14ac:dyDescent="0.25">
      <c r="D589" s="11"/>
      <c r="E589" s="11"/>
      <c r="F589" s="11"/>
      <c r="G589" s="11"/>
      <c r="H589" s="11"/>
      <c r="I589" s="11"/>
      <c r="J589" s="11"/>
      <c r="K589" s="11"/>
      <c r="L589" s="11"/>
    </row>
    <row r="590" spans="4:12" x14ac:dyDescent="0.25">
      <c r="D590" s="11"/>
      <c r="E590" s="11"/>
      <c r="F590" s="11"/>
      <c r="G590" s="11"/>
      <c r="H590" s="11"/>
      <c r="I590" s="11"/>
      <c r="J590" s="11"/>
      <c r="K590" s="11"/>
      <c r="L590" s="11"/>
    </row>
    <row r="591" spans="4:12" x14ac:dyDescent="0.25">
      <c r="D591" s="11"/>
      <c r="E591" s="11"/>
      <c r="F591" s="11"/>
      <c r="G591" s="11"/>
      <c r="H591" s="11"/>
      <c r="I591" s="11"/>
      <c r="J591" s="11"/>
      <c r="K591" s="11"/>
      <c r="L591" s="11"/>
    </row>
    <row r="592" spans="4:12" x14ac:dyDescent="0.25">
      <c r="D592" s="11"/>
      <c r="E592" s="11"/>
      <c r="F592" s="11"/>
      <c r="G592" s="11"/>
      <c r="H592" s="11"/>
      <c r="I592" s="11"/>
      <c r="J592" s="11"/>
      <c r="K592" s="11"/>
      <c r="L592" s="11"/>
    </row>
    <row r="593" spans="4:12" x14ac:dyDescent="0.25">
      <c r="D593" s="11"/>
      <c r="E593" s="11"/>
      <c r="F593" s="11"/>
      <c r="G593" s="11"/>
      <c r="H593" s="11"/>
      <c r="I593" s="11"/>
      <c r="J593" s="11"/>
      <c r="K593" s="11"/>
      <c r="L593" s="11"/>
    </row>
    <row r="594" spans="4:12" x14ac:dyDescent="0.25">
      <c r="D594" s="11"/>
      <c r="E594" s="11"/>
      <c r="F594" s="11"/>
      <c r="G594" s="11"/>
      <c r="H594" s="11"/>
      <c r="I594" s="11"/>
      <c r="J594" s="11"/>
      <c r="K594" s="11"/>
      <c r="L594" s="11"/>
    </row>
    <row r="595" spans="4:12" x14ac:dyDescent="0.25">
      <c r="D595" s="11"/>
      <c r="E595" s="11"/>
      <c r="F595" s="11"/>
      <c r="G595" s="11"/>
      <c r="H595" s="11"/>
      <c r="I595" s="11"/>
      <c r="J595" s="11"/>
      <c r="K595" s="11"/>
      <c r="L595" s="11"/>
    </row>
    <row r="596" spans="4:12" x14ac:dyDescent="0.25">
      <c r="D596" s="11"/>
      <c r="E596" s="11"/>
      <c r="F596" s="11"/>
      <c r="G596" s="11"/>
      <c r="H596" s="11"/>
      <c r="I596" s="11"/>
      <c r="J596" s="11"/>
      <c r="K596" s="11"/>
      <c r="L596" s="11"/>
    </row>
    <row r="597" spans="4:12" x14ac:dyDescent="0.25">
      <c r="D597" s="11"/>
      <c r="E597" s="11"/>
      <c r="F597" s="11"/>
      <c r="G597" s="11"/>
      <c r="H597" s="11"/>
      <c r="I597" s="11"/>
      <c r="J597" s="11"/>
      <c r="K597" s="11"/>
      <c r="L597" s="11"/>
    </row>
    <row r="598" spans="4:12" x14ac:dyDescent="0.25">
      <c r="D598" s="11"/>
      <c r="E598" s="11"/>
      <c r="F598" s="11"/>
      <c r="G598" s="11"/>
      <c r="H598" s="11"/>
      <c r="I598" s="11"/>
      <c r="J598" s="11"/>
      <c r="K598" s="11"/>
      <c r="L598" s="11"/>
    </row>
    <row r="599" spans="4:12" x14ac:dyDescent="0.25">
      <c r="D599" s="11"/>
      <c r="E599" s="11"/>
      <c r="F599" s="11"/>
      <c r="G599" s="11"/>
      <c r="H599" s="11"/>
      <c r="I599" s="11"/>
      <c r="J599" s="11"/>
      <c r="K599" s="11"/>
      <c r="L599" s="11"/>
    </row>
    <row r="600" spans="4:12" x14ac:dyDescent="0.25">
      <c r="D600" s="11"/>
      <c r="E600" s="11"/>
      <c r="F600" s="11"/>
      <c r="G600" s="11"/>
      <c r="H600" s="11"/>
      <c r="I600" s="11"/>
      <c r="J600" s="11"/>
      <c r="K600" s="11"/>
      <c r="L600" s="11"/>
    </row>
    <row r="601" spans="4:12" x14ac:dyDescent="0.25">
      <c r="D601" s="11"/>
      <c r="E601" s="11"/>
      <c r="F601" s="11"/>
      <c r="G601" s="11"/>
      <c r="H601" s="11"/>
      <c r="I601" s="11"/>
      <c r="J601" s="11"/>
      <c r="K601" s="11"/>
      <c r="L601" s="11"/>
    </row>
    <row r="602" spans="4:12" x14ac:dyDescent="0.25">
      <c r="D602" s="11"/>
      <c r="E602" s="11"/>
      <c r="F602" s="11"/>
      <c r="G602" s="11"/>
      <c r="H602" s="11"/>
      <c r="I602" s="11"/>
      <c r="J602" s="11"/>
      <c r="K602" s="11"/>
      <c r="L602" s="11"/>
    </row>
    <row r="603" spans="4:12" x14ac:dyDescent="0.25">
      <c r="D603" s="11"/>
      <c r="E603" s="11"/>
      <c r="F603" s="11"/>
      <c r="G603" s="11"/>
      <c r="H603" s="11"/>
      <c r="I603" s="11"/>
      <c r="J603" s="11"/>
      <c r="K603" s="11"/>
      <c r="L603" s="11"/>
    </row>
    <row r="604" spans="4:12" x14ac:dyDescent="0.25">
      <c r="D604" s="11"/>
      <c r="E604" s="11"/>
      <c r="F604" s="11"/>
      <c r="G604" s="11"/>
      <c r="H604" s="11"/>
      <c r="I604" s="11"/>
      <c r="J604" s="11"/>
      <c r="K604" s="11"/>
      <c r="L604" s="11"/>
    </row>
    <row r="605" spans="4:12" x14ac:dyDescent="0.25">
      <c r="D605" s="11"/>
      <c r="E605" s="11"/>
      <c r="F605" s="11"/>
      <c r="G605" s="11"/>
      <c r="H605" s="11"/>
      <c r="I605" s="11"/>
      <c r="J605" s="11"/>
      <c r="K605" s="11"/>
      <c r="L605" s="11"/>
    </row>
    <row r="606" spans="4:12" x14ac:dyDescent="0.25">
      <c r="D606" s="11"/>
      <c r="E606" s="11"/>
      <c r="F606" s="11"/>
      <c r="G606" s="11"/>
      <c r="H606" s="11"/>
      <c r="I606" s="11"/>
      <c r="J606" s="11"/>
      <c r="K606" s="11"/>
      <c r="L606" s="11"/>
    </row>
    <row r="607" spans="4:12" x14ac:dyDescent="0.25">
      <c r="D607" s="11"/>
      <c r="E607" s="11"/>
      <c r="F607" s="11"/>
      <c r="G607" s="11"/>
      <c r="H607" s="11"/>
      <c r="I607" s="11"/>
      <c r="J607" s="11"/>
      <c r="K607" s="11"/>
      <c r="L607" s="11"/>
    </row>
    <row r="608" spans="4:12" x14ac:dyDescent="0.25">
      <c r="D608" s="11"/>
      <c r="E608" s="11"/>
      <c r="F608" s="11"/>
      <c r="G608" s="11"/>
      <c r="H608" s="11"/>
      <c r="I608" s="11"/>
      <c r="J608" s="11"/>
      <c r="K608" s="11"/>
      <c r="L608" s="11"/>
    </row>
    <row r="609" spans="4:12" x14ac:dyDescent="0.25">
      <c r="D609" s="11"/>
      <c r="E609" s="11"/>
      <c r="F609" s="11"/>
      <c r="G609" s="11"/>
      <c r="H609" s="11"/>
      <c r="I609" s="11"/>
      <c r="J609" s="11"/>
      <c r="K609" s="11"/>
      <c r="L609" s="11"/>
    </row>
    <row r="610" spans="4:12" x14ac:dyDescent="0.25">
      <c r="D610" s="11"/>
      <c r="E610" s="11"/>
      <c r="F610" s="11"/>
      <c r="G610" s="11"/>
      <c r="H610" s="11"/>
      <c r="I610" s="11"/>
      <c r="J610" s="11"/>
      <c r="K610" s="11"/>
      <c r="L610" s="11"/>
    </row>
    <row r="611" spans="4:12" x14ac:dyDescent="0.25">
      <c r="D611" s="11"/>
      <c r="E611" s="11"/>
      <c r="F611" s="11"/>
      <c r="G611" s="11"/>
      <c r="H611" s="11"/>
      <c r="I611" s="11"/>
      <c r="J611" s="11"/>
      <c r="K611" s="11"/>
      <c r="L611" s="11"/>
    </row>
    <row r="612" spans="4:12" x14ac:dyDescent="0.25">
      <c r="D612" s="11"/>
      <c r="E612" s="11"/>
      <c r="F612" s="11"/>
      <c r="G612" s="11"/>
      <c r="H612" s="11"/>
      <c r="I612" s="11"/>
      <c r="J612" s="11"/>
      <c r="K612" s="11"/>
      <c r="L612" s="11"/>
    </row>
    <row r="613" spans="4:12" x14ac:dyDescent="0.25">
      <c r="D613" s="11"/>
      <c r="E613" s="11"/>
      <c r="F613" s="11"/>
      <c r="G613" s="11"/>
      <c r="H613" s="11"/>
      <c r="I613" s="11"/>
      <c r="J613" s="11"/>
      <c r="K613" s="11"/>
      <c r="L613" s="11"/>
    </row>
    <row r="614" spans="4:12" x14ac:dyDescent="0.25">
      <c r="D614" s="11"/>
      <c r="E614" s="11"/>
      <c r="F614" s="11"/>
      <c r="G614" s="11"/>
      <c r="H614" s="11"/>
      <c r="I614" s="11"/>
      <c r="J614" s="11"/>
      <c r="K614" s="11"/>
      <c r="L614" s="11"/>
    </row>
    <row r="615" spans="4:12" x14ac:dyDescent="0.25">
      <c r="D615" s="11"/>
      <c r="E615" s="11"/>
      <c r="F615" s="11"/>
      <c r="G615" s="11"/>
      <c r="H615" s="11"/>
      <c r="I615" s="11"/>
      <c r="J615" s="11"/>
      <c r="K615" s="11"/>
      <c r="L615" s="11"/>
    </row>
    <row r="616" spans="4:12" x14ac:dyDescent="0.25">
      <c r="D616" s="11"/>
      <c r="E616" s="11"/>
      <c r="F616" s="11"/>
      <c r="G616" s="11"/>
      <c r="H616" s="11"/>
      <c r="I616" s="11"/>
      <c r="J616" s="11"/>
      <c r="K616" s="11"/>
      <c r="L616" s="11"/>
    </row>
    <row r="617" spans="4:12" x14ac:dyDescent="0.25">
      <c r="D617" s="11"/>
      <c r="E617" s="11"/>
      <c r="F617" s="11"/>
      <c r="G617" s="11"/>
      <c r="H617" s="11"/>
      <c r="I617" s="11"/>
      <c r="J617" s="11"/>
      <c r="K617" s="11"/>
      <c r="L617" s="11"/>
    </row>
    <row r="618" spans="4:12" x14ac:dyDescent="0.25">
      <c r="D618" s="11"/>
      <c r="E618" s="11"/>
      <c r="F618" s="11"/>
      <c r="G618" s="11"/>
      <c r="H618" s="11"/>
      <c r="I618" s="11"/>
      <c r="J618" s="11"/>
      <c r="K618" s="11"/>
      <c r="L618" s="11"/>
    </row>
    <row r="619" spans="4:12" x14ac:dyDescent="0.25">
      <c r="D619" s="11"/>
      <c r="E619" s="11"/>
      <c r="F619" s="11"/>
      <c r="G619" s="11"/>
      <c r="H619" s="11"/>
      <c r="I619" s="11"/>
      <c r="J619" s="11"/>
      <c r="K619" s="11"/>
      <c r="L619" s="11"/>
    </row>
    <row r="620" spans="4:12" x14ac:dyDescent="0.25">
      <c r="D620" s="11"/>
      <c r="E620" s="11"/>
      <c r="F620" s="11"/>
      <c r="G620" s="11"/>
      <c r="H620" s="11"/>
      <c r="I620" s="11"/>
      <c r="J620" s="11"/>
      <c r="K620" s="11"/>
      <c r="L620" s="11"/>
    </row>
    <row r="621" spans="4:12" x14ac:dyDescent="0.25">
      <c r="D621" s="11"/>
      <c r="E621" s="11"/>
      <c r="F621" s="11"/>
      <c r="G621" s="11"/>
      <c r="H621" s="11"/>
      <c r="I621" s="11"/>
      <c r="J621" s="11"/>
      <c r="K621" s="11"/>
      <c r="L621" s="11"/>
    </row>
    <row r="622" spans="4:12" x14ac:dyDescent="0.25">
      <c r="D622" s="11"/>
      <c r="E622" s="11"/>
      <c r="F622" s="11"/>
      <c r="G622" s="11"/>
      <c r="H622" s="11"/>
      <c r="I622" s="11"/>
      <c r="J622" s="11"/>
      <c r="K622" s="11"/>
      <c r="L622" s="11"/>
    </row>
    <row r="623" spans="4:12" x14ac:dyDescent="0.25">
      <c r="D623" s="11"/>
      <c r="E623" s="11"/>
      <c r="F623" s="11"/>
      <c r="G623" s="11"/>
      <c r="H623" s="11"/>
      <c r="I623" s="11"/>
      <c r="J623" s="11"/>
      <c r="K623" s="11"/>
      <c r="L623" s="11"/>
    </row>
    <row r="624" spans="4:12" x14ac:dyDescent="0.25">
      <c r="D624" s="11"/>
      <c r="E624" s="11"/>
      <c r="F624" s="11"/>
      <c r="G624" s="11"/>
      <c r="H624" s="11"/>
      <c r="I624" s="11"/>
      <c r="J624" s="11"/>
      <c r="K624" s="11"/>
      <c r="L624" s="11"/>
    </row>
    <row r="625" spans="4:12" x14ac:dyDescent="0.25">
      <c r="D625" s="11"/>
      <c r="E625" s="11"/>
      <c r="F625" s="11"/>
      <c r="G625" s="11"/>
      <c r="H625" s="11"/>
      <c r="I625" s="11"/>
      <c r="J625" s="11"/>
      <c r="K625" s="11"/>
      <c r="L625" s="11"/>
    </row>
    <row r="626" spans="4:12" x14ac:dyDescent="0.25">
      <c r="D626" s="11"/>
      <c r="E626" s="11"/>
      <c r="F626" s="11"/>
      <c r="G626" s="11"/>
      <c r="H626" s="11"/>
      <c r="I626" s="11"/>
      <c r="J626" s="11"/>
      <c r="K626" s="11"/>
      <c r="L626" s="11"/>
    </row>
    <row r="627" spans="4:12" x14ac:dyDescent="0.25">
      <c r="D627" s="11"/>
      <c r="E627" s="11"/>
      <c r="F627" s="11"/>
      <c r="G627" s="11"/>
      <c r="H627" s="11"/>
      <c r="I627" s="11"/>
      <c r="J627" s="11"/>
      <c r="K627" s="11"/>
      <c r="L627" s="11"/>
    </row>
    <row r="628" spans="4:12" x14ac:dyDescent="0.25">
      <c r="D628" s="11"/>
      <c r="E628" s="11"/>
      <c r="F628" s="11"/>
      <c r="G628" s="11"/>
      <c r="H628" s="11"/>
      <c r="I628" s="11"/>
      <c r="J628" s="11"/>
      <c r="K628" s="11"/>
      <c r="L628" s="11"/>
    </row>
    <row r="629" spans="4:12" x14ac:dyDescent="0.25">
      <c r="D629" s="11"/>
      <c r="E629" s="11"/>
      <c r="F629" s="11"/>
      <c r="G629" s="11"/>
      <c r="H629" s="11"/>
      <c r="I629" s="11"/>
      <c r="J629" s="11"/>
      <c r="K629" s="11"/>
      <c r="L629" s="11"/>
    </row>
    <row r="630" spans="4:12" x14ac:dyDescent="0.25">
      <c r="D630" s="11"/>
      <c r="E630" s="11"/>
      <c r="F630" s="11"/>
      <c r="G630" s="11"/>
      <c r="H630" s="11"/>
      <c r="I630" s="11"/>
      <c r="J630" s="11"/>
      <c r="K630" s="11"/>
      <c r="L630" s="11"/>
    </row>
    <row r="631" spans="4:12" x14ac:dyDescent="0.25">
      <c r="D631" s="11"/>
      <c r="E631" s="11"/>
      <c r="F631" s="11"/>
      <c r="G631" s="11"/>
      <c r="H631" s="11"/>
      <c r="I631" s="11"/>
      <c r="J631" s="11"/>
      <c r="K631" s="11"/>
      <c r="L631" s="11"/>
    </row>
    <row r="632" spans="4:12" x14ac:dyDescent="0.25">
      <c r="D632" s="11"/>
      <c r="E632" s="11"/>
      <c r="F632" s="11"/>
      <c r="G632" s="11"/>
      <c r="H632" s="11"/>
      <c r="I632" s="11"/>
      <c r="J632" s="11"/>
      <c r="K632" s="11"/>
      <c r="L632" s="11"/>
    </row>
    <row r="633" spans="4:12" x14ac:dyDescent="0.25">
      <c r="D633" s="11"/>
      <c r="E633" s="11"/>
      <c r="F633" s="11"/>
      <c r="G633" s="11"/>
      <c r="H633" s="11"/>
      <c r="I633" s="11"/>
      <c r="J633" s="11"/>
      <c r="K633" s="11"/>
      <c r="L633" s="11"/>
    </row>
    <row r="634" spans="4:12" x14ac:dyDescent="0.25">
      <c r="D634" s="11"/>
      <c r="E634" s="11"/>
      <c r="F634" s="11"/>
      <c r="G634" s="11"/>
      <c r="H634" s="11"/>
      <c r="I634" s="11"/>
      <c r="J634" s="11"/>
      <c r="K634" s="11"/>
      <c r="L634" s="11"/>
    </row>
    <row r="635" spans="4:12" x14ac:dyDescent="0.25">
      <c r="D635" s="11"/>
      <c r="E635" s="11"/>
      <c r="F635" s="11"/>
      <c r="G635" s="11"/>
      <c r="H635" s="11"/>
      <c r="I635" s="11"/>
      <c r="J635" s="11"/>
      <c r="K635" s="11"/>
      <c r="L635" s="11"/>
    </row>
    <row r="636" spans="4:12" x14ac:dyDescent="0.25">
      <c r="D636" s="11"/>
      <c r="E636" s="11"/>
      <c r="F636" s="11"/>
      <c r="G636" s="11"/>
      <c r="H636" s="11"/>
      <c r="I636" s="11"/>
      <c r="J636" s="11"/>
      <c r="K636" s="11"/>
      <c r="L636" s="11"/>
    </row>
    <row r="637" spans="4:12" x14ac:dyDescent="0.25">
      <c r="D637" s="11"/>
      <c r="E637" s="11"/>
      <c r="F637" s="11"/>
      <c r="G637" s="11"/>
      <c r="H637" s="11"/>
      <c r="I637" s="11"/>
      <c r="J637" s="11"/>
      <c r="K637" s="11"/>
      <c r="L637" s="11"/>
    </row>
    <row r="638" spans="4:12" x14ac:dyDescent="0.25">
      <c r="D638" s="11"/>
      <c r="E638" s="11"/>
      <c r="F638" s="11"/>
      <c r="G638" s="11"/>
      <c r="H638" s="11"/>
      <c r="I638" s="11"/>
      <c r="J638" s="11"/>
      <c r="K638" s="11"/>
      <c r="L638" s="11"/>
    </row>
    <row r="639" spans="4:12" x14ac:dyDescent="0.25">
      <c r="D639" s="11"/>
      <c r="E639" s="11"/>
      <c r="F639" s="11"/>
      <c r="G639" s="11"/>
      <c r="H639" s="11"/>
      <c r="I639" s="11"/>
      <c r="J639" s="11"/>
      <c r="K639" s="11"/>
      <c r="L639" s="11"/>
    </row>
    <row r="640" spans="4:12" x14ac:dyDescent="0.25">
      <c r="D640" s="11"/>
      <c r="E640" s="11"/>
      <c r="F640" s="11"/>
      <c r="G640" s="11"/>
      <c r="H640" s="11"/>
      <c r="I640" s="11"/>
      <c r="J640" s="11"/>
      <c r="K640" s="11"/>
      <c r="L640" s="11"/>
    </row>
    <row r="641" spans="4:12" x14ac:dyDescent="0.25">
      <c r="D641" s="11"/>
      <c r="E641" s="11"/>
      <c r="F641" s="11"/>
      <c r="G641" s="11"/>
      <c r="H641" s="11"/>
      <c r="I641" s="11"/>
      <c r="J641" s="11"/>
      <c r="K641" s="11"/>
      <c r="L641" s="11"/>
    </row>
    <row r="642" spans="4:12" x14ac:dyDescent="0.25">
      <c r="D642" s="11"/>
      <c r="E642" s="11"/>
      <c r="F642" s="11"/>
      <c r="G642" s="11"/>
      <c r="H642" s="11"/>
      <c r="I642" s="11"/>
      <c r="J642" s="11"/>
      <c r="K642" s="11"/>
      <c r="L642" s="11"/>
    </row>
    <row r="643" spans="4:12" x14ac:dyDescent="0.25">
      <c r="D643" s="11"/>
      <c r="E643" s="11"/>
      <c r="F643" s="11"/>
      <c r="G643" s="11"/>
      <c r="H643" s="11"/>
      <c r="I643" s="11"/>
      <c r="J643" s="11"/>
      <c r="K643" s="11"/>
      <c r="L643" s="11"/>
    </row>
    <row r="644" spans="4:12" x14ac:dyDescent="0.25">
      <c r="D644" s="11"/>
      <c r="E644" s="11"/>
      <c r="F644" s="11"/>
      <c r="G644" s="11"/>
      <c r="H644" s="11"/>
      <c r="I644" s="11"/>
      <c r="J644" s="11"/>
      <c r="K644" s="11"/>
      <c r="L644" s="11"/>
    </row>
    <row r="645" spans="4:12" x14ac:dyDescent="0.25">
      <c r="D645" s="11"/>
      <c r="E645" s="11"/>
      <c r="F645" s="11"/>
      <c r="G645" s="11"/>
      <c r="H645" s="11"/>
      <c r="I645" s="11"/>
      <c r="J645" s="11"/>
      <c r="K645" s="11"/>
      <c r="L645" s="11"/>
    </row>
    <row r="646" spans="4:12" x14ac:dyDescent="0.25">
      <c r="D646" s="11"/>
      <c r="E646" s="11"/>
      <c r="F646" s="11"/>
      <c r="G646" s="11"/>
      <c r="H646" s="11"/>
      <c r="I646" s="11"/>
      <c r="J646" s="11"/>
      <c r="K646" s="11"/>
      <c r="L646" s="11"/>
    </row>
    <row r="647" spans="4:12" x14ac:dyDescent="0.25">
      <c r="D647" s="11"/>
      <c r="E647" s="11"/>
      <c r="F647" s="11"/>
      <c r="G647" s="11"/>
      <c r="H647" s="11"/>
      <c r="I647" s="11"/>
      <c r="J647" s="11"/>
      <c r="K647" s="11"/>
      <c r="L647" s="11"/>
    </row>
    <row r="648" spans="4:12" x14ac:dyDescent="0.25">
      <c r="D648" s="11"/>
      <c r="E648" s="11"/>
      <c r="F648" s="11"/>
      <c r="G648" s="11"/>
      <c r="H648" s="11"/>
      <c r="I648" s="11"/>
      <c r="J648" s="11"/>
      <c r="K648" s="11"/>
      <c r="L648" s="11"/>
    </row>
    <row r="649" spans="4:12" x14ac:dyDescent="0.25">
      <c r="D649" s="11"/>
      <c r="E649" s="11"/>
      <c r="F649" s="11"/>
      <c r="G649" s="11"/>
      <c r="H649" s="11"/>
      <c r="I649" s="11"/>
      <c r="J649" s="11"/>
      <c r="K649" s="11"/>
      <c r="L649" s="11"/>
    </row>
    <row r="650" spans="4:12" x14ac:dyDescent="0.25">
      <c r="D650" s="11"/>
      <c r="E650" s="11"/>
      <c r="F650" s="11"/>
      <c r="G650" s="11"/>
      <c r="H650" s="11"/>
      <c r="I650" s="11"/>
      <c r="J650" s="11"/>
      <c r="K650" s="11"/>
      <c r="L650" s="11"/>
    </row>
    <row r="651" spans="4:12" x14ac:dyDescent="0.25">
      <c r="D651" s="11"/>
      <c r="E651" s="11"/>
      <c r="F651" s="11"/>
      <c r="G651" s="11"/>
      <c r="H651" s="11"/>
      <c r="I651" s="11"/>
      <c r="J651" s="11"/>
      <c r="K651" s="11"/>
      <c r="L651" s="11"/>
    </row>
    <row r="652" spans="4:12" x14ac:dyDescent="0.25">
      <c r="D652" s="11"/>
      <c r="E652" s="11"/>
      <c r="F652" s="11"/>
      <c r="G652" s="11"/>
      <c r="H652" s="11"/>
      <c r="I652" s="11"/>
      <c r="J652" s="11"/>
      <c r="K652" s="11"/>
      <c r="L652" s="11"/>
    </row>
    <row r="653" spans="4:12" x14ac:dyDescent="0.25">
      <c r="D653" s="11"/>
      <c r="E653" s="11"/>
      <c r="F653" s="11"/>
      <c r="G653" s="11"/>
      <c r="H653" s="11"/>
      <c r="I653" s="11"/>
      <c r="J653" s="11"/>
      <c r="K653" s="11"/>
      <c r="L653" s="11"/>
    </row>
    <row r="654" spans="4:12" x14ac:dyDescent="0.25">
      <c r="D654" s="11"/>
      <c r="E654" s="11"/>
      <c r="F654" s="11"/>
      <c r="G654" s="11"/>
      <c r="H654" s="11"/>
      <c r="I654" s="11"/>
      <c r="J654" s="11"/>
      <c r="K654" s="11"/>
      <c r="L654" s="11"/>
    </row>
    <row r="655" spans="4:12" x14ac:dyDescent="0.25">
      <c r="D655" s="11"/>
      <c r="E655" s="11"/>
      <c r="F655" s="11"/>
      <c r="G655" s="11"/>
      <c r="H655" s="11"/>
      <c r="I655" s="11"/>
      <c r="J655" s="11"/>
      <c r="K655" s="11"/>
      <c r="L655" s="11"/>
    </row>
    <row r="656" spans="4:12" x14ac:dyDescent="0.25">
      <c r="D656" s="11"/>
      <c r="E656" s="11"/>
      <c r="F656" s="11"/>
      <c r="G656" s="11"/>
      <c r="H656" s="11"/>
      <c r="I656" s="11"/>
      <c r="J656" s="11"/>
      <c r="K656" s="11"/>
      <c r="L656" s="11"/>
    </row>
    <row r="657" spans="4:12" x14ac:dyDescent="0.25">
      <c r="D657" s="11"/>
      <c r="E657" s="11"/>
      <c r="F657" s="11"/>
      <c r="G657" s="11"/>
      <c r="H657" s="11"/>
      <c r="I657" s="11"/>
      <c r="J657" s="11"/>
      <c r="K657" s="11"/>
      <c r="L657" s="11"/>
    </row>
    <row r="658" spans="4:12" x14ac:dyDescent="0.25">
      <c r="D658" s="11"/>
      <c r="E658" s="11"/>
      <c r="F658" s="11"/>
      <c r="G658" s="11"/>
      <c r="H658" s="11"/>
      <c r="I658" s="11"/>
      <c r="J658" s="11"/>
      <c r="K658" s="11"/>
      <c r="L658" s="11"/>
    </row>
    <row r="659" spans="4:12" x14ac:dyDescent="0.25">
      <c r="D659" s="11"/>
      <c r="E659" s="11"/>
      <c r="F659" s="11"/>
      <c r="G659" s="11"/>
      <c r="H659" s="11"/>
      <c r="I659" s="11"/>
      <c r="J659" s="11"/>
      <c r="K659" s="11"/>
      <c r="L659" s="11"/>
    </row>
    <row r="660" spans="4:12" x14ac:dyDescent="0.25">
      <c r="D660" s="11"/>
      <c r="E660" s="11"/>
      <c r="F660" s="11"/>
      <c r="G660" s="11"/>
      <c r="H660" s="11"/>
      <c r="I660" s="11"/>
      <c r="J660" s="11"/>
      <c r="K660" s="11"/>
      <c r="L660" s="11"/>
    </row>
    <row r="661" spans="4:12" x14ac:dyDescent="0.25">
      <c r="D661" s="11"/>
      <c r="E661" s="11"/>
      <c r="F661" s="11"/>
      <c r="G661" s="11"/>
      <c r="H661" s="11"/>
      <c r="I661" s="11"/>
      <c r="J661" s="11"/>
      <c r="K661" s="11"/>
      <c r="L661" s="11"/>
    </row>
    <row r="662" spans="4:12" x14ac:dyDescent="0.25">
      <c r="D662" s="11"/>
      <c r="E662" s="11"/>
      <c r="F662" s="11"/>
      <c r="G662" s="11"/>
      <c r="H662" s="11"/>
      <c r="I662" s="11"/>
      <c r="J662" s="11"/>
      <c r="K662" s="11"/>
      <c r="L662" s="11"/>
    </row>
    <row r="663" spans="4:12" x14ac:dyDescent="0.25">
      <c r="D663" s="11"/>
      <c r="E663" s="11"/>
      <c r="F663" s="11"/>
      <c r="G663" s="11"/>
      <c r="H663" s="11"/>
      <c r="I663" s="11"/>
      <c r="J663" s="11"/>
      <c r="K663" s="11"/>
      <c r="L663" s="11"/>
    </row>
    <row r="664" spans="4:12" x14ac:dyDescent="0.25">
      <c r="D664" s="11"/>
      <c r="E664" s="11"/>
      <c r="F664" s="11"/>
      <c r="G664" s="11"/>
      <c r="H664" s="11"/>
      <c r="I664" s="11"/>
      <c r="J664" s="11"/>
      <c r="K664" s="11"/>
      <c r="L664" s="11"/>
    </row>
    <row r="665" spans="4:12" x14ac:dyDescent="0.25">
      <c r="D665" s="11"/>
      <c r="E665" s="11"/>
      <c r="F665" s="11"/>
      <c r="G665" s="11"/>
      <c r="H665" s="11"/>
      <c r="I665" s="11"/>
      <c r="J665" s="11"/>
      <c r="K665" s="11"/>
      <c r="L665" s="11"/>
    </row>
    <row r="666" spans="4:12" x14ac:dyDescent="0.25">
      <c r="D666" s="11"/>
      <c r="E666" s="11"/>
      <c r="F666" s="11"/>
      <c r="G666" s="11"/>
      <c r="H666" s="11"/>
      <c r="I666" s="11"/>
      <c r="J666" s="11"/>
      <c r="K666" s="11"/>
      <c r="L666" s="11"/>
    </row>
    <row r="667" spans="4:12" x14ac:dyDescent="0.25">
      <c r="D667" s="11"/>
      <c r="E667" s="11"/>
      <c r="F667" s="11"/>
      <c r="G667" s="11"/>
      <c r="H667" s="11"/>
      <c r="I667" s="11"/>
      <c r="J667" s="11"/>
      <c r="K667" s="11"/>
      <c r="L667" s="11"/>
    </row>
    <row r="668" spans="4:12" x14ac:dyDescent="0.25">
      <c r="D668" s="11"/>
      <c r="E668" s="11"/>
      <c r="F668" s="11"/>
      <c r="G668" s="11"/>
      <c r="H668" s="11"/>
      <c r="I668" s="11"/>
      <c r="J668" s="11"/>
      <c r="K668" s="11"/>
      <c r="L668" s="11"/>
    </row>
    <row r="669" spans="4:12" x14ac:dyDescent="0.25">
      <c r="D669" s="11"/>
      <c r="E669" s="11"/>
      <c r="F669" s="11"/>
      <c r="G669" s="11"/>
      <c r="H669" s="11"/>
      <c r="I669" s="11"/>
      <c r="J669" s="11"/>
      <c r="K669" s="11"/>
      <c r="L669" s="11"/>
    </row>
    <row r="670" spans="4:12" x14ac:dyDescent="0.25">
      <c r="D670" s="11"/>
      <c r="E670" s="11"/>
      <c r="F670" s="11"/>
      <c r="G670" s="11"/>
      <c r="H670" s="11"/>
      <c r="I670" s="11"/>
      <c r="J670" s="11"/>
      <c r="K670" s="11"/>
      <c r="L670" s="11"/>
    </row>
    <row r="671" spans="4:12" x14ac:dyDescent="0.25">
      <c r="D671" s="11"/>
      <c r="E671" s="11"/>
      <c r="F671" s="11"/>
      <c r="G671" s="11"/>
      <c r="H671" s="11"/>
      <c r="I671" s="11"/>
      <c r="J671" s="11"/>
      <c r="K671" s="11"/>
      <c r="L671" s="11"/>
    </row>
    <row r="672" spans="4:12" x14ac:dyDescent="0.25">
      <c r="D672" s="11"/>
      <c r="E672" s="11"/>
      <c r="F672" s="11"/>
      <c r="G672" s="11"/>
      <c r="H672" s="11"/>
      <c r="I672" s="11"/>
      <c r="J672" s="11"/>
      <c r="K672" s="11"/>
      <c r="L672" s="11"/>
    </row>
    <row r="673" spans="4:12" x14ac:dyDescent="0.25">
      <c r="D673" s="11"/>
      <c r="E673" s="11"/>
      <c r="F673" s="11"/>
      <c r="G673" s="11"/>
      <c r="H673" s="11"/>
      <c r="I673" s="11"/>
      <c r="J673" s="11"/>
      <c r="K673" s="11"/>
      <c r="L673" s="11"/>
    </row>
    <row r="674" spans="4:12" x14ac:dyDescent="0.25">
      <c r="D674" s="11"/>
      <c r="E674" s="11"/>
      <c r="F674" s="11"/>
      <c r="G674" s="11"/>
      <c r="H674" s="11"/>
      <c r="I674" s="11"/>
      <c r="J674" s="11"/>
      <c r="K674" s="11"/>
      <c r="L674" s="11"/>
    </row>
    <row r="675" spans="4:12" x14ac:dyDescent="0.25">
      <c r="D675" s="11"/>
      <c r="E675" s="11"/>
      <c r="F675" s="11"/>
      <c r="G675" s="11"/>
      <c r="H675" s="11"/>
      <c r="I675" s="11"/>
      <c r="J675" s="11"/>
      <c r="K675" s="11"/>
      <c r="L675" s="11"/>
    </row>
    <row r="676" spans="4:12" x14ac:dyDescent="0.25">
      <c r="D676" s="11"/>
      <c r="E676" s="11"/>
      <c r="F676" s="11"/>
      <c r="G676" s="11"/>
      <c r="H676" s="11"/>
      <c r="I676" s="11"/>
      <c r="J676" s="11"/>
      <c r="K676" s="11"/>
      <c r="L676" s="11"/>
    </row>
    <row r="677" spans="4:12" x14ac:dyDescent="0.25">
      <c r="D677" s="11"/>
      <c r="E677" s="11"/>
      <c r="F677" s="11"/>
      <c r="G677" s="11"/>
      <c r="H677" s="11"/>
      <c r="I677" s="11"/>
      <c r="J677" s="11"/>
      <c r="K677" s="11"/>
      <c r="L677" s="11"/>
    </row>
    <row r="678" spans="4:12" x14ac:dyDescent="0.25">
      <c r="D678" s="11"/>
      <c r="E678" s="11"/>
      <c r="F678" s="11"/>
      <c r="G678" s="11"/>
      <c r="H678" s="11"/>
      <c r="I678" s="11"/>
      <c r="J678" s="11"/>
      <c r="K678" s="11"/>
      <c r="L678" s="11"/>
    </row>
    <row r="679" spans="4:12" x14ac:dyDescent="0.25">
      <c r="D679" s="11"/>
      <c r="E679" s="11"/>
      <c r="F679" s="11"/>
      <c r="G679" s="11"/>
      <c r="H679" s="11"/>
      <c r="I679" s="11"/>
      <c r="J679" s="11"/>
      <c r="K679" s="11"/>
      <c r="L679" s="11"/>
    </row>
    <row r="680" spans="4:12" x14ac:dyDescent="0.25">
      <c r="D680" s="11"/>
      <c r="E680" s="11"/>
      <c r="F680" s="11"/>
      <c r="G680" s="11"/>
      <c r="H680" s="11"/>
      <c r="I680" s="11"/>
      <c r="J680" s="11"/>
      <c r="K680" s="11"/>
      <c r="L680" s="11"/>
    </row>
    <row r="681" spans="4:12" x14ac:dyDescent="0.25">
      <c r="D681" s="11"/>
      <c r="E681" s="11"/>
      <c r="F681" s="11"/>
      <c r="G681" s="11"/>
      <c r="H681" s="11"/>
      <c r="I681" s="11"/>
      <c r="J681" s="11"/>
      <c r="K681" s="11"/>
      <c r="L681" s="11"/>
    </row>
    <row r="682" spans="4:12" x14ac:dyDescent="0.25">
      <c r="D682" s="11"/>
      <c r="E682" s="11"/>
      <c r="F682" s="11"/>
      <c r="G682" s="11"/>
      <c r="H682" s="11"/>
      <c r="I682" s="11"/>
      <c r="J682" s="11"/>
      <c r="K682" s="11"/>
      <c r="L682" s="11"/>
    </row>
    <row r="683" spans="4:12" x14ac:dyDescent="0.25">
      <c r="D683" s="11"/>
      <c r="E683" s="11"/>
      <c r="F683" s="11"/>
      <c r="G683" s="11"/>
      <c r="H683" s="11"/>
      <c r="I683" s="11"/>
      <c r="J683" s="11"/>
      <c r="K683" s="11"/>
      <c r="L683" s="11"/>
    </row>
    <row r="684" spans="4:12" x14ac:dyDescent="0.25">
      <c r="D684" s="11"/>
      <c r="E684" s="11"/>
      <c r="F684" s="11"/>
      <c r="G684" s="11"/>
      <c r="H684" s="11"/>
      <c r="I684" s="11"/>
      <c r="J684" s="11"/>
      <c r="K684" s="11"/>
      <c r="L684" s="11"/>
    </row>
    <row r="685" spans="4:12" x14ac:dyDescent="0.25">
      <c r="D685" s="11"/>
      <c r="E685" s="11"/>
      <c r="F685" s="11"/>
      <c r="G685" s="11"/>
      <c r="H685" s="11"/>
      <c r="I685" s="11"/>
      <c r="J685" s="11"/>
      <c r="K685" s="11"/>
      <c r="L685" s="11"/>
    </row>
    <row r="686" spans="4:12" x14ac:dyDescent="0.25">
      <c r="D686" s="11"/>
      <c r="E686" s="11"/>
      <c r="F686" s="11"/>
      <c r="G686" s="11"/>
      <c r="H686" s="11"/>
      <c r="I686" s="11"/>
      <c r="J686" s="11"/>
      <c r="K686" s="11"/>
      <c r="L686" s="11"/>
    </row>
    <row r="687" spans="4:12" x14ac:dyDescent="0.25">
      <c r="D687" s="11"/>
      <c r="E687" s="11"/>
      <c r="F687" s="11"/>
      <c r="G687" s="11"/>
      <c r="H687" s="11"/>
      <c r="I687" s="11"/>
      <c r="J687" s="11"/>
      <c r="K687" s="11"/>
      <c r="L687" s="11"/>
    </row>
    <row r="688" spans="4:12" x14ac:dyDescent="0.25">
      <c r="D688" s="11"/>
      <c r="E688" s="11"/>
      <c r="F688" s="11"/>
      <c r="G688" s="11"/>
      <c r="H688" s="11"/>
      <c r="I688" s="11"/>
      <c r="J688" s="11"/>
      <c r="K688" s="11"/>
      <c r="L688" s="11"/>
    </row>
    <row r="689" spans="4:12" x14ac:dyDescent="0.25">
      <c r="D689" s="11"/>
      <c r="E689" s="11"/>
      <c r="F689" s="11"/>
      <c r="G689" s="11"/>
      <c r="H689" s="11"/>
      <c r="I689" s="11"/>
      <c r="J689" s="11"/>
      <c r="K689" s="11"/>
      <c r="L689" s="11"/>
    </row>
    <row r="690" spans="4:12" x14ac:dyDescent="0.25">
      <c r="D690" s="11"/>
      <c r="E690" s="11"/>
      <c r="F690" s="11"/>
      <c r="G690" s="11"/>
      <c r="H690" s="11"/>
      <c r="I690" s="11"/>
      <c r="J690" s="11"/>
      <c r="K690" s="11"/>
      <c r="L690" s="11"/>
    </row>
    <row r="691" spans="4:12" x14ac:dyDescent="0.25">
      <c r="D691" s="11"/>
      <c r="E691" s="11"/>
      <c r="F691" s="11"/>
      <c r="G691" s="11"/>
      <c r="H691" s="11"/>
      <c r="I691" s="11"/>
      <c r="J691" s="11"/>
      <c r="K691" s="11"/>
      <c r="L691" s="11"/>
    </row>
    <row r="692" spans="4:12" x14ac:dyDescent="0.25">
      <c r="D692" s="11"/>
      <c r="E692" s="11"/>
      <c r="F692" s="11"/>
      <c r="G692" s="11"/>
      <c r="H692" s="11"/>
      <c r="I692" s="11"/>
      <c r="J692" s="11"/>
      <c r="K692" s="11"/>
      <c r="L692" s="11"/>
    </row>
    <row r="693" spans="4:12" x14ac:dyDescent="0.25">
      <c r="D693" s="11"/>
      <c r="E693" s="11"/>
      <c r="F693" s="11"/>
      <c r="G693" s="11"/>
      <c r="H693" s="11"/>
      <c r="I693" s="11"/>
      <c r="J693" s="11"/>
      <c r="K693" s="11"/>
      <c r="L693" s="11"/>
    </row>
    <row r="694" spans="4:12" x14ac:dyDescent="0.25">
      <c r="D694" s="11"/>
      <c r="E694" s="11"/>
      <c r="F694" s="11"/>
      <c r="G694" s="11"/>
      <c r="H694" s="11"/>
      <c r="I694" s="11"/>
      <c r="J694" s="11"/>
      <c r="K694" s="11"/>
      <c r="L694" s="11"/>
    </row>
    <row r="695" spans="4:12" x14ac:dyDescent="0.25">
      <c r="D695" s="11"/>
      <c r="E695" s="11"/>
      <c r="F695" s="11"/>
      <c r="G695" s="11"/>
      <c r="H695" s="11"/>
      <c r="I695" s="11"/>
      <c r="J695" s="11"/>
      <c r="K695" s="11"/>
      <c r="L695" s="11"/>
    </row>
    <row r="696" spans="4:12" x14ac:dyDescent="0.25">
      <c r="D696" s="11"/>
      <c r="E696" s="11"/>
      <c r="F696" s="11"/>
      <c r="G696" s="11"/>
      <c r="H696" s="11"/>
      <c r="I696" s="11"/>
      <c r="J696" s="11"/>
      <c r="K696" s="11"/>
      <c r="L696" s="11"/>
    </row>
    <row r="697" spans="4:12" x14ac:dyDescent="0.25">
      <c r="D697" s="11"/>
      <c r="E697" s="11"/>
      <c r="F697" s="11"/>
      <c r="G697" s="11"/>
      <c r="H697" s="11"/>
      <c r="I697" s="11"/>
      <c r="J697" s="11"/>
      <c r="K697" s="11"/>
      <c r="L697" s="11"/>
    </row>
    <row r="698" spans="4:12" x14ac:dyDescent="0.25">
      <c r="D698" s="11"/>
      <c r="E698" s="11"/>
      <c r="F698" s="11"/>
      <c r="G698" s="11"/>
      <c r="H698" s="11"/>
      <c r="I698" s="11"/>
      <c r="J698" s="11"/>
      <c r="K698" s="11"/>
      <c r="L698" s="11"/>
    </row>
    <row r="699" spans="4:12" x14ac:dyDescent="0.25">
      <c r="D699" s="11"/>
      <c r="E699" s="11"/>
      <c r="F699" s="11"/>
      <c r="G699" s="11"/>
      <c r="H699" s="11"/>
      <c r="I699" s="11"/>
      <c r="J699" s="11"/>
      <c r="K699" s="11"/>
      <c r="L699" s="11"/>
    </row>
    <row r="700" spans="4:12" x14ac:dyDescent="0.25">
      <c r="D700" s="11"/>
      <c r="E700" s="11"/>
      <c r="F700" s="11"/>
      <c r="G700" s="11"/>
      <c r="H700" s="11"/>
      <c r="I700" s="11"/>
      <c r="J700" s="11"/>
      <c r="K700" s="11"/>
      <c r="L700" s="11"/>
    </row>
    <row r="701" spans="4:12" x14ac:dyDescent="0.25">
      <c r="D701" s="11"/>
      <c r="E701" s="11"/>
      <c r="F701" s="11"/>
      <c r="G701" s="11"/>
      <c r="H701" s="11"/>
      <c r="I701" s="11"/>
      <c r="J701" s="11"/>
      <c r="K701" s="11"/>
      <c r="L701" s="11"/>
    </row>
    <row r="702" spans="4:12" x14ac:dyDescent="0.25">
      <c r="D702" s="11"/>
      <c r="E702" s="11"/>
      <c r="F702" s="11"/>
      <c r="G702" s="11"/>
      <c r="H702" s="11"/>
      <c r="I702" s="11"/>
      <c r="J702" s="11"/>
      <c r="K702" s="11"/>
      <c r="L702" s="11"/>
    </row>
    <row r="703" spans="4:12" x14ac:dyDescent="0.25">
      <c r="D703" s="11"/>
      <c r="E703" s="11"/>
      <c r="F703" s="11"/>
      <c r="G703" s="11"/>
      <c r="H703" s="11"/>
      <c r="I703" s="11"/>
      <c r="J703" s="11"/>
      <c r="K703" s="11"/>
      <c r="L703" s="11"/>
    </row>
    <row r="704" spans="4:12" x14ac:dyDescent="0.25">
      <c r="D704" s="11"/>
      <c r="E704" s="11"/>
      <c r="F704" s="11"/>
      <c r="G704" s="11"/>
      <c r="H704" s="11"/>
      <c r="I704" s="11"/>
      <c r="J704" s="11"/>
      <c r="K704" s="11"/>
      <c r="L704" s="11"/>
    </row>
    <row r="705" spans="4:12" x14ac:dyDescent="0.25">
      <c r="D705" s="11"/>
      <c r="E705" s="11"/>
      <c r="F705" s="11"/>
      <c r="G705" s="11"/>
      <c r="H705" s="11"/>
      <c r="I705" s="11"/>
      <c r="J705" s="11"/>
      <c r="K705" s="11"/>
      <c r="L705" s="11"/>
    </row>
    <row r="706" spans="4:12" x14ac:dyDescent="0.25">
      <c r="D706" s="11"/>
      <c r="E706" s="11"/>
      <c r="F706" s="11"/>
      <c r="G706" s="11"/>
      <c r="H706" s="11"/>
      <c r="I706" s="11"/>
      <c r="J706" s="11"/>
      <c r="K706" s="11"/>
      <c r="L706" s="11"/>
    </row>
    <row r="707" spans="4:12" x14ac:dyDescent="0.25">
      <c r="D707" s="11"/>
      <c r="E707" s="11"/>
      <c r="F707" s="11"/>
      <c r="G707" s="11"/>
      <c r="H707" s="11"/>
      <c r="I707" s="11"/>
      <c r="J707" s="11"/>
      <c r="K707" s="11"/>
      <c r="L707" s="11"/>
    </row>
    <row r="708" spans="4:12" x14ac:dyDescent="0.25">
      <c r="D708" s="11"/>
      <c r="E708" s="11"/>
      <c r="F708" s="11"/>
      <c r="G708" s="11"/>
      <c r="H708" s="11"/>
      <c r="I708" s="11"/>
      <c r="J708" s="11"/>
      <c r="K708" s="11"/>
      <c r="L708" s="11"/>
    </row>
    <row r="709" spans="4:12" x14ac:dyDescent="0.25">
      <c r="D709" s="11"/>
      <c r="E709" s="11"/>
      <c r="F709" s="11"/>
      <c r="G709" s="11"/>
      <c r="H709" s="11"/>
      <c r="I709" s="11"/>
      <c r="J709" s="11"/>
      <c r="K709" s="11"/>
      <c r="L709" s="11"/>
    </row>
    <row r="710" spans="4:12" x14ac:dyDescent="0.25">
      <c r="D710" s="11"/>
      <c r="E710" s="11"/>
      <c r="F710" s="11"/>
      <c r="G710" s="11"/>
      <c r="H710" s="11"/>
      <c r="I710" s="11"/>
      <c r="J710" s="11"/>
      <c r="K710" s="11"/>
      <c r="L710" s="11"/>
    </row>
    <row r="711" spans="4:12" x14ac:dyDescent="0.25">
      <c r="D711" s="11"/>
      <c r="E711" s="11"/>
      <c r="F711" s="11"/>
      <c r="G711" s="11"/>
      <c r="H711" s="11"/>
      <c r="I711" s="11"/>
      <c r="J711" s="11"/>
      <c r="K711" s="11"/>
      <c r="L711" s="11"/>
    </row>
    <row r="712" spans="4:12" x14ac:dyDescent="0.25">
      <c r="D712" s="11"/>
      <c r="E712" s="11"/>
      <c r="F712" s="11"/>
      <c r="G712" s="11"/>
      <c r="H712" s="11"/>
      <c r="I712" s="11"/>
      <c r="J712" s="11"/>
      <c r="K712" s="11"/>
      <c r="L712" s="11"/>
    </row>
    <row r="713" spans="4:12" x14ac:dyDescent="0.25">
      <c r="D713" s="11"/>
      <c r="E713" s="11"/>
      <c r="F713" s="11"/>
      <c r="G713" s="11"/>
      <c r="H713" s="11"/>
      <c r="I713" s="11"/>
      <c r="J713" s="11"/>
      <c r="K713" s="11"/>
      <c r="L713" s="11"/>
    </row>
    <row r="714" spans="4:12" x14ac:dyDescent="0.25">
      <c r="D714" s="11"/>
      <c r="E714" s="11"/>
      <c r="F714" s="11"/>
      <c r="G714" s="11"/>
      <c r="H714" s="11"/>
      <c r="I714" s="11"/>
      <c r="J714" s="11"/>
      <c r="K714" s="11"/>
      <c r="L714" s="11"/>
    </row>
    <row r="715" spans="4:12" x14ac:dyDescent="0.25">
      <c r="D715" s="11"/>
      <c r="E715" s="11"/>
      <c r="F715" s="11"/>
      <c r="G715" s="11"/>
      <c r="H715" s="11"/>
      <c r="I715" s="11"/>
      <c r="J715" s="11"/>
      <c r="K715" s="11"/>
      <c r="L715" s="11"/>
    </row>
    <row r="716" spans="4:12" x14ac:dyDescent="0.25">
      <c r="D716" s="11"/>
      <c r="E716" s="11"/>
      <c r="F716" s="11"/>
      <c r="G716" s="11"/>
      <c r="H716" s="11"/>
      <c r="I716" s="11"/>
      <c r="J716" s="11"/>
      <c r="K716" s="11"/>
      <c r="L716" s="11"/>
    </row>
    <row r="717" spans="4:12" x14ac:dyDescent="0.25">
      <c r="D717" s="11"/>
      <c r="E717" s="11"/>
      <c r="F717" s="11"/>
      <c r="G717" s="11"/>
      <c r="H717" s="11"/>
      <c r="I717" s="11"/>
      <c r="J717" s="11"/>
      <c r="K717" s="11"/>
      <c r="L717" s="11"/>
    </row>
    <row r="718" spans="4:12" x14ac:dyDescent="0.25">
      <c r="D718" s="11"/>
      <c r="E718" s="11"/>
      <c r="F718" s="11"/>
      <c r="G718" s="11"/>
      <c r="H718" s="11"/>
      <c r="I718" s="11"/>
      <c r="J718" s="11"/>
      <c r="K718" s="11"/>
      <c r="L718" s="11"/>
    </row>
    <row r="719" spans="4:12" x14ac:dyDescent="0.25">
      <c r="D719" s="11"/>
      <c r="E719" s="11"/>
      <c r="F719" s="11"/>
      <c r="G719" s="11"/>
      <c r="H719" s="11"/>
      <c r="I719" s="11"/>
      <c r="J719" s="11"/>
      <c r="K719" s="11"/>
      <c r="L719" s="11"/>
    </row>
    <row r="720" spans="4:12" x14ac:dyDescent="0.25">
      <c r="D720" s="11"/>
      <c r="E720" s="11"/>
      <c r="F720" s="11"/>
      <c r="G720" s="11"/>
      <c r="H720" s="11"/>
      <c r="I720" s="11"/>
      <c r="J720" s="11"/>
      <c r="K720" s="11"/>
      <c r="L720" s="11"/>
    </row>
    <row r="721" spans="4:12" x14ac:dyDescent="0.25">
      <c r="D721" s="11"/>
      <c r="E721" s="11"/>
      <c r="F721" s="11"/>
      <c r="G721" s="11"/>
      <c r="H721" s="11"/>
      <c r="I721" s="11"/>
      <c r="J721" s="11"/>
      <c r="K721" s="11"/>
      <c r="L721" s="11"/>
    </row>
    <row r="722" spans="4:12" x14ac:dyDescent="0.25">
      <c r="D722" s="11"/>
      <c r="E722" s="11"/>
      <c r="F722" s="11"/>
      <c r="G722" s="11"/>
      <c r="H722" s="11"/>
      <c r="I722" s="11"/>
      <c r="J722" s="11"/>
      <c r="K722" s="11"/>
      <c r="L722" s="11"/>
    </row>
    <row r="723" spans="4:12" x14ac:dyDescent="0.25">
      <c r="D723" s="11"/>
      <c r="E723" s="11"/>
      <c r="F723" s="11"/>
      <c r="G723" s="11"/>
      <c r="H723" s="11"/>
      <c r="I723" s="11"/>
      <c r="J723" s="11"/>
      <c r="K723" s="11"/>
      <c r="L723" s="11"/>
    </row>
    <row r="724" spans="4:12" x14ac:dyDescent="0.25">
      <c r="D724" s="11"/>
      <c r="E724" s="11"/>
      <c r="F724" s="11"/>
      <c r="G724" s="11"/>
      <c r="H724" s="11"/>
      <c r="I724" s="11"/>
      <c r="J724" s="11"/>
      <c r="K724" s="11"/>
      <c r="L724" s="11"/>
    </row>
    <row r="725" spans="4:12" x14ac:dyDescent="0.25">
      <c r="D725" s="11"/>
      <c r="E725" s="11"/>
      <c r="F725" s="11"/>
      <c r="G725" s="11"/>
      <c r="H725" s="11"/>
      <c r="I725" s="11"/>
      <c r="J725" s="11"/>
      <c r="K725" s="11"/>
      <c r="L725" s="11"/>
    </row>
    <row r="726" spans="4:12" x14ac:dyDescent="0.25">
      <c r="D726" s="11"/>
      <c r="E726" s="11"/>
      <c r="F726" s="11"/>
      <c r="G726" s="11"/>
      <c r="H726" s="11"/>
      <c r="I726" s="11"/>
      <c r="J726" s="11"/>
      <c r="K726" s="11"/>
      <c r="L726" s="11"/>
    </row>
    <row r="727" spans="4:12" x14ac:dyDescent="0.25">
      <c r="D727" s="11"/>
      <c r="E727" s="11"/>
      <c r="F727" s="11"/>
      <c r="G727" s="11"/>
      <c r="H727" s="11"/>
      <c r="I727" s="11"/>
      <c r="J727" s="11"/>
      <c r="K727" s="11"/>
      <c r="L727" s="11"/>
    </row>
    <row r="728" spans="4:12" x14ac:dyDescent="0.25">
      <c r="D728" s="11"/>
      <c r="E728" s="11"/>
      <c r="F728" s="11"/>
      <c r="G728" s="11"/>
      <c r="H728" s="11"/>
      <c r="I728" s="11"/>
      <c r="J728" s="11"/>
      <c r="K728" s="11"/>
      <c r="L728" s="11"/>
    </row>
    <row r="729" spans="4:12" x14ac:dyDescent="0.25">
      <c r="D729" s="11"/>
      <c r="E729" s="11"/>
      <c r="F729" s="11"/>
      <c r="G729" s="11"/>
      <c r="H729" s="11"/>
      <c r="I729" s="11"/>
      <c r="J729" s="11"/>
      <c r="K729" s="11"/>
      <c r="L729" s="11"/>
    </row>
    <row r="730" spans="4:12" x14ac:dyDescent="0.25">
      <c r="D730" s="11"/>
      <c r="E730" s="11"/>
      <c r="F730" s="11"/>
      <c r="G730" s="11"/>
      <c r="H730" s="11"/>
      <c r="I730" s="11"/>
      <c r="J730" s="11"/>
      <c r="K730" s="11"/>
      <c r="L730" s="11"/>
    </row>
    <row r="731" spans="4:12" x14ac:dyDescent="0.25">
      <c r="D731" s="11"/>
      <c r="E731" s="11"/>
      <c r="F731" s="11"/>
      <c r="G731" s="11"/>
      <c r="H731" s="11"/>
      <c r="I731" s="11"/>
      <c r="J731" s="11"/>
      <c r="K731" s="11"/>
      <c r="L731" s="11"/>
    </row>
    <row r="732" spans="4:12" x14ac:dyDescent="0.25">
      <c r="D732" s="11"/>
      <c r="E732" s="11"/>
      <c r="F732" s="11"/>
      <c r="G732" s="11"/>
      <c r="H732" s="11"/>
      <c r="I732" s="11"/>
      <c r="J732" s="11"/>
      <c r="K732" s="11"/>
      <c r="L732" s="11"/>
    </row>
    <row r="733" spans="4:12" x14ac:dyDescent="0.25">
      <c r="D733" s="11"/>
      <c r="E733" s="11"/>
      <c r="F733" s="11"/>
      <c r="G733" s="11"/>
      <c r="H733" s="11"/>
      <c r="I733" s="11"/>
      <c r="J733" s="11"/>
      <c r="K733" s="11"/>
      <c r="L733" s="11"/>
    </row>
    <row r="734" spans="4:12" x14ac:dyDescent="0.25">
      <c r="D734" s="11"/>
      <c r="E734" s="11"/>
      <c r="F734" s="11"/>
      <c r="G734" s="11"/>
      <c r="H734" s="11"/>
      <c r="I734" s="11"/>
      <c r="J734" s="11"/>
      <c r="K734" s="11"/>
      <c r="L734" s="11"/>
    </row>
    <row r="735" spans="4:12" x14ac:dyDescent="0.25">
      <c r="D735" s="11"/>
      <c r="E735" s="11"/>
      <c r="F735" s="11"/>
      <c r="G735" s="11"/>
      <c r="H735" s="11"/>
      <c r="I735" s="11"/>
      <c r="J735" s="11"/>
      <c r="K735" s="11"/>
      <c r="L735" s="11"/>
    </row>
    <row r="736" spans="4:12" x14ac:dyDescent="0.25">
      <c r="D736" s="11"/>
      <c r="E736" s="11"/>
      <c r="F736" s="11"/>
      <c r="G736" s="11"/>
      <c r="H736" s="11"/>
      <c r="I736" s="11"/>
      <c r="J736" s="11"/>
      <c r="K736" s="11"/>
      <c r="L736" s="11"/>
    </row>
    <row r="737" spans="4:12" x14ac:dyDescent="0.25">
      <c r="D737" s="11"/>
      <c r="E737" s="11"/>
      <c r="F737" s="11"/>
      <c r="G737" s="11"/>
      <c r="H737" s="11"/>
      <c r="I737" s="11"/>
      <c r="J737" s="11"/>
      <c r="K737" s="11"/>
      <c r="L737" s="11"/>
    </row>
    <row r="738" spans="4:12" x14ac:dyDescent="0.25">
      <c r="D738" s="11"/>
      <c r="E738" s="11"/>
      <c r="F738" s="11"/>
      <c r="G738" s="11"/>
      <c r="H738" s="11"/>
      <c r="I738" s="11"/>
      <c r="J738" s="11"/>
      <c r="K738" s="11"/>
      <c r="L738" s="11"/>
    </row>
    <row r="739" spans="4:12" x14ac:dyDescent="0.25">
      <c r="D739" s="11"/>
      <c r="E739" s="11"/>
      <c r="F739" s="11"/>
      <c r="G739" s="11"/>
      <c r="H739" s="11"/>
      <c r="I739" s="11"/>
      <c r="J739" s="11"/>
      <c r="K739" s="11"/>
      <c r="L739" s="11"/>
    </row>
    <row r="740" spans="4:12" x14ac:dyDescent="0.25">
      <c r="D740" s="11"/>
      <c r="E740" s="11"/>
      <c r="F740" s="11"/>
      <c r="G740" s="11"/>
      <c r="H740" s="11"/>
      <c r="I740" s="11"/>
      <c r="J740" s="11"/>
      <c r="K740" s="11"/>
      <c r="L740" s="11"/>
    </row>
    <row r="741" spans="4:12" x14ac:dyDescent="0.25">
      <c r="D741" s="11"/>
      <c r="E741" s="11"/>
      <c r="F741" s="11"/>
      <c r="G741" s="11"/>
      <c r="H741" s="11"/>
      <c r="I741" s="11"/>
      <c r="J741" s="11"/>
      <c r="K741" s="11"/>
      <c r="L741" s="11"/>
    </row>
    <row r="742" spans="4:12" x14ac:dyDescent="0.25">
      <c r="D742" s="11"/>
      <c r="E742" s="11"/>
      <c r="F742" s="11"/>
      <c r="G742" s="11"/>
      <c r="H742" s="11"/>
      <c r="I742" s="11"/>
      <c r="J742" s="11"/>
      <c r="K742" s="11"/>
      <c r="L742" s="11"/>
    </row>
    <row r="743" spans="4:12" x14ac:dyDescent="0.25">
      <c r="D743" s="11"/>
      <c r="E743" s="11"/>
      <c r="F743" s="11"/>
      <c r="G743" s="11"/>
      <c r="H743" s="11"/>
      <c r="I743" s="11"/>
      <c r="J743" s="11"/>
      <c r="K743" s="11"/>
      <c r="L743" s="11"/>
    </row>
    <row r="744" spans="4:12" x14ac:dyDescent="0.25">
      <c r="D744" s="11"/>
      <c r="E744" s="11"/>
      <c r="F744" s="11"/>
      <c r="G744" s="11"/>
      <c r="H744" s="11"/>
      <c r="I744" s="11"/>
      <c r="J744" s="11"/>
      <c r="K744" s="11"/>
      <c r="L744" s="11"/>
    </row>
    <row r="745" spans="4:12" x14ac:dyDescent="0.25">
      <c r="D745" s="11"/>
      <c r="E745" s="11"/>
      <c r="F745" s="11"/>
      <c r="G745" s="11"/>
      <c r="H745" s="11"/>
      <c r="I745" s="11"/>
      <c r="J745" s="11"/>
      <c r="K745" s="11"/>
      <c r="L745" s="11"/>
    </row>
    <row r="746" spans="4:12" x14ac:dyDescent="0.25">
      <c r="D746" s="11"/>
      <c r="E746" s="11"/>
      <c r="F746" s="11"/>
      <c r="G746" s="11"/>
      <c r="H746" s="11"/>
      <c r="I746" s="11"/>
      <c r="J746" s="11"/>
      <c r="K746" s="11"/>
      <c r="L746" s="11"/>
    </row>
    <row r="747" spans="4:12" x14ac:dyDescent="0.25">
      <c r="D747" s="11"/>
      <c r="E747" s="11"/>
      <c r="F747" s="11"/>
      <c r="G747" s="11"/>
      <c r="H747" s="11"/>
      <c r="I747" s="11"/>
      <c r="J747" s="11"/>
      <c r="K747" s="11"/>
      <c r="L747" s="11"/>
    </row>
    <row r="748" spans="4:12" x14ac:dyDescent="0.25">
      <c r="D748" s="11"/>
      <c r="E748" s="11"/>
      <c r="F748" s="11"/>
      <c r="G748" s="11"/>
      <c r="H748" s="11"/>
      <c r="I748" s="11"/>
      <c r="J748" s="11"/>
      <c r="K748" s="11"/>
      <c r="L748" s="11"/>
    </row>
    <row r="749" spans="4:12" x14ac:dyDescent="0.25">
      <c r="D749" s="11"/>
      <c r="E749" s="11"/>
      <c r="F749" s="11"/>
      <c r="G749" s="11"/>
      <c r="H749" s="11"/>
      <c r="I749" s="11"/>
      <c r="J749" s="11"/>
      <c r="K749" s="11"/>
      <c r="L749" s="11"/>
    </row>
    <row r="750" spans="4:12" x14ac:dyDescent="0.25">
      <c r="D750" s="11"/>
      <c r="E750" s="11"/>
      <c r="F750" s="11"/>
      <c r="G750" s="11"/>
      <c r="H750" s="11"/>
      <c r="I750" s="11"/>
      <c r="J750" s="11"/>
      <c r="K750" s="11"/>
      <c r="L750" s="11"/>
    </row>
    <row r="751" spans="4:12" x14ac:dyDescent="0.25">
      <c r="D751" s="11"/>
      <c r="E751" s="11"/>
      <c r="F751" s="11"/>
      <c r="G751" s="11"/>
      <c r="H751" s="11"/>
      <c r="I751" s="11"/>
      <c r="J751" s="11"/>
      <c r="K751" s="11"/>
      <c r="L751" s="11"/>
    </row>
    <row r="752" spans="4:12" x14ac:dyDescent="0.25">
      <c r="D752" s="11"/>
      <c r="E752" s="11"/>
      <c r="F752" s="11"/>
      <c r="G752" s="11"/>
      <c r="H752" s="11"/>
      <c r="I752" s="11"/>
      <c r="J752" s="11"/>
      <c r="K752" s="11"/>
      <c r="L752" s="11"/>
    </row>
    <row r="753" spans="4:12" x14ac:dyDescent="0.25">
      <c r="D753" s="11"/>
      <c r="E753" s="11"/>
      <c r="F753" s="11"/>
      <c r="G753" s="11"/>
      <c r="H753" s="11"/>
      <c r="I753" s="11"/>
      <c r="J753" s="11"/>
      <c r="K753" s="11"/>
      <c r="L753" s="11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H277 H284:H1048576">
    <cfRule type="cellIs" dxfId="11" priority="1" operator="lessThan">
      <formula>-0.1</formula>
    </cfRule>
    <cfRule type="cellIs" dxfId="10" priority="2" operator="greaterThan">
      <formula>0.1</formula>
    </cfRule>
  </conditionalFormatting>
  <conditionalFormatting sqref="K277 K284:K1048576">
    <cfRule type="cellIs" dxfId="9" priority="3" operator="lessThan">
      <formula>-0.1</formula>
    </cfRule>
    <cfRule type="cellIs" dxfId="8" priority="4" operator="greaterThan">
      <formula>0.1</formula>
    </cfRule>
  </conditionalFormatting>
  <pageMargins left="0.2" right="0.2" top="0.75" bottom="0.5" header="0.3" footer="0.3"/>
  <pageSetup paperSize="3" scale="88" fitToHeight="0" orientation="landscape" r:id="rId1"/>
  <headerFooter>
    <oddHeader>&amp;C&amp;"-,Bold"&amp;14FY26 OPERATING BUDGET - ALDERMAN COURT - FIRST DRAFT - 12.11.24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Operating</vt:lpstr>
      <vt:lpstr>Operating w no changes but sal</vt:lpstr>
      <vt:lpstr>Revenue</vt:lpstr>
      <vt:lpstr>Administration</vt:lpstr>
      <vt:lpstr>Police</vt:lpstr>
      <vt:lpstr>Streets - Maintenance</vt:lpstr>
      <vt:lpstr>Parking</vt:lpstr>
      <vt:lpstr>Building</vt:lpstr>
      <vt:lpstr>Alderman</vt:lpstr>
      <vt:lpstr>Beach Patrol</vt:lpstr>
      <vt:lpstr>Summary</vt:lpstr>
      <vt:lpstr>Operating!Print_Area</vt:lpstr>
      <vt:lpstr>Police!Print_Area</vt:lpstr>
      <vt:lpstr>Administration!Print_Titles</vt:lpstr>
      <vt:lpstr>Alderman!Print_Titles</vt:lpstr>
      <vt:lpstr>'Beach Patrol'!Print_Titles</vt:lpstr>
      <vt:lpstr>Building!Print_Titles</vt:lpstr>
      <vt:lpstr>Operating!Print_Titles</vt:lpstr>
      <vt:lpstr>Parking!Print_Titles</vt:lpstr>
      <vt:lpstr>Police!Print_Titles</vt:lpstr>
      <vt:lpstr>Revenue!Print_Titles</vt:lpstr>
      <vt:lpstr>'Streets - Maintenance'!Print_Titles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Sheena Hall</dc:creator>
  <cp:lastModifiedBy>Sheena Hall</cp:lastModifiedBy>
  <cp:lastPrinted>2026-01-12T16:59:34Z</cp:lastPrinted>
  <dcterms:created xsi:type="dcterms:W3CDTF">2024-12-10T12:25:52Z</dcterms:created>
  <dcterms:modified xsi:type="dcterms:W3CDTF">2026-01-12T17:05:39Z</dcterms:modified>
</cp:coreProperties>
</file>