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FY26 Fianncials/11 - February 2026/"/>
    </mc:Choice>
  </mc:AlternateContent>
  <xr:revisionPtr revIDLastSave="213" documentId="8_{CD4E0C06-8E1C-48B0-9F0E-D51C7566D9C7}" xr6:coauthVersionLast="47" xr6:coauthVersionMax="47" xr10:uidLastSave="{38995F5B-A92B-4BAA-8B6A-DCA3FEEDAEB7}"/>
  <bookViews>
    <workbookView xWindow="-120" yWindow="-120" windowWidth="29040" windowHeight="15720" activeTab="1" xr2:uid="{ACF33D49-C156-4FF5-9B81-49692001947E}"/>
  </bookViews>
  <sheets>
    <sheet name="Fin Summary - Operating" sheetId="7" r:id="rId1"/>
    <sheet name="Full Data" sheetId="1" r:id="rId2"/>
    <sheet name="Monthly Pull Outs" sheetId="12" r:id="rId3"/>
    <sheet name="Fund Balances" sheetId="11" r:id="rId4"/>
    <sheet name="Capital Expenditures" sheetId="13" state="hidden" r:id="rId5"/>
    <sheet name="Overtime" sheetId="10" state="hidden" r:id="rId6"/>
  </sheets>
  <externalReferences>
    <externalReference r:id="rId7"/>
  </externalReferences>
  <definedNames>
    <definedName name="LOCAL_MYSQL_DATE_FORMAT" localSheetId="3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'Fin Summary - Operating'!$B$1:$P$89</definedName>
    <definedName name="_xlnm.Print_Area" localSheetId="1">'Full Data'!$A$1:$AO$323</definedName>
    <definedName name="_xlnm.Print_Titles" localSheetId="1">'Full Data'!$1:$2</definedName>
    <definedName name="_xlnm.Print_Titles" localSheetId="3">'Fund Balances'!$A:$A,'Fund Balances'!$1:$4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11" l="1"/>
  <c r="AL203" i="1"/>
  <c r="N27" i="11"/>
  <c r="M27" i="11"/>
  <c r="AL78" i="1"/>
  <c r="AL61" i="1"/>
  <c r="AQ28" i="10"/>
  <c r="AQ27" i="10"/>
  <c r="AP28" i="10"/>
  <c r="AP27" i="10"/>
  <c r="AM28" i="10"/>
  <c r="AM27" i="10"/>
  <c r="AL28" i="10"/>
  <c r="AL27" i="10"/>
  <c r="AI28" i="10"/>
  <c r="AI27" i="10"/>
  <c r="AH28" i="10"/>
  <c r="AH27" i="10"/>
  <c r="AE28" i="10"/>
  <c r="AE27" i="10"/>
  <c r="AD28" i="10"/>
  <c r="AD27" i="10"/>
  <c r="AA28" i="10"/>
  <c r="AA27" i="10"/>
  <c r="Z28" i="10"/>
  <c r="Z27" i="10"/>
  <c r="W28" i="10"/>
  <c r="W27" i="10"/>
  <c r="V28" i="10"/>
  <c r="V27" i="10"/>
  <c r="S28" i="10"/>
  <c r="S27" i="10"/>
  <c r="R28" i="10"/>
  <c r="R27" i="10"/>
  <c r="O28" i="10"/>
  <c r="O27" i="10"/>
  <c r="N28" i="10"/>
  <c r="N27" i="10"/>
  <c r="K28" i="10"/>
  <c r="K27" i="10"/>
  <c r="J28" i="10"/>
  <c r="J27" i="10"/>
  <c r="G28" i="10"/>
  <c r="G27" i="10"/>
  <c r="F28" i="10"/>
  <c r="F27" i="10"/>
  <c r="C28" i="10"/>
  <c r="C27" i="10"/>
  <c r="B28" i="10"/>
  <c r="B27" i="10"/>
  <c r="AQ14" i="10"/>
  <c r="AQ13" i="10"/>
  <c r="AR13" i="10" s="1"/>
  <c r="AQ12" i="10"/>
  <c r="AR12" i="10" s="1"/>
  <c r="AQ11" i="10"/>
  <c r="AQ10" i="10"/>
  <c r="AQ9" i="10"/>
  <c r="AQ8" i="10"/>
  <c r="AQ7" i="10"/>
  <c r="AQ6" i="10"/>
  <c r="AQ5" i="10"/>
  <c r="AQ18" i="10" s="1"/>
  <c r="AP14" i="10"/>
  <c r="AP13" i="10"/>
  <c r="AP12" i="10"/>
  <c r="AP11" i="10"/>
  <c r="AP10" i="10"/>
  <c r="AP9" i="10"/>
  <c r="AP8" i="10"/>
  <c r="AP7" i="10"/>
  <c r="AP6" i="10"/>
  <c r="AP5" i="10"/>
  <c r="AP18" i="10" s="1"/>
  <c r="AQ4" i="10"/>
  <c r="AP4" i="10"/>
  <c r="AP25" i="10"/>
  <c r="AR14" i="10"/>
  <c r="AR11" i="10"/>
  <c r="N46" i="12"/>
  <c r="C56" i="7"/>
  <c r="B56" i="7"/>
  <c r="J47" i="7"/>
  <c r="I47" i="7"/>
  <c r="C47" i="7"/>
  <c r="B47" i="7"/>
  <c r="J42" i="7"/>
  <c r="C42" i="7"/>
  <c r="B42" i="7"/>
  <c r="C37" i="7"/>
  <c r="B37" i="7"/>
  <c r="J31" i="7"/>
  <c r="I31" i="7"/>
  <c r="C31" i="7"/>
  <c r="B31" i="7"/>
  <c r="J13" i="7"/>
  <c r="C13" i="7"/>
  <c r="B13" i="7"/>
  <c r="AR7" i="10" l="1"/>
  <c r="AR9" i="10"/>
  <c r="AR8" i="10"/>
  <c r="AR10" i="10"/>
  <c r="AR6" i="10"/>
  <c r="AR5" i="10"/>
  <c r="AQ30" i="10"/>
  <c r="AR4" i="10"/>
  <c r="AR18" i="10" s="1"/>
  <c r="AR20" i="10" s="1"/>
  <c r="AR27" i="10"/>
  <c r="AR28" i="10"/>
  <c r="L27" i="11"/>
  <c r="L52" i="11"/>
  <c r="AR30" i="10" l="1"/>
  <c r="AP30" i="10"/>
  <c r="F13" i="13" l="1"/>
  <c r="AM14" i="10"/>
  <c r="AM13" i="10"/>
  <c r="AM12" i="10"/>
  <c r="AM11" i="10"/>
  <c r="AM10" i="10"/>
  <c r="AN10" i="10" s="1"/>
  <c r="AM9" i="10"/>
  <c r="AM8" i="10"/>
  <c r="AM7" i="10"/>
  <c r="AM6" i="10"/>
  <c r="AM5" i="10"/>
  <c r="AM4" i="10"/>
  <c r="AM18" i="10" s="1"/>
  <c r="AL14" i="10"/>
  <c r="AL13" i="10"/>
  <c r="AL12" i="10"/>
  <c r="AL11" i="10"/>
  <c r="AL10" i="10"/>
  <c r="AL9" i="10"/>
  <c r="AL8" i="10"/>
  <c r="AL7" i="10"/>
  <c r="AL6" i="10"/>
  <c r="AL5" i="10"/>
  <c r="AL4" i="10"/>
  <c r="AL25" i="10"/>
  <c r="AN14" i="10"/>
  <c r="AN13" i="10"/>
  <c r="AN12" i="10"/>
  <c r="AN11" i="10"/>
  <c r="K28" i="11"/>
  <c r="K45" i="11"/>
  <c r="K59" i="11" s="1"/>
  <c r="L45" i="11"/>
  <c r="K7" i="11"/>
  <c r="K24" i="11"/>
  <c r="N24" i="11"/>
  <c r="L24" i="11"/>
  <c r="AN27" i="10" l="1"/>
  <c r="AN4" i="10"/>
  <c r="AN5" i="10"/>
  <c r="AN9" i="10"/>
  <c r="AN6" i="10"/>
  <c r="AN7" i="10"/>
  <c r="AN8" i="10"/>
  <c r="AN18" i="10"/>
  <c r="AN20" i="10" s="1"/>
  <c r="AM30" i="10"/>
  <c r="AN28" i="10"/>
  <c r="AL18" i="10"/>
  <c r="AL30" i="10" l="1"/>
  <c r="AN30" i="10"/>
  <c r="AL305" i="1" l="1"/>
  <c r="AQ305" i="1" s="1"/>
  <c r="AL101" i="1"/>
  <c r="D26" i="7"/>
  <c r="D25" i="7"/>
  <c r="AD328" i="1" l="1"/>
  <c r="AL102" i="1" l="1"/>
  <c r="I33" i="11"/>
  <c r="K60" i="11"/>
  <c r="L60" i="11"/>
  <c r="M60" i="11"/>
  <c r="N60" i="11"/>
  <c r="O17" i="11"/>
  <c r="O34" i="11"/>
  <c r="O31" i="11"/>
  <c r="K51" i="11"/>
  <c r="K18" i="11"/>
  <c r="O18" i="11" s="1"/>
  <c r="K25" i="11"/>
  <c r="J45" i="11"/>
  <c r="I16" i="7" l="1"/>
  <c r="AL233" i="1"/>
  <c r="AK324" i="1"/>
  <c r="AJ324" i="1"/>
  <c r="AI324" i="1"/>
  <c r="AH324" i="1"/>
  <c r="AG324" i="1"/>
  <c r="AF324" i="1"/>
  <c r="AE324" i="1"/>
  <c r="AD324" i="1"/>
  <c r="AC324" i="1"/>
  <c r="AB324" i="1"/>
  <c r="AA324" i="1"/>
  <c r="Z324" i="1"/>
  <c r="Y324" i="1"/>
  <c r="X324" i="1"/>
  <c r="W324" i="1"/>
  <c r="V324" i="1"/>
  <c r="U324" i="1"/>
  <c r="T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Q13" i="12"/>
  <c r="Q12" i="12"/>
  <c r="Q14" i="12"/>
  <c r="P14" i="12"/>
  <c r="O14" i="12"/>
  <c r="N14" i="12"/>
  <c r="M14" i="12"/>
  <c r="L14" i="12"/>
  <c r="K14" i="12"/>
  <c r="J14" i="12"/>
  <c r="I14" i="12"/>
  <c r="H14" i="12"/>
  <c r="G14" i="12"/>
  <c r="F14" i="12"/>
  <c r="E14" i="12"/>
  <c r="AI14" i="10"/>
  <c r="AH14" i="10"/>
  <c r="AI13" i="10"/>
  <c r="AH13" i="10"/>
  <c r="AJ13" i="10" s="1"/>
  <c r="AI12" i="10"/>
  <c r="AH12" i="10"/>
  <c r="AI11" i="10"/>
  <c r="AH11" i="10"/>
  <c r="AI10" i="10"/>
  <c r="AH10" i="10"/>
  <c r="AH9" i="10"/>
  <c r="AI9" i="10"/>
  <c r="AH6" i="10"/>
  <c r="AI6" i="10"/>
  <c r="AH7" i="10"/>
  <c r="AI7" i="10"/>
  <c r="AH8" i="10"/>
  <c r="AI8" i="10"/>
  <c r="AI5" i="10"/>
  <c r="AH5" i="10"/>
  <c r="AI4" i="10"/>
  <c r="AH4" i="10"/>
  <c r="AH25" i="10"/>
  <c r="AJ4" i="10" l="1"/>
  <c r="AJ12" i="10"/>
  <c r="AJ10" i="10"/>
  <c r="AJ7" i="10"/>
  <c r="AJ6" i="10"/>
  <c r="AJ14" i="10"/>
  <c r="AJ5" i="10"/>
  <c r="AJ11" i="10"/>
  <c r="AJ9" i="10"/>
  <c r="AJ28" i="10"/>
  <c r="AI18" i="10"/>
  <c r="AH30" i="10"/>
  <c r="AI30" i="10"/>
  <c r="AH18" i="10"/>
  <c r="AJ8" i="10"/>
  <c r="AJ27" i="10"/>
  <c r="AJ18" i="10" l="1"/>
  <c r="AJ20" i="10" s="1"/>
  <c r="AJ30" i="10"/>
  <c r="AD14" i="10" l="1"/>
  <c r="AD13" i="10"/>
  <c r="AD12" i="10"/>
  <c r="AD11" i="10"/>
  <c r="AD10" i="10"/>
  <c r="AD9" i="10"/>
  <c r="AD8" i="10"/>
  <c r="AD7" i="10"/>
  <c r="AD6" i="10"/>
  <c r="AD5" i="10"/>
  <c r="AD4" i="10"/>
  <c r="AE14" i="10"/>
  <c r="AE13" i="10"/>
  <c r="AE12" i="10"/>
  <c r="AE11" i="10"/>
  <c r="AE10" i="10"/>
  <c r="AE9" i="10"/>
  <c r="AE8" i="10"/>
  <c r="AE7" i="10"/>
  <c r="AE6" i="10"/>
  <c r="AE5" i="10"/>
  <c r="AE4" i="10"/>
  <c r="Z14" i="10"/>
  <c r="Z13" i="10"/>
  <c r="Z12" i="10"/>
  <c r="Z11" i="10"/>
  <c r="Z10" i="10"/>
  <c r="Z9" i="10"/>
  <c r="Z8" i="10"/>
  <c r="Z7" i="10"/>
  <c r="Z6" i="10"/>
  <c r="Z5" i="10"/>
  <c r="Z4" i="10"/>
  <c r="AA14" i="10"/>
  <c r="AA13" i="10"/>
  <c r="AA12" i="10"/>
  <c r="AA11" i="10"/>
  <c r="AA10" i="10"/>
  <c r="AA9" i="10"/>
  <c r="AA8" i="10"/>
  <c r="AA7" i="10"/>
  <c r="AA6" i="10"/>
  <c r="AA5" i="10"/>
  <c r="AA4" i="10"/>
  <c r="W14" i="10"/>
  <c r="W13" i="10"/>
  <c r="W12" i="10"/>
  <c r="W11" i="10"/>
  <c r="W10" i="10"/>
  <c r="W9" i="10"/>
  <c r="W8" i="10"/>
  <c r="W7" i="10"/>
  <c r="W6" i="10"/>
  <c r="W5" i="10"/>
  <c r="W4" i="10"/>
  <c r="V14" i="10"/>
  <c r="V13" i="10"/>
  <c r="V12" i="10"/>
  <c r="V11" i="10"/>
  <c r="V10" i="10"/>
  <c r="V9" i="10"/>
  <c r="V8" i="10"/>
  <c r="V7" i="10"/>
  <c r="V6" i="10"/>
  <c r="V5" i="10"/>
  <c r="V4" i="10"/>
  <c r="R14" i="10"/>
  <c r="R13" i="10"/>
  <c r="R12" i="10"/>
  <c r="R11" i="10"/>
  <c r="R10" i="10"/>
  <c r="R9" i="10"/>
  <c r="R8" i="10"/>
  <c r="R7" i="10"/>
  <c r="R6" i="10"/>
  <c r="R5" i="10"/>
  <c r="R4" i="10"/>
  <c r="S14" i="10"/>
  <c r="S13" i="10"/>
  <c r="S12" i="10"/>
  <c r="S11" i="10"/>
  <c r="S10" i="10"/>
  <c r="S9" i="10"/>
  <c r="S8" i="10"/>
  <c r="S7" i="10"/>
  <c r="S6" i="10"/>
  <c r="S5" i="10"/>
  <c r="S4" i="10"/>
  <c r="N14" i="10"/>
  <c r="N13" i="10"/>
  <c r="N12" i="10"/>
  <c r="N11" i="10"/>
  <c r="N10" i="10"/>
  <c r="N9" i="10"/>
  <c r="N8" i="10"/>
  <c r="N7" i="10"/>
  <c r="N6" i="10"/>
  <c r="N5" i="10"/>
  <c r="N4" i="10"/>
  <c r="O14" i="10"/>
  <c r="O13" i="10"/>
  <c r="O12" i="10"/>
  <c r="O11" i="10"/>
  <c r="O10" i="10"/>
  <c r="O9" i="10"/>
  <c r="O8" i="10"/>
  <c r="O7" i="10"/>
  <c r="O6" i="10"/>
  <c r="O5" i="10"/>
  <c r="O4" i="10"/>
  <c r="J14" i="10"/>
  <c r="J13" i="10"/>
  <c r="J12" i="10"/>
  <c r="J11" i="10"/>
  <c r="J10" i="10"/>
  <c r="J9" i="10"/>
  <c r="J8" i="10"/>
  <c r="J7" i="10"/>
  <c r="J6" i="10"/>
  <c r="J5" i="10"/>
  <c r="J4" i="10"/>
  <c r="K14" i="10"/>
  <c r="K13" i="10"/>
  <c r="K12" i="10"/>
  <c r="K11" i="10"/>
  <c r="K10" i="10"/>
  <c r="K9" i="10"/>
  <c r="K8" i="10"/>
  <c r="K7" i="10"/>
  <c r="K6" i="10"/>
  <c r="K5" i="10"/>
  <c r="K4" i="10"/>
  <c r="F14" i="10"/>
  <c r="F13" i="10"/>
  <c r="F12" i="10"/>
  <c r="F11" i="10"/>
  <c r="F10" i="10"/>
  <c r="F9" i="10"/>
  <c r="F8" i="10"/>
  <c r="F7" i="10"/>
  <c r="F6" i="10"/>
  <c r="F5" i="10"/>
  <c r="F4" i="10"/>
  <c r="G14" i="10"/>
  <c r="G13" i="10"/>
  <c r="G12" i="10"/>
  <c r="G11" i="10"/>
  <c r="G10" i="10"/>
  <c r="G9" i="10"/>
  <c r="G8" i="10"/>
  <c r="G7" i="10"/>
  <c r="G6" i="10"/>
  <c r="G5" i="10"/>
  <c r="G4" i="10"/>
  <c r="C14" i="10"/>
  <c r="C13" i="10"/>
  <c r="C12" i="10"/>
  <c r="C11" i="10"/>
  <c r="C10" i="10"/>
  <c r="C9" i="10"/>
  <c r="C8" i="10"/>
  <c r="C7" i="10"/>
  <c r="C6" i="10"/>
  <c r="C5" i="10"/>
  <c r="B14" i="10"/>
  <c r="B13" i="10"/>
  <c r="AT13" i="10" s="1"/>
  <c r="B12" i="10"/>
  <c r="AT12" i="10" s="1"/>
  <c r="B11" i="10"/>
  <c r="AT11" i="10" s="1"/>
  <c r="B10" i="10"/>
  <c r="B9" i="10"/>
  <c r="B8" i="10"/>
  <c r="B7" i="10"/>
  <c r="B6" i="10"/>
  <c r="B5" i="10"/>
  <c r="C4" i="10"/>
  <c r="B4" i="10"/>
  <c r="J60" i="11"/>
  <c r="AT5" i="10" l="1"/>
  <c r="AT14" i="10"/>
  <c r="AT7" i="10"/>
  <c r="AT8" i="10"/>
  <c r="AT9" i="10"/>
  <c r="AT4" i="10"/>
  <c r="AT6" i="10"/>
  <c r="AT10" i="10"/>
  <c r="AD30" i="10"/>
  <c r="AE30" i="10"/>
  <c r="C17" i="7" l="1"/>
  <c r="C16" i="7"/>
  <c r="C18" i="7"/>
  <c r="AF28" i="10" l="1"/>
  <c r="AF27" i="10"/>
  <c r="AF30" i="10" s="1"/>
  <c r="AE18" i="10"/>
  <c r="AD18" i="10"/>
  <c r="AF14" i="10"/>
  <c r="AF13" i="10"/>
  <c r="AF12" i="10"/>
  <c r="AF11" i="10"/>
  <c r="AF10" i="10"/>
  <c r="AF9" i="10"/>
  <c r="AF8" i="10"/>
  <c r="AF7" i="10"/>
  <c r="AF6" i="10"/>
  <c r="AF5" i="10"/>
  <c r="AF4" i="10"/>
  <c r="P46" i="12"/>
  <c r="O46" i="12"/>
  <c r="P40" i="12"/>
  <c r="O40" i="12"/>
  <c r="N40" i="12"/>
  <c r="M40" i="12"/>
  <c r="L40" i="12"/>
  <c r="K40" i="12"/>
  <c r="J40" i="12"/>
  <c r="I40" i="12"/>
  <c r="H40" i="12"/>
  <c r="G40" i="12"/>
  <c r="F40" i="12"/>
  <c r="E40" i="12"/>
  <c r="P39" i="12"/>
  <c r="O39" i="12"/>
  <c r="N39" i="12"/>
  <c r="M39" i="12"/>
  <c r="L39" i="12"/>
  <c r="K39" i="12"/>
  <c r="J39" i="12"/>
  <c r="I39" i="12"/>
  <c r="H39" i="12"/>
  <c r="G39" i="12"/>
  <c r="F39" i="12"/>
  <c r="E39" i="12"/>
  <c r="P38" i="12"/>
  <c r="O38" i="12"/>
  <c r="N38" i="12"/>
  <c r="M38" i="12"/>
  <c r="L38" i="12"/>
  <c r="K38" i="12"/>
  <c r="J38" i="12"/>
  <c r="I38" i="12"/>
  <c r="H38" i="12"/>
  <c r="G38" i="12"/>
  <c r="F38" i="12"/>
  <c r="E38" i="12"/>
  <c r="P37" i="12"/>
  <c r="O37" i="12"/>
  <c r="N37" i="12"/>
  <c r="M37" i="12"/>
  <c r="L37" i="12"/>
  <c r="K37" i="12"/>
  <c r="J37" i="12"/>
  <c r="I37" i="12"/>
  <c r="H37" i="12"/>
  <c r="G37" i="12"/>
  <c r="F37" i="12"/>
  <c r="E37" i="12"/>
  <c r="P35" i="12"/>
  <c r="P34" i="12"/>
  <c r="O35" i="12"/>
  <c r="O34" i="12"/>
  <c r="N34" i="12"/>
  <c r="N35" i="12"/>
  <c r="M35" i="12"/>
  <c r="M34" i="12"/>
  <c r="L35" i="12"/>
  <c r="L34" i="12"/>
  <c r="K35" i="12"/>
  <c r="K34" i="12"/>
  <c r="J35" i="12"/>
  <c r="J34" i="12"/>
  <c r="I34" i="12"/>
  <c r="I35" i="12"/>
  <c r="H35" i="12"/>
  <c r="H34" i="12"/>
  <c r="G34" i="12"/>
  <c r="G35" i="12"/>
  <c r="F35" i="12"/>
  <c r="F34" i="12"/>
  <c r="E35" i="12"/>
  <c r="E34" i="12"/>
  <c r="P31" i="12"/>
  <c r="O31" i="12"/>
  <c r="N31" i="12"/>
  <c r="M31" i="12"/>
  <c r="K33" i="11" s="1"/>
  <c r="L31" i="12"/>
  <c r="K31" i="12"/>
  <c r="J31" i="12"/>
  <c r="I31" i="12"/>
  <c r="H31" i="12"/>
  <c r="G31" i="12"/>
  <c r="F31" i="12"/>
  <c r="E31" i="12"/>
  <c r="P29" i="12"/>
  <c r="O29" i="12"/>
  <c r="N29" i="12"/>
  <c r="M29" i="12"/>
  <c r="L29" i="12"/>
  <c r="K29" i="12"/>
  <c r="J29" i="12"/>
  <c r="I29" i="12"/>
  <c r="H29" i="12"/>
  <c r="G29" i="12"/>
  <c r="F29" i="12"/>
  <c r="E29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P26" i="12"/>
  <c r="O26" i="12"/>
  <c r="N26" i="12"/>
  <c r="M26" i="12"/>
  <c r="L26" i="12"/>
  <c r="K26" i="12"/>
  <c r="J26" i="12"/>
  <c r="I26" i="12"/>
  <c r="H26" i="12"/>
  <c r="G26" i="12"/>
  <c r="F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P30" i="12" s="1"/>
  <c r="O24" i="12"/>
  <c r="N24" i="12"/>
  <c r="M24" i="12"/>
  <c r="L24" i="12"/>
  <c r="K24" i="12"/>
  <c r="J24" i="12"/>
  <c r="I24" i="12"/>
  <c r="H24" i="12"/>
  <c r="G24" i="12"/>
  <c r="F24" i="12"/>
  <c r="E24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P18" i="12"/>
  <c r="O18" i="12"/>
  <c r="N18" i="12"/>
  <c r="M18" i="12"/>
  <c r="L18" i="12"/>
  <c r="K18" i="12"/>
  <c r="J18" i="12"/>
  <c r="I18" i="12"/>
  <c r="H18" i="12"/>
  <c r="H20" i="12" s="1"/>
  <c r="G18" i="12"/>
  <c r="G20" i="12" s="1"/>
  <c r="F18" i="12"/>
  <c r="E18" i="12"/>
  <c r="P15" i="12"/>
  <c r="P16" i="12" s="1"/>
  <c r="O15" i="12"/>
  <c r="O16" i="12" s="1"/>
  <c r="N15" i="12"/>
  <c r="N16" i="12" s="1"/>
  <c r="M15" i="12"/>
  <c r="M16" i="12" s="1"/>
  <c r="L15" i="12"/>
  <c r="L16" i="12" s="1"/>
  <c r="K15" i="12"/>
  <c r="J15" i="12"/>
  <c r="I15" i="12"/>
  <c r="H15" i="12"/>
  <c r="G15" i="12"/>
  <c r="F15" i="12"/>
  <c r="E15" i="12"/>
  <c r="P8" i="12"/>
  <c r="N16" i="11" s="1"/>
  <c r="P7" i="12"/>
  <c r="O8" i="12"/>
  <c r="M16" i="11" s="1"/>
  <c r="O7" i="12"/>
  <c r="N8" i="12"/>
  <c r="L16" i="11" s="1"/>
  <c r="N7" i="12"/>
  <c r="M8" i="12"/>
  <c r="K16" i="11" s="1"/>
  <c r="M7" i="12"/>
  <c r="L8" i="12"/>
  <c r="J16" i="11" s="1"/>
  <c r="L7" i="12"/>
  <c r="P5" i="12"/>
  <c r="P4" i="12"/>
  <c r="P3" i="12"/>
  <c r="P6" i="12" s="1"/>
  <c r="O5" i="12"/>
  <c r="O4" i="12"/>
  <c r="O3" i="12"/>
  <c r="N5" i="12"/>
  <c r="N4" i="12"/>
  <c r="N3" i="12"/>
  <c r="M5" i="12"/>
  <c r="M4" i="12"/>
  <c r="M3" i="12"/>
  <c r="L5" i="12"/>
  <c r="L4" i="12"/>
  <c r="L3" i="12"/>
  <c r="J39" i="11" s="1"/>
  <c r="K46" i="12"/>
  <c r="J46" i="12"/>
  <c r="I46" i="12"/>
  <c r="H46" i="12"/>
  <c r="G46" i="12"/>
  <c r="F46" i="12"/>
  <c r="K8" i="12"/>
  <c r="I16" i="11" s="1"/>
  <c r="K7" i="12"/>
  <c r="J8" i="12"/>
  <c r="H16" i="11" s="1"/>
  <c r="J7" i="12"/>
  <c r="I8" i="12"/>
  <c r="G16" i="11" s="1"/>
  <c r="I7" i="12"/>
  <c r="H8" i="12"/>
  <c r="F16" i="11" s="1"/>
  <c r="H7" i="12"/>
  <c r="G8" i="12"/>
  <c r="E16" i="11" s="1"/>
  <c r="G7" i="12"/>
  <c r="F8" i="12"/>
  <c r="D16" i="11" s="1"/>
  <c r="F7" i="12"/>
  <c r="E8" i="12"/>
  <c r="C16" i="11" s="1"/>
  <c r="K5" i="12"/>
  <c r="K4" i="12"/>
  <c r="K3" i="12"/>
  <c r="J5" i="12"/>
  <c r="J4" i="12"/>
  <c r="J3" i="12"/>
  <c r="I5" i="12"/>
  <c r="I4" i="12"/>
  <c r="I3" i="12"/>
  <c r="H5" i="12"/>
  <c r="H4" i="12"/>
  <c r="H3" i="12"/>
  <c r="G5" i="12"/>
  <c r="G4" i="12"/>
  <c r="G3" i="12"/>
  <c r="F5" i="12"/>
  <c r="F4" i="12"/>
  <c r="F3" i="12"/>
  <c r="E5" i="12"/>
  <c r="E4" i="12"/>
  <c r="E3" i="12"/>
  <c r="P32" i="12" l="1"/>
  <c r="N32" i="11"/>
  <c r="H22" i="12"/>
  <c r="F27" i="11"/>
  <c r="G22" i="12"/>
  <c r="E27" i="11"/>
  <c r="M9" i="12"/>
  <c r="K20" i="12"/>
  <c r="N36" i="12"/>
  <c r="L8" i="11" s="1"/>
  <c r="F20" i="12"/>
  <c r="P41" i="12"/>
  <c r="N9" i="11" s="1"/>
  <c r="M20" i="12"/>
  <c r="L20" i="12"/>
  <c r="P9" i="12"/>
  <c r="P10" i="12" s="1"/>
  <c r="P20" i="12"/>
  <c r="P22" i="12" s="1"/>
  <c r="E20" i="12"/>
  <c r="Q26" i="12"/>
  <c r="N20" i="12"/>
  <c r="N22" i="12" s="1"/>
  <c r="I20" i="12"/>
  <c r="J20" i="12"/>
  <c r="N9" i="12"/>
  <c r="O20" i="12"/>
  <c r="O22" i="12" s="1"/>
  <c r="L36" i="12"/>
  <c r="J8" i="11" s="1"/>
  <c r="O9" i="12"/>
  <c r="Q29" i="12"/>
  <c r="N30" i="12"/>
  <c r="O30" i="12"/>
  <c r="O36" i="12"/>
  <c r="M8" i="11" s="1"/>
  <c r="N41" i="12"/>
  <c r="L9" i="11" s="1"/>
  <c r="Q3" i="12"/>
  <c r="M36" i="12"/>
  <c r="K8" i="11" s="1"/>
  <c r="L6" i="12"/>
  <c r="Q24" i="12"/>
  <c r="N6" i="12"/>
  <c r="O6" i="12"/>
  <c r="L30" i="12"/>
  <c r="Q19" i="12"/>
  <c r="M41" i="12"/>
  <c r="K9" i="11" s="1"/>
  <c r="M30" i="12"/>
  <c r="Q15" i="12"/>
  <c r="C48" i="7"/>
  <c r="C43" i="7"/>
  <c r="L41" i="12"/>
  <c r="J9" i="11" s="1"/>
  <c r="Q38" i="12"/>
  <c r="Q25" i="12"/>
  <c r="AF18" i="10"/>
  <c r="AF20" i="10" s="1"/>
  <c r="Q39" i="12"/>
  <c r="O41" i="12"/>
  <c r="Q37" i="12"/>
  <c r="P36" i="12"/>
  <c r="Q34" i="12"/>
  <c r="Q35" i="12"/>
  <c r="Q28" i="12"/>
  <c r="Q27" i="12"/>
  <c r="Q18" i="12"/>
  <c r="Q8" i="12"/>
  <c r="L9" i="12"/>
  <c r="Q7" i="12"/>
  <c r="Q5" i="12"/>
  <c r="M6" i="12"/>
  <c r="M10" i="12" s="1"/>
  <c r="Q4" i="12"/>
  <c r="F22" i="12" l="1"/>
  <c r="D27" i="11"/>
  <c r="K22" i="12"/>
  <c r="I27" i="11"/>
  <c r="I22" i="12"/>
  <c r="G27" i="11"/>
  <c r="L32" i="12"/>
  <c r="J32" i="11"/>
  <c r="J62" i="11"/>
  <c r="J22" i="12"/>
  <c r="H27" i="11"/>
  <c r="E22" i="12"/>
  <c r="C27" i="11"/>
  <c r="O32" i="12"/>
  <c r="M32" i="11"/>
  <c r="M62" i="11" s="1"/>
  <c r="M22" i="12"/>
  <c r="K27" i="11"/>
  <c r="M32" i="12"/>
  <c r="K32" i="11"/>
  <c r="K62" i="11" s="1"/>
  <c r="N32" i="12"/>
  <c r="N44" i="12" s="1"/>
  <c r="N48" i="12" s="1"/>
  <c r="L32" i="11"/>
  <c r="L62" i="11" s="1"/>
  <c r="L22" i="12"/>
  <c r="J27" i="11"/>
  <c r="N10" i="12"/>
  <c r="Q20" i="12"/>
  <c r="Q22" i="12" s="1"/>
  <c r="L10" i="12"/>
  <c r="O10" i="12"/>
  <c r="N42" i="12"/>
  <c r="O42" i="12"/>
  <c r="O44" i="12" s="1"/>
  <c r="O48" i="12" s="1"/>
  <c r="M9" i="11"/>
  <c r="P42" i="12"/>
  <c r="P44" i="12" s="1"/>
  <c r="P48" i="12" s="1"/>
  <c r="N8" i="11"/>
  <c r="N62" i="11" s="1"/>
  <c r="M42" i="12"/>
  <c r="L42" i="12"/>
  <c r="O26" i="11"/>
  <c r="E60" i="11"/>
  <c r="H60" i="11"/>
  <c r="I60" i="11"/>
  <c r="D51" i="11"/>
  <c r="D60" i="11" s="1"/>
  <c r="E51" i="11"/>
  <c r="F51" i="11"/>
  <c r="F60" i="11" s="1"/>
  <c r="G51" i="11"/>
  <c r="G60" i="11" s="1"/>
  <c r="H51" i="11"/>
  <c r="I51" i="11"/>
  <c r="C51" i="11"/>
  <c r="C60" i="11" s="1"/>
  <c r="C15" i="11"/>
  <c r="C20" i="11" s="1"/>
  <c r="H15" i="11"/>
  <c r="E15" i="11"/>
  <c r="D15" i="11"/>
  <c r="D231" i="13"/>
  <c r="D195" i="13"/>
  <c r="D158" i="13"/>
  <c r="D102" i="13"/>
  <c r="D58" i="13"/>
  <c r="D67" i="13" s="1"/>
  <c r="D38" i="13"/>
  <c r="D32" i="13"/>
  <c r="D28" i="13"/>
  <c r="D13" i="13"/>
  <c r="L44" i="12" l="1"/>
  <c r="M44" i="12"/>
  <c r="D52" i="13"/>
  <c r="O16" i="11"/>
  <c r="J63" i="11"/>
  <c r="K63" i="11"/>
  <c r="L63" i="11"/>
  <c r="M63" i="11"/>
  <c r="N63" i="11"/>
  <c r="K15" i="11" l="1"/>
  <c r="K61" i="11" s="1"/>
  <c r="L15" i="11"/>
  <c r="L33" i="11" s="1"/>
  <c r="L61" i="11" s="1"/>
  <c r="M15" i="11"/>
  <c r="M33" i="11" s="1"/>
  <c r="M61" i="11" s="1"/>
  <c r="N15" i="11"/>
  <c r="N33" i="11" s="1"/>
  <c r="N61" i="11" s="1"/>
  <c r="O14" i="11"/>
  <c r="D40" i="11"/>
  <c r="E40" i="11"/>
  <c r="F40" i="11"/>
  <c r="G40" i="11"/>
  <c r="H40" i="11"/>
  <c r="I40" i="11"/>
  <c r="C40" i="11"/>
  <c r="L64" i="11"/>
  <c r="M64" i="11"/>
  <c r="N64" i="11"/>
  <c r="C64" i="11"/>
  <c r="C58" i="11"/>
  <c r="O58" i="11" s="1"/>
  <c r="I65" i="11"/>
  <c r="H65" i="11"/>
  <c r="G65" i="11"/>
  <c r="F65" i="11"/>
  <c r="E65" i="11"/>
  <c r="D65" i="11"/>
  <c r="O38" i="11"/>
  <c r="C47" i="11"/>
  <c r="D44" i="11" s="1"/>
  <c r="D52" i="11"/>
  <c r="D64" i="11" s="1"/>
  <c r="I54" i="11"/>
  <c r="H54" i="11"/>
  <c r="G54" i="11"/>
  <c r="F54" i="11"/>
  <c r="E54" i="11"/>
  <c r="D54" i="11"/>
  <c r="M53" i="11"/>
  <c r="H53" i="11"/>
  <c r="G53" i="11"/>
  <c r="F53" i="11"/>
  <c r="E53" i="11"/>
  <c r="D53" i="11"/>
  <c r="O50" i="11"/>
  <c r="M46" i="11"/>
  <c r="H46" i="11"/>
  <c r="G46" i="11"/>
  <c r="F46" i="11"/>
  <c r="E46" i="11"/>
  <c r="D46" i="11"/>
  <c r="O44" i="11"/>
  <c r="M25" i="11"/>
  <c r="H25" i="11"/>
  <c r="G25" i="11"/>
  <c r="F25" i="11"/>
  <c r="E25" i="11"/>
  <c r="D25" i="11"/>
  <c r="O23" i="11"/>
  <c r="O13" i="11"/>
  <c r="O6" i="11"/>
  <c r="D13" i="11" l="1"/>
  <c r="D20" i="11" s="1"/>
  <c r="O40" i="11"/>
  <c r="O53" i="11"/>
  <c r="O54" i="11"/>
  <c r="O65" i="11"/>
  <c r="D47" i="11"/>
  <c r="E44" i="11" s="1"/>
  <c r="E52" i="11"/>
  <c r="O46" i="11"/>
  <c r="O25" i="11"/>
  <c r="O19" i="11"/>
  <c r="E41" i="12"/>
  <c r="C9" i="11" s="1"/>
  <c r="F41" i="12"/>
  <c r="D9" i="11" s="1"/>
  <c r="G41" i="12"/>
  <c r="E9" i="11" s="1"/>
  <c r="H41" i="12"/>
  <c r="F9" i="11" s="1"/>
  <c r="I41" i="12"/>
  <c r="G9" i="11" s="1"/>
  <c r="J41" i="12"/>
  <c r="H9" i="11" s="1"/>
  <c r="K41" i="12"/>
  <c r="I9" i="11" s="1"/>
  <c r="Q40" i="12"/>
  <c r="H33" i="11"/>
  <c r="H61" i="11" s="1"/>
  <c r="F33" i="11"/>
  <c r="F61" i="11" s="1"/>
  <c r="E33" i="11"/>
  <c r="E61" i="11" s="1"/>
  <c r="D33" i="11"/>
  <c r="D61" i="11" s="1"/>
  <c r="F36" i="12"/>
  <c r="D8" i="11" s="1"/>
  <c r="D62" i="11" s="1"/>
  <c r="G36" i="12"/>
  <c r="E8" i="11" s="1"/>
  <c r="H36" i="12"/>
  <c r="F8" i="11" s="1"/>
  <c r="I36" i="12"/>
  <c r="G8" i="11" s="1"/>
  <c r="J36" i="12"/>
  <c r="H8" i="11" s="1"/>
  <c r="K36" i="12"/>
  <c r="I8" i="11" s="1"/>
  <c r="E36" i="12"/>
  <c r="C8" i="11" s="1"/>
  <c r="F30" i="12"/>
  <c r="D32" i="11" s="1"/>
  <c r="G30" i="12"/>
  <c r="E32" i="11" s="1"/>
  <c r="H30" i="12"/>
  <c r="F32" i="11" s="1"/>
  <c r="I30" i="12"/>
  <c r="G32" i="11" s="1"/>
  <c r="J30" i="12"/>
  <c r="H32" i="11" s="1"/>
  <c r="K30" i="12"/>
  <c r="I32" i="11" s="1"/>
  <c r="E30" i="12"/>
  <c r="C32" i="11" s="1"/>
  <c r="F6" i="12"/>
  <c r="D39" i="11" s="1"/>
  <c r="G6" i="12"/>
  <c r="E39" i="11" s="1"/>
  <c r="H6" i="12"/>
  <c r="F39" i="11" s="1"/>
  <c r="I6" i="12"/>
  <c r="G39" i="11" s="1"/>
  <c r="J6" i="12"/>
  <c r="H39" i="11" s="1"/>
  <c r="K6" i="12"/>
  <c r="I39" i="11" s="1"/>
  <c r="E6" i="12"/>
  <c r="C39" i="11" s="1"/>
  <c r="C41" i="11" s="1"/>
  <c r="F9" i="12"/>
  <c r="G9" i="12"/>
  <c r="H9" i="12"/>
  <c r="I9" i="12"/>
  <c r="J9" i="12"/>
  <c r="K9" i="12"/>
  <c r="E9" i="12"/>
  <c r="E16" i="12"/>
  <c r="F16" i="12"/>
  <c r="G16" i="12"/>
  <c r="H16" i="12"/>
  <c r="I16" i="12"/>
  <c r="G15" i="11" s="1"/>
  <c r="J16" i="12"/>
  <c r="K16" i="12"/>
  <c r="I15" i="11" s="1"/>
  <c r="C324" i="1"/>
  <c r="E46" i="12" s="1"/>
  <c r="L101" i="1"/>
  <c r="C62" i="11" l="1"/>
  <c r="G62" i="11"/>
  <c r="I62" i="11"/>
  <c r="F62" i="11"/>
  <c r="H62" i="11"/>
  <c r="E62" i="11"/>
  <c r="O32" i="11"/>
  <c r="C35" i="11"/>
  <c r="I63" i="11"/>
  <c r="D63" i="11"/>
  <c r="H63" i="11"/>
  <c r="O9" i="11"/>
  <c r="C33" i="11"/>
  <c r="Q31" i="12"/>
  <c r="I10" i="12"/>
  <c r="G32" i="12"/>
  <c r="K10" i="12"/>
  <c r="G63" i="11"/>
  <c r="C63" i="11"/>
  <c r="I61" i="11"/>
  <c r="E63" i="11"/>
  <c r="Q41" i="12"/>
  <c r="J10" i="12"/>
  <c r="H10" i="12"/>
  <c r="G10" i="12"/>
  <c r="O39" i="11"/>
  <c r="O41" i="11" s="1"/>
  <c r="F10" i="12"/>
  <c r="Q42" i="12"/>
  <c r="D38" i="11"/>
  <c r="O27" i="11"/>
  <c r="F63" i="11"/>
  <c r="E42" i="12"/>
  <c r="E10" i="12"/>
  <c r="G33" i="11"/>
  <c r="G61" i="11" s="1"/>
  <c r="H42" i="12"/>
  <c r="H32" i="12"/>
  <c r="K32" i="12"/>
  <c r="O51" i="11"/>
  <c r="O60" i="11"/>
  <c r="F52" i="11"/>
  <c r="E64" i="11"/>
  <c r="C55" i="11"/>
  <c r="D50" i="11" s="1"/>
  <c r="D55" i="11" s="1"/>
  <c r="E50" i="11" s="1"/>
  <c r="E55" i="11" s="1"/>
  <c r="F50" i="11" s="1"/>
  <c r="E47" i="11"/>
  <c r="F44" i="11" s="1"/>
  <c r="F47" i="11" s="1"/>
  <c r="G44" i="11" s="1"/>
  <c r="G47" i="11" s="1"/>
  <c r="O45" i="11"/>
  <c r="O47" i="11" s="1"/>
  <c r="G42" i="12"/>
  <c r="F42" i="12"/>
  <c r="J32" i="12"/>
  <c r="I32" i="12"/>
  <c r="F32" i="12"/>
  <c r="E32" i="12"/>
  <c r="I42" i="12"/>
  <c r="Q36" i="12"/>
  <c r="J42" i="12"/>
  <c r="K42" i="12"/>
  <c r="Q30" i="12"/>
  <c r="Q9" i="12"/>
  <c r="Q6" i="12"/>
  <c r="Q16" i="12"/>
  <c r="J15" i="11" s="1"/>
  <c r="J61" i="11" s="1"/>
  <c r="N42" i="7"/>
  <c r="N40" i="7" s="1"/>
  <c r="C61" i="11" l="1"/>
  <c r="O33" i="11"/>
  <c r="O35" i="11" s="1"/>
  <c r="D41" i="11"/>
  <c r="E38" i="11" s="1"/>
  <c r="F55" i="11"/>
  <c r="G50" i="11" s="1"/>
  <c r="D31" i="11"/>
  <c r="D35" i="11" s="1"/>
  <c r="G44" i="12"/>
  <c r="G48" i="12" s="1"/>
  <c r="I44" i="12"/>
  <c r="I48" i="12" s="1"/>
  <c r="Q10" i="12"/>
  <c r="H44" i="12"/>
  <c r="H48" i="12" s="1"/>
  <c r="E44" i="12"/>
  <c r="E48" i="12" s="1"/>
  <c r="O8" i="11"/>
  <c r="O62" i="11" s="1"/>
  <c r="J44" i="12"/>
  <c r="J48" i="12" s="1"/>
  <c r="Q32" i="12"/>
  <c r="G52" i="11"/>
  <c r="F64" i="11"/>
  <c r="H44" i="11"/>
  <c r="H47" i="11" s="1"/>
  <c r="F44" i="12"/>
  <c r="F48" i="12" s="1"/>
  <c r="K44" i="12"/>
  <c r="K48" i="12" s="1"/>
  <c r="AL241" i="1"/>
  <c r="AL242" i="1"/>
  <c r="AL243" i="1"/>
  <c r="AL244" i="1"/>
  <c r="AL245" i="1"/>
  <c r="E41" i="11" l="1"/>
  <c r="F38" i="11" s="1"/>
  <c r="Q44" i="12"/>
  <c r="Q48" i="12" s="1"/>
  <c r="H52" i="11"/>
  <c r="I52" i="11" s="1"/>
  <c r="J52" i="11" s="1"/>
  <c r="G64" i="11"/>
  <c r="G55" i="11"/>
  <c r="H50" i="11" s="1"/>
  <c r="I44" i="11"/>
  <c r="N17" i="7"/>
  <c r="N18" i="7"/>
  <c r="N16" i="7"/>
  <c r="L46" i="12"/>
  <c r="L48" i="12" s="1"/>
  <c r="Z326" i="1"/>
  <c r="M46" i="12"/>
  <c r="M48" i="12" s="1"/>
  <c r="AC326" i="1"/>
  <c r="AF326" i="1"/>
  <c r="AI326" i="1"/>
  <c r="AO324" i="1"/>
  <c r="F41" i="11" l="1"/>
  <c r="G38" i="11" s="1"/>
  <c r="H55" i="11"/>
  <c r="I50" i="11" s="1"/>
  <c r="H64" i="11"/>
  <c r="I47" i="11"/>
  <c r="J44" i="11" s="1"/>
  <c r="J47" i="11" s="1"/>
  <c r="K44" i="11" s="1"/>
  <c r="K47" i="11" s="1"/>
  <c r="N19" i="7"/>
  <c r="G41" i="11" l="1"/>
  <c r="H38" i="11" s="1"/>
  <c r="L44" i="11"/>
  <c r="L47" i="11" s="1"/>
  <c r="H41" i="11" l="1"/>
  <c r="I38" i="11" s="1"/>
  <c r="M44" i="11"/>
  <c r="M47" i="11" s="1"/>
  <c r="AA30" i="10"/>
  <c r="Z30" i="10"/>
  <c r="AB28" i="10"/>
  <c r="AB27" i="10"/>
  <c r="AA18" i="10"/>
  <c r="Z18" i="10"/>
  <c r="AB14" i="10"/>
  <c r="AB13" i="10"/>
  <c r="AB12" i="10"/>
  <c r="AB11" i="10"/>
  <c r="AB10" i="10"/>
  <c r="AB9" i="10"/>
  <c r="AB8" i="10"/>
  <c r="AB7" i="10"/>
  <c r="AB6" i="10"/>
  <c r="AB5" i="10"/>
  <c r="AB4" i="10"/>
  <c r="I41" i="11" l="1"/>
  <c r="J38" i="11" s="1"/>
  <c r="N44" i="11"/>
  <c r="N47" i="11" s="1"/>
  <c r="AB30" i="10"/>
  <c r="AB18" i="10"/>
  <c r="AB20" i="10" s="1"/>
  <c r="J41" i="11" l="1"/>
  <c r="K38" i="11" s="1"/>
  <c r="AL290" i="1"/>
  <c r="AL194" i="1"/>
  <c r="K41" i="11" l="1"/>
  <c r="L38" i="11" s="1"/>
  <c r="W30" i="10"/>
  <c r="V30" i="10"/>
  <c r="X28" i="10"/>
  <c r="X27" i="10"/>
  <c r="W18" i="10"/>
  <c r="V18" i="10"/>
  <c r="X14" i="10"/>
  <c r="X13" i="10"/>
  <c r="X12" i="10"/>
  <c r="X11" i="10"/>
  <c r="X10" i="10"/>
  <c r="X9" i="10"/>
  <c r="X8" i="10"/>
  <c r="X7" i="10"/>
  <c r="X6" i="10"/>
  <c r="X5" i="10"/>
  <c r="X4" i="10"/>
  <c r="L41" i="11" l="1"/>
  <c r="M38" i="11" s="1"/>
  <c r="X30" i="10"/>
  <c r="X18" i="10"/>
  <c r="X20" i="10" s="1"/>
  <c r="E42" i="7"/>
  <c r="C38" i="7"/>
  <c r="B38" i="7"/>
  <c r="E31" i="7"/>
  <c r="S30" i="10"/>
  <c r="R30" i="10"/>
  <c r="O30" i="10"/>
  <c r="N30" i="10"/>
  <c r="K30" i="10"/>
  <c r="J30" i="10"/>
  <c r="G30" i="10"/>
  <c r="F30" i="10"/>
  <c r="C30" i="10"/>
  <c r="B30" i="10"/>
  <c r="T28" i="10"/>
  <c r="P28" i="10"/>
  <c r="L28" i="10"/>
  <c r="H28" i="10"/>
  <c r="D28" i="10"/>
  <c r="T27" i="10"/>
  <c r="P27" i="10"/>
  <c r="L27" i="10"/>
  <c r="H27" i="10"/>
  <c r="D27" i="10"/>
  <c r="S18" i="10"/>
  <c r="R18" i="10"/>
  <c r="O18" i="10"/>
  <c r="N18" i="10"/>
  <c r="K18" i="10"/>
  <c r="J18" i="10"/>
  <c r="G18" i="10"/>
  <c r="F18" i="10"/>
  <c r="C18" i="10"/>
  <c r="B18" i="10"/>
  <c r="T14" i="10"/>
  <c r="P14" i="10"/>
  <c r="L14" i="10"/>
  <c r="H14" i="10"/>
  <c r="D14" i="10"/>
  <c r="T13" i="10"/>
  <c r="P13" i="10"/>
  <c r="L13" i="10"/>
  <c r="H13" i="10"/>
  <c r="D13" i="10"/>
  <c r="T12" i="10"/>
  <c r="P12" i="10"/>
  <c r="L12" i="10"/>
  <c r="H12" i="10"/>
  <c r="D12" i="10"/>
  <c r="T11" i="10"/>
  <c r="P11" i="10"/>
  <c r="L11" i="10"/>
  <c r="H11" i="10"/>
  <c r="D11" i="10"/>
  <c r="T10" i="10"/>
  <c r="P10" i="10"/>
  <c r="L10" i="10"/>
  <c r="H10" i="10"/>
  <c r="D10" i="10"/>
  <c r="T9" i="10"/>
  <c r="P9" i="10"/>
  <c r="L9" i="10"/>
  <c r="H9" i="10"/>
  <c r="D9" i="10"/>
  <c r="T8" i="10"/>
  <c r="P8" i="10"/>
  <c r="L8" i="10"/>
  <c r="H8" i="10"/>
  <c r="D8" i="10"/>
  <c r="T7" i="10"/>
  <c r="P7" i="10"/>
  <c r="L7" i="10"/>
  <c r="H7" i="10"/>
  <c r="D7" i="10"/>
  <c r="T6" i="10"/>
  <c r="P6" i="10"/>
  <c r="L6" i="10"/>
  <c r="H6" i="10"/>
  <c r="D6" i="10"/>
  <c r="T5" i="10"/>
  <c r="P5" i="10"/>
  <c r="L5" i="10"/>
  <c r="H5" i="10"/>
  <c r="D5" i="10"/>
  <c r="T4" i="10"/>
  <c r="P4" i="10"/>
  <c r="L4" i="10"/>
  <c r="H4" i="10"/>
  <c r="D4" i="10"/>
  <c r="B18" i="7"/>
  <c r="B17" i="7"/>
  <c r="B16" i="7"/>
  <c r="J66" i="7"/>
  <c r="I66" i="7"/>
  <c r="C57" i="7"/>
  <c r="N56" i="7"/>
  <c r="N57" i="7" s="1"/>
  <c r="B57" i="7"/>
  <c r="E55" i="7"/>
  <c r="D55" i="7"/>
  <c r="E54" i="7"/>
  <c r="D54" i="7"/>
  <c r="B48" i="7"/>
  <c r="N47" i="7"/>
  <c r="N48" i="7" s="1"/>
  <c r="E47" i="7"/>
  <c r="E46" i="7"/>
  <c r="D46" i="7"/>
  <c r="E45" i="7"/>
  <c r="D45" i="7"/>
  <c r="B43" i="7"/>
  <c r="N43" i="7"/>
  <c r="E41" i="7"/>
  <c r="D41" i="7"/>
  <c r="E40" i="7"/>
  <c r="D40" i="7"/>
  <c r="N37" i="7"/>
  <c r="E36" i="7"/>
  <c r="D36" i="7"/>
  <c r="E35" i="7"/>
  <c r="D35" i="7"/>
  <c r="E34" i="7"/>
  <c r="D34" i="7"/>
  <c r="C32" i="7"/>
  <c r="B32" i="7"/>
  <c r="N31" i="7"/>
  <c r="N32" i="7" s="1"/>
  <c r="E30" i="7"/>
  <c r="D30" i="7"/>
  <c r="E29" i="7"/>
  <c r="D29" i="7"/>
  <c r="N27" i="7"/>
  <c r="E26" i="7"/>
  <c r="J23" i="7"/>
  <c r="I23" i="7"/>
  <c r="B23" i="7"/>
  <c r="N13" i="7"/>
  <c r="N14" i="7" s="1"/>
  <c r="E11" i="7"/>
  <c r="D11" i="7"/>
  <c r="D10" i="7"/>
  <c r="E9" i="7"/>
  <c r="D9" i="7"/>
  <c r="E8" i="7"/>
  <c r="D8" i="7"/>
  <c r="E7" i="7"/>
  <c r="D7" i="7"/>
  <c r="E6" i="7"/>
  <c r="D6" i="7"/>
  <c r="M41" i="11" l="1"/>
  <c r="N38" i="11" s="1"/>
  <c r="N41" i="11" s="1"/>
  <c r="T18" i="10"/>
  <c r="T20" i="10" s="1"/>
  <c r="T30" i="10"/>
  <c r="B19" i="7"/>
  <c r="E16" i="7"/>
  <c r="D16" i="7"/>
  <c r="E17" i="7"/>
  <c r="D17" i="7"/>
  <c r="C19" i="7"/>
  <c r="E18" i="7"/>
  <c r="D18" i="7"/>
  <c r="E32" i="7"/>
  <c r="L18" i="10"/>
  <c r="L20" i="10" s="1"/>
  <c r="P30" i="10"/>
  <c r="D18" i="10"/>
  <c r="P18" i="10"/>
  <c r="P20" i="10" s="1"/>
  <c r="L30" i="10"/>
  <c r="D30" i="10"/>
  <c r="H30" i="10"/>
  <c r="H18" i="10"/>
  <c r="H20" i="10" s="1"/>
  <c r="N38" i="7"/>
  <c r="N59" i="7" s="1"/>
  <c r="N82" i="7"/>
  <c r="N21" i="7" s="1"/>
  <c r="E37" i="7"/>
  <c r="D37" i="7"/>
  <c r="E38" i="7"/>
  <c r="C82" i="7"/>
  <c r="B82" i="7"/>
  <c r="E48" i="7"/>
  <c r="E43" i="7"/>
  <c r="E57" i="7"/>
  <c r="D57" i="7"/>
  <c r="D32" i="7"/>
  <c r="E56" i="7"/>
  <c r="D56" i="7"/>
  <c r="D48" i="7"/>
  <c r="D31" i="7"/>
  <c r="D47" i="7"/>
  <c r="D42" i="7"/>
  <c r="D43" i="7" s="1"/>
  <c r="D38" i="7"/>
  <c r="AT18" i="10" l="1"/>
  <c r="D20" i="10"/>
  <c r="AT20" i="10"/>
  <c r="N61" i="7"/>
  <c r="E19" i="7"/>
  <c r="AL148" i="1" l="1"/>
  <c r="S150" i="1"/>
  <c r="R150" i="1"/>
  <c r="P176" i="1"/>
  <c r="P285" i="1"/>
  <c r="O117" i="1"/>
  <c r="O176" i="1" l="1"/>
  <c r="O285" i="1"/>
  <c r="O138" i="1"/>
  <c r="M285" i="1" l="1"/>
  <c r="L285" i="1"/>
  <c r="M176" i="1"/>
  <c r="L176" i="1"/>
  <c r="AL139" i="1"/>
  <c r="AM139" i="1"/>
  <c r="J176" i="1" l="1"/>
  <c r="J285" i="1"/>
  <c r="I176" i="1"/>
  <c r="I285" i="1"/>
  <c r="I217" i="1"/>
  <c r="AM126" i="1"/>
  <c r="G285" i="1"/>
  <c r="G176" i="1"/>
  <c r="F285" i="1"/>
  <c r="F217" i="1"/>
  <c r="F176" i="1"/>
  <c r="AM259" i="1"/>
  <c r="AL259" i="1"/>
  <c r="AK5" i="1" l="1"/>
  <c r="AJ5" i="1"/>
  <c r="N7" i="11" s="1"/>
  <c r="AH5" i="1"/>
  <c r="AG5" i="1"/>
  <c r="M7" i="11" s="1"/>
  <c r="AE5" i="1"/>
  <c r="AD5" i="1"/>
  <c r="L7" i="11" s="1"/>
  <c r="L59" i="11" s="1"/>
  <c r="AB5" i="1"/>
  <c r="AA5" i="1"/>
  <c r="Y5" i="1"/>
  <c r="X5" i="1"/>
  <c r="J7" i="11" s="1"/>
  <c r="V5" i="1"/>
  <c r="U5" i="1"/>
  <c r="I7" i="11" s="1"/>
  <c r="S5" i="1"/>
  <c r="R5" i="1"/>
  <c r="H7" i="11" s="1"/>
  <c r="P5" i="1"/>
  <c r="O5" i="1"/>
  <c r="G7" i="11" s="1"/>
  <c r="M5" i="1"/>
  <c r="L5" i="1"/>
  <c r="F7" i="11" s="1"/>
  <c r="J5" i="1"/>
  <c r="I5" i="1"/>
  <c r="E7" i="11" s="1"/>
  <c r="G5" i="1"/>
  <c r="F5" i="1"/>
  <c r="D7" i="11" s="1"/>
  <c r="D5" i="1"/>
  <c r="C5" i="1"/>
  <c r="C7" i="11" s="1"/>
  <c r="C10" i="11" s="1"/>
  <c r="D6" i="11" l="1"/>
  <c r="D10" i="11" s="1"/>
  <c r="E6" i="11" s="1"/>
  <c r="E10" i="11" s="1"/>
  <c r="F6" i="11" s="1"/>
  <c r="F10" i="11" s="1"/>
  <c r="G6" i="11" s="1"/>
  <c r="G10" i="11" s="1"/>
  <c r="H6" i="11" s="1"/>
  <c r="H10" i="11" s="1"/>
  <c r="I6" i="11" s="1"/>
  <c r="I10" i="11" s="1"/>
  <c r="J6" i="11" s="1"/>
  <c r="J10" i="11"/>
  <c r="K6" i="11"/>
  <c r="AL313" i="1"/>
  <c r="AM313" i="1"/>
  <c r="D176" i="1"/>
  <c r="C176" i="1"/>
  <c r="D285" i="1"/>
  <c r="AL65" i="1"/>
  <c r="AM65" i="1"/>
  <c r="AL294" i="1" l="1"/>
  <c r="AM294" i="1"/>
  <c r="AL295" i="1"/>
  <c r="AM295" i="1"/>
  <c r="AO285" i="1"/>
  <c r="AL266" i="1"/>
  <c r="AM266" i="1"/>
  <c r="AL225" i="1"/>
  <c r="AM225" i="1"/>
  <c r="AM218" i="1"/>
  <c r="AL218" i="1"/>
  <c r="AL206" i="1"/>
  <c r="AQ206" i="1" s="1"/>
  <c r="AM206" i="1"/>
  <c r="AL207" i="1"/>
  <c r="AM207" i="1"/>
  <c r="AL208" i="1"/>
  <c r="AM208" i="1"/>
  <c r="AL209" i="1"/>
  <c r="AM209" i="1"/>
  <c r="AL210" i="1"/>
  <c r="AM210" i="1"/>
  <c r="AL197" i="1"/>
  <c r="AM197" i="1"/>
  <c r="AO176" i="1"/>
  <c r="AL159" i="1"/>
  <c r="AM159" i="1"/>
  <c r="AL153" i="1"/>
  <c r="AM153" i="1"/>
  <c r="AL126" i="1"/>
  <c r="AO5" i="1"/>
  <c r="AL234" i="1"/>
  <c r="AM66" i="1"/>
  <c r="AL66" i="1"/>
  <c r="AM64" i="1"/>
  <c r="AL64" i="1"/>
  <c r="AM63" i="1"/>
  <c r="AL63" i="1"/>
  <c r="AM62" i="1"/>
  <c r="AL62" i="1"/>
  <c r="AM61" i="1"/>
  <c r="AM60" i="1"/>
  <c r="AL60" i="1"/>
  <c r="AL121" i="1"/>
  <c r="AQ225" i="1" l="1"/>
  <c r="AQ218" i="1"/>
  <c r="AQ210" i="1"/>
  <c r="AQ209" i="1"/>
  <c r="AQ208" i="1"/>
  <c r="AQ207" i="1"/>
  <c r="AM130" i="1"/>
  <c r="AL130" i="1"/>
  <c r="AJ6" i="1"/>
  <c r="AK6" i="1"/>
  <c r="AJ7" i="1"/>
  <c r="AK7" i="1"/>
  <c r="AM315" i="1"/>
  <c r="AL315" i="1"/>
  <c r="AM314" i="1"/>
  <c r="AL314" i="1"/>
  <c r="AM312" i="1"/>
  <c r="AL312" i="1"/>
  <c r="AM311" i="1"/>
  <c r="AL311" i="1"/>
  <c r="AM310" i="1"/>
  <c r="AL310" i="1"/>
  <c r="AM309" i="1"/>
  <c r="AL309" i="1"/>
  <c r="AM308" i="1"/>
  <c r="AL308" i="1"/>
  <c r="AM307" i="1"/>
  <c r="AL307" i="1"/>
  <c r="AM306" i="1"/>
  <c r="AL306" i="1"/>
  <c r="AM305" i="1"/>
  <c r="AM304" i="1"/>
  <c r="AL304" i="1"/>
  <c r="AM303" i="1"/>
  <c r="AL303" i="1"/>
  <c r="AM302" i="1"/>
  <c r="AL302" i="1"/>
  <c r="AM301" i="1"/>
  <c r="AL301" i="1"/>
  <c r="AM300" i="1"/>
  <c r="AL300" i="1"/>
  <c r="AM299" i="1"/>
  <c r="AL299" i="1"/>
  <c r="AM298" i="1"/>
  <c r="AL298" i="1"/>
  <c r="AM297" i="1"/>
  <c r="AL297" i="1"/>
  <c r="AM296" i="1"/>
  <c r="AL296" i="1"/>
  <c r="AM293" i="1"/>
  <c r="AL293" i="1"/>
  <c r="AM292" i="1"/>
  <c r="AL292" i="1"/>
  <c r="AM291" i="1"/>
  <c r="AL291" i="1"/>
  <c r="AM290" i="1"/>
  <c r="AM283" i="1"/>
  <c r="AL283" i="1"/>
  <c r="AM282" i="1"/>
  <c r="AL282" i="1"/>
  <c r="AM281" i="1"/>
  <c r="AL281" i="1"/>
  <c r="AM280" i="1"/>
  <c r="AL280" i="1"/>
  <c r="AM279" i="1"/>
  <c r="AL279" i="1"/>
  <c r="AM278" i="1"/>
  <c r="AL278" i="1"/>
  <c r="AM277" i="1"/>
  <c r="AL277" i="1"/>
  <c r="AM276" i="1"/>
  <c r="AL276" i="1"/>
  <c r="AM275" i="1"/>
  <c r="AL275" i="1"/>
  <c r="AM274" i="1"/>
  <c r="AL274" i="1"/>
  <c r="AM273" i="1"/>
  <c r="AL273" i="1"/>
  <c r="AM272" i="1"/>
  <c r="AL272" i="1"/>
  <c r="AM271" i="1"/>
  <c r="AL271" i="1"/>
  <c r="AM270" i="1"/>
  <c r="AL270" i="1"/>
  <c r="AM269" i="1"/>
  <c r="AL269" i="1"/>
  <c r="AM268" i="1"/>
  <c r="AL268" i="1"/>
  <c r="AM267" i="1"/>
  <c r="AL267" i="1"/>
  <c r="AM265" i="1"/>
  <c r="AL265" i="1"/>
  <c r="AM261" i="1"/>
  <c r="AL261" i="1"/>
  <c r="AM260" i="1"/>
  <c r="AL260" i="1"/>
  <c r="AM258" i="1"/>
  <c r="AL258" i="1"/>
  <c r="AM257" i="1"/>
  <c r="AL257" i="1"/>
  <c r="AM256" i="1"/>
  <c r="AL256" i="1"/>
  <c r="AM255" i="1"/>
  <c r="AL255" i="1"/>
  <c r="AM254" i="1"/>
  <c r="AL254" i="1"/>
  <c r="AM253" i="1"/>
  <c r="AL253" i="1"/>
  <c r="AM248" i="1"/>
  <c r="AL248" i="1"/>
  <c r="AM247" i="1"/>
  <c r="AL247" i="1"/>
  <c r="AM246" i="1"/>
  <c r="AL246" i="1"/>
  <c r="AM245" i="1"/>
  <c r="AQ245" i="1" s="1"/>
  <c r="AM244" i="1"/>
  <c r="AQ244" i="1" s="1"/>
  <c r="AM243" i="1"/>
  <c r="AQ243" i="1" s="1"/>
  <c r="AM242" i="1"/>
  <c r="AQ242" i="1" s="1"/>
  <c r="AM241" i="1"/>
  <c r="AQ241" i="1" s="1"/>
  <c r="AM240" i="1"/>
  <c r="AL240" i="1"/>
  <c r="AM239" i="1"/>
  <c r="AL239" i="1"/>
  <c r="AQ239" i="1" s="1"/>
  <c r="AM238" i="1"/>
  <c r="AL238" i="1"/>
  <c r="AM237" i="1"/>
  <c r="AL237" i="1"/>
  <c r="AM236" i="1"/>
  <c r="AL236" i="1"/>
  <c r="AM235" i="1"/>
  <c r="AL235" i="1"/>
  <c r="AM234" i="1"/>
  <c r="AQ234" i="1" s="1"/>
  <c r="AM233" i="1"/>
  <c r="AQ233" i="1" s="1"/>
  <c r="AM232" i="1"/>
  <c r="AL232" i="1"/>
  <c r="AM231" i="1"/>
  <c r="AL231" i="1"/>
  <c r="AQ231" i="1" s="1"/>
  <c r="AM230" i="1"/>
  <c r="AL230" i="1"/>
  <c r="AM229" i="1"/>
  <c r="AL229" i="1"/>
  <c r="AM228" i="1"/>
  <c r="AL228" i="1"/>
  <c r="AM227" i="1"/>
  <c r="AL227" i="1"/>
  <c r="AM226" i="1"/>
  <c r="AL226" i="1"/>
  <c r="AM224" i="1"/>
  <c r="AL224" i="1"/>
  <c r="AM223" i="1"/>
  <c r="AL223" i="1"/>
  <c r="AM222" i="1"/>
  <c r="AL222" i="1"/>
  <c r="AM221" i="1"/>
  <c r="AL221" i="1"/>
  <c r="AM220" i="1"/>
  <c r="AL220" i="1"/>
  <c r="AM219" i="1"/>
  <c r="AL219" i="1"/>
  <c r="AM217" i="1"/>
  <c r="AL217" i="1"/>
  <c r="AM216" i="1"/>
  <c r="AL216" i="1"/>
  <c r="AM215" i="1"/>
  <c r="AL215" i="1"/>
  <c r="AM214" i="1"/>
  <c r="AL214" i="1"/>
  <c r="AM213" i="1"/>
  <c r="AL213" i="1"/>
  <c r="AM212" i="1"/>
  <c r="AL212" i="1"/>
  <c r="AM211" i="1"/>
  <c r="AL211" i="1"/>
  <c r="AM199" i="1"/>
  <c r="AL199" i="1"/>
  <c r="AM198" i="1"/>
  <c r="AL198" i="1"/>
  <c r="AM196" i="1"/>
  <c r="AL196" i="1"/>
  <c r="AM195" i="1"/>
  <c r="AL195" i="1"/>
  <c r="AM194" i="1"/>
  <c r="AM190" i="1"/>
  <c r="AL190" i="1"/>
  <c r="AM189" i="1"/>
  <c r="AL189" i="1"/>
  <c r="AM188" i="1"/>
  <c r="AL188" i="1"/>
  <c r="AM187" i="1"/>
  <c r="AL187" i="1"/>
  <c r="AM186" i="1"/>
  <c r="AL186" i="1"/>
  <c r="AM185" i="1"/>
  <c r="AL185" i="1"/>
  <c r="AM184" i="1"/>
  <c r="AL184" i="1"/>
  <c r="AM183" i="1"/>
  <c r="AL183" i="1"/>
  <c r="AM182" i="1"/>
  <c r="AL182" i="1"/>
  <c r="AM181" i="1"/>
  <c r="AL181" i="1"/>
  <c r="AM180" i="1"/>
  <c r="AL180" i="1"/>
  <c r="AM179" i="1"/>
  <c r="AL179" i="1"/>
  <c r="AM178" i="1"/>
  <c r="AL178" i="1"/>
  <c r="AM174" i="1"/>
  <c r="AL174" i="1"/>
  <c r="AM173" i="1"/>
  <c r="AL173" i="1"/>
  <c r="AM172" i="1"/>
  <c r="AL172" i="1"/>
  <c r="AM171" i="1"/>
  <c r="AL171" i="1"/>
  <c r="AM170" i="1"/>
  <c r="AL170" i="1"/>
  <c r="AM169" i="1"/>
  <c r="AL169" i="1"/>
  <c r="AM168" i="1"/>
  <c r="AL168" i="1"/>
  <c r="AM167" i="1"/>
  <c r="AL167" i="1"/>
  <c r="AM166" i="1"/>
  <c r="AL166" i="1"/>
  <c r="AM165" i="1"/>
  <c r="AL165" i="1"/>
  <c r="AM164" i="1"/>
  <c r="AL164" i="1"/>
  <c r="AM163" i="1"/>
  <c r="AL163" i="1"/>
  <c r="AM162" i="1"/>
  <c r="AL162" i="1"/>
  <c r="AM161" i="1"/>
  <c r="AL161" i="1"/>
  <c r="AM160" i="1"/>
  <c r="AL160" i="1"/>
  <c r="AM158" i="1"/>
  <c r="AL158" i="1"/>
  <c r="AM157" i="1"/>
  <c r="AL157" i="1"/>
  <c r="AM156" i="1"/>
  <c r="AL156" i="1"/>
  <c r="AM155" i="1"/>
  <c r="AL155" i="1"/>
  <c r="AM154" i="1"/>
  <c r="AL154" i="1"/>
  <c r="AM152" i="1"/>
  <c r="AL152" i="1"/>
  <c r="AM148" i="1"/>
  <c r="AM147" i="1"/>
  <c r="AL147" i="1"/>
  <c r="AM146" i="1"/>
  <c r="AL146" i="1"/>
  <c r="AM145" i="1"/>
  <c r="AL145" i="1"/>
  <c r="AM144" i="1"/>
  <c r="AL144" i="1"/>
  <c r="AM143" i="1"/>
  <c r="AL143" i="1"/>
  <c r="AM142" i="1"/>
  <c r="AL142" i="1"/>
  <c r="AM141" i="1"/>
  <c r="AL141" i="1"/>
  <c r="AM140" i="1"/>
  <c r="AL140" i="1"/>
  <c r="AM138" i="1"/>
  <c r="AL138" i="1"/>
  <c r="AM137" i="1"/>
  <c r="AL137" i="1"/>
  <c r="AM136" i="1"/>
  <c r="AL136" i="1"/>
  <c r="AM135" i="1"/>
  <c r="AL135" i="1"/>
  <c r="AM134" i="1"/>
  <c r="AL134" i="1"/>
  <c r="AM133" i="1"/>
  <c r="AL133" i="1"/>
  <c r="AM132" i="1"/>
  <c r="AL132" i="1"/>
  <c r="AM131" i="1"/>
  <c r="AL131" i="1"/>
  <c r="AM129" i="1"/>
  <c r="AL129" i="1"/>
  <c r="AM128" i="1"/>
  <c r="AL128" i="1"/>
  <c r="AM127" i="1"/>
  <c r="AL127" i="1"/>
  <c r="AM125" i="1"/>
  <c r="AL125" i="1"/>
  <c r="AM121" i="1"/>
  <c r="AM120" i="1"/>
  <c r="AL120" i="1"/>
  <c r="AM119" i="1"/>
  <c r="AL119" i="1"/>
  <c r="AM118" i="1"/>
  <c r="AL118" i="1"/>
  <c r="AM117" i="1"/>
  <c r="AM116" i="1"/>
  <c r="AL116" i="1"/>
  <c r="AM115" i="1"/>
  <c r="AL115" i="1"/>
  <c r="AM114" i="1"/>
  <c r="AL114" i="1"/>
  <c r="AM113" i="1"/>
  <c r="AL113" i="1"/>
  <c r="AM112" i="1"/>
  <c r="AL112" i="1"/>
  <c r="AM111" i="1"/>
  <c r="AL111" i="1"/>
  <c r="AM110" i="1"/>
  <c r="AL110" i="1"/>
  <c r="AM109" i="1"/>
  <c r="AL109" i="1"/>
  <c r="AM108" i="1"/>
  <c r="AL108" i="1"/>
  <c r="AM107" i="1"/>
  <c r="AL107" i="1"/>
  <c r="AM106" i="1"/>
  <c r="AL106" i="1"/>
  <c r="AM105" i="1"/>
  <c r="AL105" i="1"/>
  <c r="AM104" i="1"/>
  <c r="AM103" i="1"/>
  <c r="AL103" i="1"/>
  <c r="AM102" i="1"/>
  <c r="AM101" i="1"/>
  <c r="AM93" i="1"/>
  <c r="AL93" i="1"/>
  <c r="AM92" i="1"/>
  <c r="AL92" i="1"/>
  <c r="AM91" i="1"/>
  <c r="AL91" i="1"/>
  <c r="AM90" i="1"/>
  <c r="AL90" i="1"/>
  <c r="AM85" i="1"/>
  <c r="AL85" i="1"/>
  <c r="AM84" i="1"/>
  <c r="AL84" i="1"/>
  <c r="AM79" i="1"/>
  <c r="AL79" i="1"/>
  <c r="AM78" i="1"/>
  <c r="AM73" i="1"/>
  <c r="AL73" i="1"/>
  <c r="AM72" i="1"/>
  <c r="AL72" i="1"/>
  <c r="AM71" i="1"/>
  <c r="AL71" i="1"/>
  <c r="AM55" i="1"/>
  <c r="AL55" i="1"/>
  <c r="AM54" i="1"/>
  <c r="AL54" i="1"/>
  <c r="AM53" i="1"/>
  <c r="AL53" i="1"/>
  <c r="AM52" i="1"/>
  <c r="AL52" i="1"/>
  <c r="AM51" i="1"/>
  <c r="AL51" i="1"/>
  <c r="AM50" i="1"/>
  <c r="AL50" i="1"/>
  <c r="AM49" i="1"/>
  <c r="AL49" i="1"/>
  <c r="AM48" i="1"/>
  <c r="AL48" i="1"/>
  <c r="AM47" i="1"/>
  <c r="AL47" i="1"/>
  <c r="AM42" i="1"/>
  <c r="AL42" i="1"/>
  <c r="AM41" i="1"/>
  <c r="AM40" i="1"/>
  <c r="AL40" i="1"/>
  <c r="AM39" i="1"/>
  <c r="AL39" i="1"/>
  <c r="AM38" i="1"/>
  <c r="AL38" i="1"/>
  <c r="AM37" i="1"/>
  <c r="AL37" i="1"/>
  <c r="AM32" i="1"/>
  <c r="AL32" i="1"/>
  <c r="AM31" i="1"/>
  <c r="AL31" i="1"/>
  <c r="AM30" i="1"/>
  <c r="AL30" i="1"/>
  <c r="AM29" i="1"/>
  <c r="AL29" i="1"/>
  <c r="AM28" i="1"/>
  <c r="AL28" i="1"/>
  <c r="AM27" i="1"/>
  <c r="AL27" i="1"/>
  <c r="AM26" i="1"/>
  <c r="AL26" i="1"/>
  <c r="AM25" i="1"/>
  <c r="AM24" i="1"/>
  <c r="AL24" i="1"/>
  <c r="AM23" i="1"/>
  <c r="AM22" i="1"/>
  <c r="AL22" i="1"/>
  <c r="AL14" i="1"/>
  <c r="AM14" i="1"/>
  <c r="AL15" i="1"/>
  <c r="AM15" i="1"/>
  <c r="AL16" i="1"/>
  <c r="AM16" i="1"/>
  <c r="AL17" i="1"/>
  <c r="AM17" i="1"/>
  <c r="AM13" i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Q247" i="1" l="1"/>
  <c r="AQ246" i="1"/>
  <c r="AQ240" i="1"/>
  <c r="AQ238" i="1"/>
  <c r="AQ237" i="1"/>
  <c r="AQ236" i="1"/>
  <c r="AQ235" i="1"/>
  <c r="AQ232" i="1"/>
  <c r="AQ230" i="1"/>
  <c r="AQ229" i="1"/>
  <c r="AQ228" i="1"/>
  <c r="AQ227" i="1"/>
  <c r="AQ226" i="1"/>
  <c r="AQ224" i="1"/>
  <c r="AQ223" i="1"/>
  <c r="AQ222" i="1"/>
  <c r="AQ221" i="1"/>
  <c r="AQ220" i="1"/>
  <c r="AQ219" i="1"/>
  <c r="AQ217" i="1"/>
  <c r="AQ216" i="1"/>
  <c r="AQ215" i="1"/>
  <c r="AQ214" i="1"/>
  <c r="AQ213" i="1"/>
  <c r="AQ212" i="1"/>
  <c r="AQ211" i="1"/>
  <c r="AL250" i="1"/>
  <c r="AL98" i="1"/>
  <c r="AL324" i="1"/>
  <c r="P56" i="7"/>
  <c r="P55" i="7"/>
  <c r="L47" i="7"/>
  <c r="O46" i="7"/>
  <c r="L46" i="7"/>
  <c r="P46" i="7"/>
  <c r="K46" i="7"/>
  <c r="P45" i="7"/>
  <c r="P42" i="7"/>
  <c r="L42" i="7"/>
  <c r="O42" i="7"/>
  <c r="O41" i="7"/>
  <c r="O40" i="7"/>
  <c r="J38" i="7"/>
  <c r="O36" i="7"/>
  <c r="O35" i="7"/>
  <c r="P34" i="7"/>
  <c r="O31" i="7"/>
  <c r="L30" i="7"/>
  <c r="O29" i="7"/>
  <c r="L29" i="7"/>
  <c r="P29" i="7"/>
  <c r="K29" i="7"/>
  <c r="O26" i="7"/>
  <c r="AM324" i="1"/>
  <c r="J17" i="7"/>
  <c r="J65" i="7"/>
  <c r="I17" i="7"/>
  <c r="P11" i="7"/>
  <c r="O11" i="7"/>
  <c r="K11" i="7"/>
  <c r="L11" i="7"/>
  <c r="I65" i="7"/>
  <c r="L10" i="7"/>
  <c r="P10" i="7"/>
  <c r="K10" i="7"/>
  <c r="O10" i="7"/>
  <c r="J18" i="7"/>
  <c r="J70" i="7"/>
  <c r="J71" i="7" s="1"/>
  <c r="I18" i="7"/>
  <c r="K8" i="7"/>
  <c r="O8" i="7"/>
  <c r="L8" i="7"/>
  <c r="P8" i="7"/>
  <c r="I70" i="7"/>
  <c r="I71" i="7" s="1"/>
  <c r="P7" i="7"/>
  <c r="O7" i="7"/>
  <c r="L7" i="7"/>
  <c r="K7" i="7"/>
  <c r="J16" i="7"/>
  <c r="J64" i="7"/>
  <c r="I64" i="7"/>
  <c r="O6" i="7"/>
  <c r="L6" i="7"/>
  <c r="K6" i="7"/>
  <c r="P6" i="7"/>
  <c r="AK287" i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M24" i="11" s="1"/>
  <c r="M59" i="11" s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N59" i="11" s="1"/>
  <c r="O7" i="11" l="1"/>
  <c r="O10" i="11" s="1"/>
  <c r="K10" i="11"/>
  <c r="L6" i="11" s="1"/>
  <c r="L10" i="11" s="1"/>
  <c r="M6" i="11" s="1"/>
  <c r="M10" i="11" s="1"/>
  <c r="N6" i="11" s="1"/>
  <c r="N10" i="11" s="1"/>
  <c r="J67" i="7"/>
  <c r="I67" i="7"/>
  <c r="J48" i="7"/>
  <c r="K42" i="7"/>
  <c r="J43" i="7"/>
  <c r="P36" i="7"/>
  <c r="L36" i="7"/>
  <c r="P35" i="7"/>
  <c r="J19" i="7"/>
  <c r="O56" i="7"/>
  <c r="K56" i="7"/>
  <c r="J57" i="7"/>
  <c r="L56" i="7"/>
  <c r="O55" i="7"/>
  <c r="L55" i="7"/>
  <c r="K55" i="7"/>
  <c r="I57" i="7"/>
  <c r="P57" i="7" s="1"/>
  <c r="L54" i="7"/>
  <c r="K54" i="7"/>
  <c r="O54" i="7"/>
  <c r="P54" i="7"/>
  <c r="K47" i="7"/>
  <c r="O47" i="7"/>
  <c r="P47" i="7"/>
  <c r="K45" i="7"/>
  <c r="I48" i="7"/>
  <c r="O45" i="7"/>
  <c r="L45" i="7"/>
  <c r="K41" i="7"/>
  <c r="O43" i="7"/>
  <c r="L41" i="7"/>
  <c r="P41" i="7"/>
  <c r="I43" i="7"/>
  <c r="K40" i="7"/>
  <c r="L40" i="7"/>
  <c r="P40" i="7"/>
  <c r="K37" i="7"/>
  <c r="L37" i="7"/>
  <c r="O37" i="7"/>
  <c r="P37" i="7"/>
  <c r="K36" i="7"/>
  <c r="K35" i="7"/>
  <c r="L35" i="7"/>
  <c r="L34" i="7"/>
  <c r="K34" i="7"/>
  <c r="I38" i="7"/>
  <c r="O34" i="7"/>
  <c r="P31" i="7"/>
  <c r="K31" i="7"/>
  <c r="L31" i="7"/>
  <c r="J32" i="7"/>
  <c r="K30" i="7"/>
  <c r="I32" i="7"/>
  <c r="P32" i="7" s="1"/>
  <c r="O30" i="7"/>
  <c r="O32" i="7" s="1"/>
  <c r="P30" i="7"/>
  <c r="P26" i="7"/>
  <c r="K26" i="7"/>
  <c r="L26" i="7"/>
  <c r="L17" i="7"/>
  <c r="O17" i="7"/>
  <c r="K17" i="7"/>
  <c r="P17" i="7"/>
  <c r="P18" i="7"/>
  <c r="K18" i="7"/>
  <c r="O18" i="7"/>
  <c r="L18" i="7"/>
  <c r="L16" i="7"/>
  <c r="O16" i="7"/>
  <c r="I19" i="7"/>
  <c r="P16" i="7"/>
  <c r="K16" i="7"/>
  <c r="AK319" i="1"/>
  <c r="AJ319" i="1"/>
  <c r="AJ322" i="1" s="1"/>
  <c r="AJ326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L48" i="7" l="1"/>
  <c r="L43" i="7"/>
  <c r="K43" i="7"/>
  <c r="O19" i="7"/>
  <c r="L57" i="7"/>
  <c r="K57" i="7"/>
  <c r="O57" i="7"/>
  <c r="K48" i="7"/>
  <c r="O48" i="7"/>
  <c r="P48" i="7"/>
  <c r="P43" i="7"/>
  <c r="O38" i="7"/>
  <c r="K38" i="7"/>
  <c r="P38" i="7"/>
  <c r="L38" i="7"/>
  <c r="K32" i="7"/>
  <c r="L32" i="7"/>
  <c r="K19" i="7"/>
  <c r="AL329" i="1"/>
  <c r="P19" i="7"/>
  <c r="L19" i="7"/>
  <c r="AK322" i="1"/>
  <c r="AK326" i="1" s="1"/>
  <c r="AG319" i="1"/>
  <c r="AG322" i="1" s="1"/>
  <c r="AG326" i="1" s="1"/>
  <c r="AH319" i="1"/>
  <c r="AH322" i="1" s="1"/>
  <c r="AH326" i="1" s="1"/>
  <c r="AE319" i="1"/>
  <c r="AE322" i="1" s="1"/>
  <c r="AE326" i="1" s="1"/>
  <c r="AD319" i="1"/>
  <c r="AD322" i="1" s="1"/>
  <c r="AD326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C27" i="7" s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J24" i="11" s="1"/>
  <c r="AL104" i="1"/>
  <c r="U201" i="1"/>
  <c r="J59" i="11" l="1"/>
  <c r="D52" i="7"/>
  <c r="E52" i="7"/>
  <c r="C59" i="7"/>
  <c r="D50" i="7"/>
  <c r="E50" i="7"/>
  <c r="E25" i="7"/>
  <c r="B27" i="7"/>
  <c r="D13" i="7"/>
  <c r="C14" i="7"/>
  <c r="C21" i="7" s="1"/>
  <c r="E12" i="7"/>
  <c r="D12" i="7"/>
  <c r="AL285" i="1"/>
  <c r="AM285" i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I24" i="11" s="1"/>
  <c r="I59" i="11" s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H24" i="11" s="1"/>
  <c r="H59" i="11" s="1"/>
  <c r="P317" i="1"/>
  <c r="O317" i="1"/>
  <c r="P263" i="1"/>
  <c r="O263" i="1"/>
  <c r="P250" i="1"/>
  <c r="O250" i="1"/>
  <c r="P201" i="1"/>
  <c r="O201" i="1"/>
  <c r="P192" i="1"/>
  <c r="O192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G24" i="11" s="1"/>
  <c r="G59" i="11" s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F24" i="11" s="1"/>
  <c r="F59" i="11" s="1"/>
  <c r="C61" i="7" l="1"/>
  <c r="E27" i="7"/>
  <c r="B59" i="7"/>
  <c r="D59" i="7" s="1"/>
  <c r="D27" i="7"/>
  <c r="B14" i="7"/>
  <c r="E14" i="7" s="1"/>
  <c r="E13" i="7"/>
  <c r="D14" i="7"/>
  <c r="D19" i="7" s="1"/>
  <c r="D21" i="7" s="1"/>
  <c r="P12" i="7"/>
  <c r="O12" i="7"/>
  <c r="AA319" i="1"/>
  <c r="AA322" i="1" s="1"/>
  <c r="AA326" i="1" s="1"/>
  <c r="AB319" i="1"/>
  <c r="AB322" i="1" s="1"/>
  <c r="AB326" i="1" s="1"/>
  <c r="R123" i="1"/>
  <c r="R203" i="1" s="1"/>
  <c r="V9" i="1"/>
  <c r="Y319" i="1"/>
  <c r="Y322" i="1" s="1"/>
  <c r="Y326" i="1" s="1"/>
  <c r="X319" i="1"/>
  <c r="X322" i="1" s="1"/>
  <c r="X326" i="1" s="1"/>
  <c r="U9" i="1"/>
  <c r="V97" i="1"/>
  <c r="U97" i="1"/>
  <c r="V203" i="1"/>
  <c r="U203" i="1"/>
  <c r="U287" i="1"/>
  <c r="V287" i="1"/>
  <c r="S9" i="1"/>
  <c r="AL176" i="1"/>
  <c r="AM176" i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B21" i="7" l="1"/>
  <c r="B61" i="7" s="1"/>
  <c r="D61" i="7" s="1"/>
  <c r="U319" i="1"/>
  <c r="U322" i="1" s="1"/>
  <c r="U326" i="1" s="1"/>
  <c r="V319" i="1"/>
  <c r="V322" i="1" s="1"/>
  <c r="V326" i="1" s="1"/>
  <c r="R319" i="1"/>
  <c r="R322" i="1" s="1"/>
  <c r="R326" i="1" s="1"/>
  <c r="S319" i="1"/>
  <c r="S322" i="1" s="1"/>
  <c r="S326" i="1" s="1"/>
  <c r="O319" i="1"/>
  <c r="O322" i="1" s="1"/>
  <c r="O326" i="1" s="1"/>
  <c r="P319" i="1"/>
  <c r="P322" i="1" s="1"/>
  <c r="P326" i="1" s="1"/>
  <c r="M319" i="1"/>
  <c r="M322" i="1" s="1"/>
  <c r="M326" i="1" s="1"/>
  <c r="L319" i="1"/>
  <c r="L322" i="1" s="1"/>
  <c r="L326" i="1" s="1"/>
  <c r="E21" i="7" l="1"/>
  <c r="J317" i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E24" i="11" s="1"/>
  <c r="AL25" i="1"/>
  <c r="E59" i="11" l="1"/>
  <c r="J203" i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24" i="11" s="1"/>
  <c r="D59" i="11" s="1"/>
  <c r="D7" i="1"/>
  <c r="D6" i="1"/>
  <c r="C7" i="1"/>
  <c r="C6" i="1"/>
  <c r="C24" i="11" s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C28" i="11" l="1"/>
  <c r="C59" i="11"/>
  <c r="P9" i="7"/>
  <c r="L9" i="7"/>
  <c r="K9" i="7"/>
  <c r="O9" i="7"/>
  <c r="AM5" i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J326" i="1" s="1"/>
  <c r="I319" i="1"/>
  <c r="I322" i="1" s="1"/>
  <c r="I326" i="1" s="1"/>
  <c r="AM317" i="1"/>
  <c r="F9" i="1"/>
  <c r="AM87" i="1"/>
  <c r="AL68" i="1"/>
  <c r="AM250" i="1"/>
  <c r="C9" i="1"/>
  <c r="AM81" i="1"/>
  <c r="AM263" i="1"/>
  <c r="AL317" i="1"/>
  <c r="AL263" i="1"/>
  <c r="AL95" i="1"/>
  <c r="AM95" i="1"/>
  <c r="D9" i="1"/>
  <c r="AL87" i="1"/>
  <c r="AL81" i="1"/>
  <c r="AM44" i="1"/>
  <c r="AL34" i="1"/>
  <c r="AL57" i="1"/>
  <c r="AM34" i="1"/>
  <c r="AM57" i="1"/>
  <c r="AM150" i="1"/>
  <c r="AL19" i="1"/>
  <c r="AL192" i="1"/>
  <c r="G9" i="1"/>
  <c r="F97" i="1"/>
  <c r="AM192" i="1"/>
  <c r="AL75" i="1"/>
  <c r="G97" i="1"/>
  <c r="AL201" i="1"/>
  <c r="AL150" i="1"/>
  <c r="AM75" i="1"/>
  <c r="AM201" i="1"/>
  <c r="AL123" i="1"/>
  <c r="AM68" i="1"/>
  <c r="AM123" i="1"/>
  <c r="J27" i="7" s="1"/>
  <c r="AO150" i="1"/>
  <c r="AO57" i="1"/>
  <c r="AM19" i="1"/>
  <c r="D97" i="1"/>
  <c r="AO250" i="1"/>
  <c r="AO123" i="1"/>
  <c r="AO9" i="1"/>
  <c r="AO287" i="1"/>
  <c r="O24" i="11" l="1"/>
  <c r="O28" i="11" s="1"/>
  <c r="C66" i="11"/>
  <c r="D58" i="11" s="1"/>
  <c r="O59" i="11"/>
  <c r="AL97" i="1"/>
  <c r="D23" i="11"/>
  <c r="D28" i="11" s="1"/>
  <c r="E23" i="11" s="1"/>
  <c r="E28" i="11" s="1"/>
  <c r="F23" i="11" s="1"/>
  <c r="F28" i="11" s="1"/>
  <c r="G23" i="11" s="1"/>
  <c r="G28" i="11" s="1"/>
  <c r="H23" i="11" s="1"/>
  <c r="H28" i="11" s="1"/>
  <c r="I23" i="11" s="1"/>
  <c r="I28" i="11" s="1"/>
  <c r="J23" i="11" s="1"/>
  <c r="J28" i="11" s="1"/>
  <c r="K23" i="11" s="1"/>
  <c r="L23" i="11" s="1"/>
  <c r="L28" i="11" s="1"/>
  <c r="M23" i="11" s="1"/>
  <c r="M28" i="11" s="1"/>
  <c r="N23" i="11" s="1"/>
  <c r="N28" i="11" s="1"/>
  <c r="C67" i="11"/>
  <c r="K52" i="7"/>
  <c r="L52" i="7"/>
  <c r="P52" i="7"/>
  <c r="O52" i="7"/>
  <c r="J59" i="7"/>
  <c r="P50" i="7"/>
  <c r="L50" i="7"/>
  <c r="K50" i="7"/>
  <c r="O50" i="7"/>
  <c r="L25" i="7"/>
  <c r="K25" i="7"/>
  <c r="K27" i="7" s="1"/>
  <c r="P25" i="7"/>
  <c r="O25" i="7"/>
  <c r="O27" i="7" s="1"/>
  <c r="I27" i="7"/>
  <c r="I59" i="7" s="1"/>
  <c r="K13" i="7"/>
  <c r="P13" i="7"/>
  <c r="O13" i="7"/>
  <c r="O14" i="7" s="1"/>
  <c r="O21" i="7" s="1"/>
  <c r="I14" i="7"/>
  <c r="P14" i="7" s="1"/>
  <c r="K12" i="7"/>
  <c r="L12" i="7"/>
  <c r="AO97" i="1"/>
  <c r="AO203" i="1"/>
  <c r="AO319" i="1" s="1"/>
  <c r="AL287" i="1"/>
  <c r="AM287" i="1"/>
  <c r="AM203" i="1"/>
  <c r="F319" i="1"/>
  <c r="F322" i="1" s="1"/>
  <c r="F326" i="1" s="1"/>
  <c r="D319" i="1"/>
  <c r="D322" i="1" s="1"/>
  <c r="D326" i="1" s="1"/>
  <c r="AL9" i="1"/>
  <c r="G319" i="1"/>
  <c r="G322" i="1" s="1"/>
  <c r="G326" i="1" s="1"/>
  <c r="C319" i="1"/>
  <c r="C322" i="1" s="1"/>
  <c r="C326" i="1" s="1"/>
  <c r="AM9" i="1"/>
  <c r="AM97" i="1"/>
  <c r="AM98" i="1" l="1"/>
  <c r="AO98" i="1" s="1"/>
  <c r="L27" i="7"/>
  <c r="P27" i="7"/>
  <c r="J14" i="7"/>
  <c r="J21" i="7" s="1"/>
  <c r="J61" i="7" s="1"/>
  <c r="I21" i="7"/>
  <c r="L13" i="7"/>
  <c r="K14" i="7"/>
  <c r="K21" i="7" s="1"/>
  <c r="AO322" i="1"/>
  <c r="AO326" i="1" s="1"/>
  <c r="AM319" i="1"/>
  <c r="AL319" i="1"/>
  <c r="J74" i="7" l="1"/>
  <c r="P21" i="7"/>
  <c r="I61" i="7"/>
  <c r="L14" i="7"/>
  <c r="L21" i="7"/>
  <c r="O59" i="7"/>
  <c r="K59" i="7"/>
  <c r="K61" i="7" s="1"/>
  <c r="AM322" i="1"/>
  <c r="AM326" i="1" s="1"/>
  <c r="AL322" i="1"/>
  <c r="AL326" i="1" s="1"/>
  <c r="AL330" i="1" s="1"/>
  <c r="E31" i="11"/>
  <c r="O63" i="11"/>
  <c r="K64" i="11" l="1"/>
  <c r="E35" i="11"/>
  <c r="F31" i="11" s="1"/>
  <c r="AL331" i="1"/>
  <c r="J64" i="11"/>
  <c r="I55" i="11"/>
  <c r="J50" i="11" s="1"/>
  <c r="O61" i="7"/>
  <c r="I74" i="7"/>
  <c r="E13" i="11"/>
  <c r="E20" i="11" s="1"/>
  <c r="O15" i="11"/>
  <c r="O20" i="11" s="1"/>
  <c r="F35" i="11" l="1"/>
  <c r="G31" i="11" s="1"/>
  <c r="AL332" i="1"/>
  <c r="J55" i="11"/>
  <c r="K50" i="11" s="1"/>
  <c r="K55" i="11" s="1"/>
  <c r="L50" i="11" s="1"/>
  <c r="L55" i="11" s="1"/>
  <c r="M50" i="11" s="1"/>
  <c r="M55" i="11" s="1"/>
  <c r="N50" i="11" s="1"/>
  <c r="N55" i="11" s="1"/>
  <c r="O52" i="11"/>
  <c r="O55" i="11" s="1"/>
  <c r="I64" i="11"/>
  <c r="O64" i="11" s="1"/>
  <c r="F13" i="11"/>
  <c r="F20" i="11" s="1"/>
  <c r="D66" i="11"/>
  <c r="O61" i="11"/>
  <c r="G35" i="11" l="1"/>
  <c r="H31" i="11" s="1"/>
  <c r="O66" i="11"/>
  <c r="O67" i="11" s="1"/>
  <c r="E58" i="11"/>
  <c r="E66" i="11" s="1"/>
  <c r="D67" i="11"/>
  <c r="G13" i="11"/>
  <c r="G20" i="11" s="1"/>
  <c r="H35" i="11" l="1"/>
  <c r="I31" i="11" s="1"/>
  <c r="H13" i="11"/>
  <c r="H20" i="11" s="1"/>
  <c r="F58" i="11"/>
  <c r="F66" i="11" s="1"/>
  <c r="E67" i="11"/>
  <c r="I35" i="11" l="1"/>
  <c r="J31" i="11" s="1"/>
  <c r="G58" i="11"/>
  <c r="G66" i="11" s="1"/>
  <c r="F67" i="11"/>
  <c r="I13" i="11"/>
  <c r="I20" i="11" s="1"/>
  <c r="J35" i="11" l="1"/>
  <c r="K31" i="11" s="1"/>
  <c r="J13" i="11"/>
  <c r="J20" i="11" s="1"/>
  <c r="H58" i="11"/>
  <c r="H66" i="11" s="1"/>
  <c r="G67" i="11"/>
  <c r="K35" i="11" l="1"/>
  <c r="L31" i="11" s="1"/>
  <c r="I58" i="11"/>
  <c r="I66" i="11" s="1"/>
  <c r="H67" i="11"/>
  <c r="K13" i="11"/>
  <c r="K20" i="11" s="1"/>
  <c r="L35" i="11" l="1"/>
  <c r="M31" i="11" s="1"/>
  <c r="L13" i="11"/>
  <c r="L20" i="11" s="1"/>
  <c r="J58" i="11"/>
  <c r="J66" i="11" s="1"/>
  <c r="I67" i="11"/>
  <c r="M35" i="11" l="1"/>
  <c r="N31" i="11" s="1"/>
  <c r="N35" i="11" s="1"/>
  <c r="K58" i="11"/>
  <c r="K66" i="11" s="1"/>
  <c r="K67" i="11" s="1"/>
  <c r="J67" i="11"/>
  <c r="M13" i="11"/>
  <c r="M20" i="11" s="1"/>
  <c r="N13" i="11" l="1"/>
  <c r="N20" i="11" s="1"/>
  <c r="L58" i="11"/>
  <c r="L66" i="11" s="1"/>
  <c r="M58" i="11" l="1"/>
  <c r="M66" i="11" s="1"/>
  <c r="L67" i="11"/>
  <c r="N58" i="11" l="1"/>
  <c r="N66" i="11" s="1"/>
  <c r="N67" i="11" s="1"/>
  <c r="M67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<sst xmlns="http://schemas.openxmlformats.org/spreadsheetml/2006/main" count="1672" uniqueCount="880">
  <si>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</si>
  <si>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</si>
  <si>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</si>
  <si>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</si>
  <si>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</si>
  <si>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</si>
  <si>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</si>
  <si>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</si>
  <si>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</si>
  <si>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</si>
  <si>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</si>
  <si>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</si>
  <si>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</si>
  <si>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</si>
  <si>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</si>
  <si>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</si>
  <si>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</si>
  <si>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</si>
  <si>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</si>
  <si>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</si>
  <si>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</si>
  <si>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</si>
  <si>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</si>
  <si>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</si>
  <si>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</si>
  <si>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</si>
  <si>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</si>
  <si>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</si>
  <si>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</si>
  <si>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</si>
  <si>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</si>
  <si>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</si>
  <si>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</si>
  <si>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</si>
  <si>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</si>
  <si>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</si>
  <si>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</si>
  <si>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</si>
  <si>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</si>
  <si>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</si>
  <si>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</si>
  <si>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</si>
  <si>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</si>
  <si>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</si>
  <si>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</si>
  <si>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</si>
  <si>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</si>
  <si>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</si>
  <si>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</si>
  <si>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</si>
  <si>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</si>
  <si>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</si>
  <si>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</si>
  <si>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</si>
  <si>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</si>
  <si>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</si>
  <si>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</si>
  <si>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</si>
  <si>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</si>
  <si>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</si>
  <si>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</si>
  <si>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</si>
  <si>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</si>
  <si>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</si>
  <si>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</si>
  <si>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</si>
  <si>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</si>
  <si>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</si>
  <si>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</si>
  <si>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</si>
  <si>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</si>
  <si>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</si>
  <si>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</si>
  <si>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</si>
  <si>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</si>
  <si>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</si>
  <si>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</si>
  <si>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</si>
  <si>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</si>
  <si>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</si>
  <si>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</si>
  <si>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</si>
  <si>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</si>
  <si>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</si>
  <si>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</si>
  <si>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</si>
  <si>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</si>
  <si>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</si>
  <si>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</si>
  <si>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</si>
  <si>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</si>
  <si>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</si>
  <si>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</si>
  <si>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</si>
  <si>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</si>
  <si>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</si>
  <si>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</si>
  <si>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</si>
  <si>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</si>
  <si>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</si>
  <si>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</si>
  <si>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</si>
  <si>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</si>
  <si>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</si>
  <si>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</si>
  <si>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</si>
  <si>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</si>
  <si>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</si>
  <si>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</si>
  <si>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</si>
  <si>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</si>
  <si>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</si>
  <si>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</si>
  <si>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</si>
  <si>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</si>
  <si>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</si>
  <si>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</si>
  <si>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</si>
  <si>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</si>
  <si>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</si>
  <si>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</si>
  <si>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</si>
  <si>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</si>
  <si>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</si>
  <si>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</si>
  <si>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</si>
  <si>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</si>
  <si>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</si>
  <si>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</si>
  <si>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</si>
  <si>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</si>
  <si>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</si>
  <si>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</si>
  <si>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</si>
  <si>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</si>
  <si>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</si>
  <si>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</si>
  <si>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</si>
  <si>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</si>
  <si>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</si>
  <si>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</si>
  <si>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</si>
  <si>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</si>
  <si>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</si>
  <si>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</si>
  <si>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</si>
  <si>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</si>
  <si>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</si>
  <si>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</si>
  <si>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</si>
  <si>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</si>
  <si>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</si>
  <si>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</si>
  <si>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</si>
  <si>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</si>
  <si>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</si>
  <si>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</si>
  <si>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</si>
  <si>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</si>
  <si>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</si>
  <si>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</si>
  <si>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</si>
  <si>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</si>
  <si>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</si>
  <si>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</si>
  <si>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</si>
  <si>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</si>
  <si>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</si>
  <si>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</si>
  <si>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</si>
  <si>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</si>
  <si>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</si>
  <si>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</si>
  <si>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</si>
  <si>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</si>
  <si>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</si>
  <si>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</si>
  <si>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</si>
  <si>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</si>
  <si>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</si>
  <si>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</si>
  <si>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</si>
  <si>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</si>
  <si>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</si>
  <si>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</si>
  <si>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</si>
  <si>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</si>
  <si>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</si>
  <si>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</si>
  <si>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</si>
  <si>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</si>
  <si>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</si>
  <si>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</si>
  <si>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</si>
  <si>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</si>
  <si>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</si>
  <si>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</si>
  <si>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</si>
  <si>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</si>
  <si>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</si>
  <si>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</si>
  <si>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</si>
  <si>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</si>
  <si>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</si>
  <si>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</si>
  <si>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</si>
  <si>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</si>
  <si>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</si>
  <si>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</si>
  <si>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</si>
  <si>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</si>
  <si>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</si>
  <si>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</si>
  <si>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</si>
  <si>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</si>
  <si>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</si>
  <si>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</si>
  <si>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</si>
  <si>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</si>
  <si>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</si>
  <si>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</si>
  <si>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</si>
  <si>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</si>
  <si>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</si>
  <si>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</si>
  <si>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</si>
  <si>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</si>
  <si>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</si>
  <si>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</si>
  <si>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</si>
  <si>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</si>
  <si>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</si>
  <si>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</si>
  <si>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</si>
  <si>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</si>
  <si>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</si>
  <si>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</si>
  <si>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</si>
  <si>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</si>
  <si>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</si>
  <si>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</si>
  <si>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</si>
  <si>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</si>
  <si>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</si>
  <si>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</si>
  <si>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</si>
  <si>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</si>
  <si>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</si>
  <si>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</si>
  <si>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</si>
  <si>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</si>
  <si>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</si>
  <si>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</si>
  <si>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</si>
  <si>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</si>
  <si>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</si>
  <si>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</si>
  <si>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</si>
  <si>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</si>
  <si>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</si>
  <si>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</si>
  <si>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</si>
  <si>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</si>
  <si>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</si>
  <si>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</si>
  <si>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</si>
  <si>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</si>
  <si>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</si>
  <si>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</si>
  <si>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</si>
  <si>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</si>
  <si>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</si>
  <si>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</si>
  <si>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</si>
  <si>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</si>
  <si>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</si>
  <si>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</si>
  <si>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</si>
  <si>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</si>
  <si>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</si>
  <si>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</si>
  <si>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</si>
  <si>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</si>
  <si>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</si>
  <si>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</si>
  <si>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</si>
  <si>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</si>
  <si>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</si>
  <si>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</si>
  <si>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</si>
  <si>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</si>
  <si>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</si>
  <si>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</si>
  <si>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</si>
  <si>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</si>
  <si>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</si>
  <si>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</si>
  <si>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</si>
  <si>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</si>
  <si>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</si>
  <si>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</si>
  <si>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</si>
  <si>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</si>
  <si>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</si>
  <si>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</si>
  <si>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</si>
  <si>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</si>
  <si>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</si>
  <si>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</si>
  <si>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</si>
  <si>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</si>
  <si>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</si>
  <si>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</si>
  <si>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</si>
  <si>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</si>
  <si>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</si>
  <si>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</si>
  <si>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</si>
  <si>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</si>
  <si>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</si>
  <si>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</si>
  <si>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</si>
  <si>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</si>
  <si>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</si>
  <si>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</si>
  <si>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</si>
  <si>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</si>
  <si>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</si>
  <si>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</si>
  <si>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</si>
  <si>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</si>
  <si>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</si>
  <si>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</si>
  <si>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</si>
  <si>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</si>
  <si>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</si>
  <si>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</si>
  <si>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</si>
  <si>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</si>
  <si>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</si>
  <si>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</si>
  <si>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</si>
  <si>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</si>
  <si>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</si>
  <si>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</si>
  <si>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</si>
  <si>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</si>
  <si>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</si>
  <si>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</si>
  <si>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</si>
  <si>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</si>
  <si>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</si>
  <si>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</si>
  <si>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</si>
  <si>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</si>
  <si>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</si>
  <si>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</si>
  <si>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</si>
  <si>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</si>
  <si>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</si>
  <si>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</si>
  <si>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</si>
  <si>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</si>
  <si>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</si>
  <si>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</si>
  <si>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</si>
  <si>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</si>
  <si>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</si>
  <si>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</si>
  <si>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</si>
  <si>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</si>
  <si>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</si>
  <si>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</si>
  <si>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</si>
  <si>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</si>
  <si>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</si>
  <si>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</si>
  <si>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</si>
  <si>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</si>
  <si>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</si>
  <si>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</si>
  <si>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</si>
  <si>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</si>
  <si>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</si>
  <si>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</si>
  <si>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</si>
  <si>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</si>
  <si>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</si>
  <si>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</si>
  <si>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</si>
  <si>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</si>
  <si>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</si>
  <si>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</si>
  <si>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</si>
  <si>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</si>
  <si>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</si>
  <si>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</si>
  <si>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Hourly Parking</t>
  </si>
  <si>
    <t>Rental Expense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</si>
  <si>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</si>
  <si>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</si>
  <si>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</si>
  <si>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</si>
  <si>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</si>
  <si>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</si>
  <si>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</si>
  <si>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</si>
  <si>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</si>
  <si>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</si>
  <si>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</si>
  <si>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</si>
  <si>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Expenses</t>
  </si>
  <si>
    <t>Total Revenue</t>
  </si>
  <si>
    <t>UNAUDITED</t>
  </si>
  <si>
    <t>Monthly</t>
  </si>
  <si>
    <t>Budget</t>
  </si>
  <si>
    <t>$OverBud</t>
  </si>
  <si>
    <t>% of Budget</t>
  </si>
  <si>
    <t>% of  YTD Budget</t>
  </si>
  <si>
    <t>Annual Budget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</si>
  <si>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</si>
  <si>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</si>
  <si>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</si>
  <si>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</si>
  <si>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</si>
  <si>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</si>
  <si>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</si>
  <si>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Allocations</t>
  </si>
  <si>
    <t>Net Revenues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</si>
  <si>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</si>
  <si>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</si>
  <si>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</si>
  <si>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</si>
  <si>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</si>
  <si>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</si>
  <si>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</si>
  <si>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</si>
  <si>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</si>
  <si>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</si>
  <si>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</si>
  <si>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</si>
  <si>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</si>
  <si>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</si>
  <si>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</si>
  <si>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</si>
  <si>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</si>
  <si>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</si>
  <si>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</si>
  <si>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</si>
  <si>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</si>
  <si>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</si>
  <si>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</si>
  <si>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</si>
  <si>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</si>
  <si>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</si>
  <si>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</si>
  <si>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</si>
  <si>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</si>
  <si>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</si>
  <si>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</si>
  <si>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</si>
  <si>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</si>
  <si>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</si>
  <si>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</si>
  <si>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</si>
  <si>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</si>
  <si>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</si>
  <si>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FY26</t>
  </si>
  <si>
    <t>Difference</t>
  </si>
  <si>
    <t>Overtime</t>
  </si>
  <si>
    <t>April</t>
  </si>
  <si>
    <t>May</t>
  </si>
  <si>
    <t>June</t>
  </si>
  <si>
    <t>July</t>
  </si>
  <si>
    <t>August</t>
  </si>
  <si>
    <t>Total Overtime</t>
  </si>
  <si>
    <t>Department</t>
  </si>
  <si>
    <t>Actual</t>
  </si>
  <si>
    <t>Budgeted</t>
  </si>
  <si>
    <t>YTD</t>
  </si>
  <si>
    <t>Administration</t>
  </si>
  <si>
    <t>Police - OT</t>
  </si>
  <si>
    <t>Police- Pay Jobs</t>
  </si>
  <si>
    <t>Police- Additional Coverage</t>
  </si>
  <si>
    <t>Police- Grant OT</t>
  </si>
  <si>
    <t>Police Admin - OT</t>
  </si>
  <si>
    <t>Police - Seasonal OT</t>
  </si>
  <si>
    <t>Streets / Maintenance - OT</t>
  </si>
  <si>
    <t>Parking Enforcement - OT</t>
  </si>
  <si>
    <t>Parking Enforcement - Seasonal OT</t>
  </si>
  <si>
    <t>Beach Patrol - Seasonal OT</t>
  </si>
  <si>
    <t>Reimbursements</t>
  </si>
  <si>
    <t>Category</t>
  </si>
  <si>
    <t>NOTES:</t>
  </si>
  <si>
    <t>Billed businesses for May &amp; June coverage 07.06.25</t>
  </si>
  <si>
    <t>Grant Duty is not really budgetable, but is fully reimbursed</t>
  </si>
  <si>
    <t>Beach Patrol OT was not budgeted until end of season, however more coverage has been used to make sure beaches fully protected</t>
  </si>
  <si>
    <t>July &amp; August pay jobs billed beginning of September</t>
  </si>
  <si>
    <t>September</t>
  </si>
  <si>
    <t>September pay jobs billed beginning of October</t>
  </si>
  <si>
    <t>Unassigned Fund</t>
  </si>
  <si>
    <t>Beginning Balance</t>
  </si>
  <si>
    <t>Ending Balance</t>
  </si>
  <si>
    <t>Streets &amp; Infrastructure</t>
  </si>
  <si>
    <t>October</t>
  </si>
  <si>
    <t>October Pay Jobs billed November</t>
  </si>
  <si>
    <t xml:space="preserve">Full vs Operating Data </t>
  </si>
  <si>
    <t>NET INCOME - OPERATING</t>
  </si>
  <si>
    <t>Following Accounts not included in operating data</t>
  </si>
  <si>
    <t>Capital Improvements / Capital Improvements - Town Hall</t>
  </si>
  <si>
    <t>DBP Donations Purchases</t>
  </si>
  <si>
    <t>oct</t>
  </si>
  <si>
    <t>sep</t>
  </si>
  <si>
    <t>aug</t>
  </si>
  <si>
    <t>jul</t>
  </si>
  <si>
    <t>jun</t>
  </si>
  <si>
    <t>may</t>
  </si>
  <si>
    <t>apr</t>
  </si>
  <si>
    <t>Set Aside</t>
  </si>
  <si>
    <t>Capital Improvements - Public Safety</t>
  </si>
  <si>
    <t>Capital Improvements - Streets</t>
  </si>
  <si>
    <t>Capital Improvements - Beach Safety</t>
  </si>
  <si>
    <t>Capital Improvements - - Admin</t>
  </si>
  <si>
    <t>&lt;&lt; Account to be used to cover shortfalls after restricted</t>
  </si>
  <si>
    <t xml:space="preserve">Town of Dewey Beach </t>
  </si>
  <si>
    <t xml:space="preserve">Fund Balance Summary </t>
  </si>
  <si>
    <t>Total</t>
  </si>
  <si>
    <t>Grants Received</t>
  </si>
  <si>
    <t xml:space="preserve">Capital Improvements </t>
  </si>
  <si>
    <t>Capital Improvements - Townhall</t>
  </si>
  <si>
    <t>Public Safety / Police</t>
  </si>
  <si>
    <t>Budget Approved</t>
  </si>
  <si>
    <t>Rainy Day fund</t>
  </si>
  <si>
    <t>Net Performance</t>
  </si>
  <si>
    <t>Transfer to</t>
  </si>
  <si>
    <t>Beach Safety / Lifeguards</t>
  </si>
  <si>
    <t>Notes</t>
  </si>
  <si>
    <t>Set  Asides</t>
  </si>
  <si>
    <t>Transfer to / from</t>
  </si>
  <si>
    <t>check</t>
  </si>
  <si>
    <t>Grants / Donations Received</t>
  </si>
  <si>
    <t>Grants / Donations Spent</t>
  </si>
  <si>
    <t xml:space="preserve">Budget Spent </t>
  </si>
  <si>
    <t>a</t>
  </si>
  <si>
    <t>Expenses Incurred</t>
  </si>
  <si>
    <t>Less Set Aside</t>
  </si>
  <si>
    <t>Net Calc</t>
  </si>
  <si>
    <t>Net per Fin Summary</t>
  </si>
  <si>
    <t xml:space="preserve">Expenses Incurred </t>
  </si>
  <si>
    <t>Cap Ex - Public Safety</t>
  </si>
  <si>
    <t>Cap Ex - Beach Safety</t>
  </si>
  <si>
    <t>Donations Received</t>
  </si>
  <si>
    <t>Town Hall Property Expense</t>
  </si>
  <si>
    <t>Date</t>
  </si>
  <si>
    <t>Vendor</t>
  </si>
  <si>
    <t>Amount</t>
  </si>
  <si>
    <t>How Covered</t>
  </si>
  <si>
    <t>06.08.25</t>
  </si>
  <si>
    <t>Beacon Engineering</t>
  </si>
  <si>
    <t>Jersey Street Project</t>
  </si>
  <si>
    <t>Capital Expenditures - Streets</t>
  </si>
  <si>
    <t>06.10.25</t>
  </si>
  <si>
    <t>JMT</t>
  </si>
  <si>
    <t>Van Dyke Avenue</t>
  </si>
  <si>
    <t>10.02.252</t>
  </si>
  <si>
    <t>Apple Electric</t>
  </si>
  <si>
    <t>Read Street Pump Electric</t>
  </si>
  <si>
    <t>09.01.25</t>
  </si>
  <si>
    <t>Advantech</t>
  </si>
  <si>
    <t>Dickenson Digital Cameras</t>
  </si>
  <si>
    <t>05.08.25</t>
  </si>
  <si>
    <t>On The Mark Locators</t>
  </si>
  <si>
    <t>Locate electric on island on Rt 1</t>
  </si>
  <si>
    <t>04.22.25</t>
  </si>
  <si>
    <t>Williscot</t>
  </si>
  <si>
    <t>Trailer Rental - Parking Enforcement</t>
  </si>
  <si>
    <t>Capital Expenditures - Town Hall</t>
  </si>
  <si>
    <t>05.20.25</t>
  </si>
  <si>
    <t>06.17.25</t>
  </si>
  <si>
    <t>07.15.25</t>
  </si>
  <si>
    <t>08.12.25</t>
  </si>
  <si>
    <t>09.09.25</t>
  </si>
  <si>
    <t>10.07.25</t>
  </si>
  <si>
    <t>04.03.25</t>
  </si>
  <si>
    <t>Carter Machinery</t>
  </si>
  <si>
    <t>Read Street</t>
  </si>
  <si>
    <t>04.06.25</t>
  </si>
  <si>
    <t>Jersey Street</t>
  </si>
  <si>
    <t>05.09.25</t>
  </si>
  <si>
    <t>06.11.25</t>
  </si>
  <si>
    <t>A.P. Croll &amp; Son</t>
  </si>
  <si>
    <t>09.05.25</t>
  </si>
  <si>
    <t>10.28.25</t>
  </si>
  <si>
    <t>Nuttle Lumber</t>
  </si>
  <si>
    <t>Dagsworthy Street Project / Dune Crossing</t>
  </si>
  <si>
    <t>10.30.25</t>
  </si>
  <si>
    <t>10.31.25</t>
  </si>
  <si>
    <t>227 Rent</t>
  </si>
  <si>
    <t>State of Delaware</t>
  </si>
  <si>
    <t>Monigle Park - Suaqueous Land Lease</t>
  </si>
  <si>
    <t>Annual Budget Item</t>
  </si>
  <si>
    <t>08.01.25</t>
  </si>
  <si>
    <t>Shore Distributors</t>
  </si>
  <si>
    <t>Read Street Storm Sewer</t>
  </si>
  <si>
    <t>Hyatt Boardwalk</t>
  </si>
  <si>
    <t>Administration - Building Maintenance</t>
  </si>
  <si>
    <t>04.29.25</t>
  </si>
  <si>
    <t>Home Depot</t>
  </si>
  <si>
    <t>Kitchen sink</t>
  </si>
  <si>
    <t>05.12.25</t>
  </si>
  <si>
    <t>Amazon</t>
  </si>
  <si>
    <t>Security Cards for building entrance</t>
  </si>
  <si>
    <t>05.15.25</t>
  </si>
  <si>
    <t>WiFi Door Alarm System</t>
  </si>
  <si>
    <t>Keypad Door Locks</t>
  </si>
  <si>
    <t>05.22.25</t>
  </si>
  <si>
    <t>Lights</t>
  </si>
  <si>
    <t>BFPE</t>
  </si>
  <si>
    <t>Fire extinquisher service</t>
  </si>
  <si>
    <t>07.01.25</t>
  </si>
  <si>
    <t>Security Alarm System Signs</t>
  </si>
  <si>
    <t>4' Ladder</t>
  </si>
  <si>
    <t>Air Duct Register &amp; tape</t>
  </si>
  <si>
    <t>08.21.25</t>
  </si>
  <si>
    <t>08.28.25</t>
  </si>
  <si>
    <t>Curtis Engine &amp; Equipment</t>
  </si>
  <si>
    <t>Generator maintenance</t>
  </si>
  <si>
    <t>Wall-mount key box</t>
  </si>
  <si>
    <t>09.06.25</t>
  </si>
  <si>
    <t>Water Leak</t>
  </si>
  <si>
    <t>09.08.25</t>
  </si>
  <si>
    <t>Walmart</t>
  </si>
  <si>
    <t>09.10.25</t>
  </si>
  <si>
    <t>09.15.25</t>
  </si>
  <si>
    <t>Harbor Freight</t>
  </si>
  <si>
    <t>Quick Release Drill</t>
  </si>
  <si>
    <t>09.17.25</t>
  </si>
  <si>
    <t>Picture hangers</t>
  </si>
  <si>
    <t>Gutter clean out.</t>
  </si>
  <si>
    <t>Proactive Electric</t>
  </si>
  <si>
    <t>Electric for new dispatch equipment</t>
  </si>
  <si>
    <t>Capital Expenditures - Building Maintenance</t>
  </si>
  <si>
    <t>06.01.25</t>
  </si>
  <si>
    <t>First State Land Clearing</t>
  </si>
  <si>
    <t>Put camera on top of building</t>
  </si>
  <si>
    <t>09.03.25</t>
  </si>
  <si>
    <t>Compliance Environmental</t>
  </si>
  <si>
    <t>Air Quality Testing</t>
  </si>
  <si>
    <t>Police Innovations</t>
  </si>
  <si>
    <t>2 - 40" Detention Benches</t>
  </si>
  <si>
    <t>Managed Access Control Services</t>
  </si>
  <si>
    <t>10.15.25</t>
  </si>
  <si>
    <t>ServPro of Hockessen</t>
  </si>
  <si>
    <t>Mold Remediation</t>
  </si>
  <si>
    <t>Administration - Equipment / Asset - Depreciable</t>
  </si>
  <si>
    <t>04.08.25</t>
  </si>
  <si>
    <t>GMB</t>
  </si>
  <si>
    <t>Dewey Beach Town Hall Civil Design-Bid-CA</t>
  </si>
  <si>
    <t>04.11.25</t>
  </si>
  <si>
    <t>04.16.25</t>
  </si>
  <si>
    <t>Mid South Audio LLC</t>
  </si>
  <si>
    <t>Sony FW75EZ20L 75" and Sony 50" 3840X2160</t>
  </si>
  <si>
    <t>Sussex County - Permits</t>
  </si>
  <si>
    <t>New Town Hall Building Permit</t>
  </si>
  <si>
    <t>05.23.25</t>
  </si>
  <si>
    <t>CSI</t>
  </si>
  <si>
    <t>Townhall project</t>
  </si>
  <si>
    <t>05.27.25</t>
  </si>
  <si>
    <t>Magnum Electronics, Inc</t>
  </si>
  <si>
    <t>New Equipment for Town Hall</t>
  </si>
  <si>
    <t>05.28.25</t>
  </si>
  <si>
    <t>06.06.25</t>
  </si>
  <si>
    <t>Costello Construction</t>
  </si>
  <si>
    <t>First draw for construction of town hall.</t>
  </si>
  <si>
    <t>06.13.25</t>
  </si>
  <si>
    <t>06.16.25</t>
  </si>
  <si>
    <t>06.25.25</t>
  </si>
  <si>
    <t>ThinkSecureNet</t>
  </si>
  <si>
    <t>Sales Order #3385: Dewey Beach Town Hall &amp; Police Department-Data Cable Installation quote 19623</t>
  </si>
  <si>
    <t>06.27.25</t>
  </si>
  <si>
    <t>Dewey Beach Town Hall Civil Design-Bid-CA Invoice dated 6/4/.25 service for May 2025</t>
  </si>
  <si>
    <t>07.03.25</t>
  </si>
  <si>
    <t>07.11.25</t>
  </si>
  <si>
    <t>07.12.25</t>
  </si>
  <si>
    <t>07.25.25</t>
  </si>
  <si>
    <t>07.28.25</t>
  </si>
  <si>
    <t>Strategic Insurance Partners</t>
  </si>
  <si>
    <t>1505 Coastal Hwy Construction</t>
  </si>
  <si>
    <t>08.08.25</t>
  </si>
  <si>
    <t>08.15.25</t>
  </si>
  <si>
    <t>08.22.25</t>
  </si>
  <si>
    <t>08.26.25</t>
  </si>
  <si>
    <t>08.29.25</t>
  </si>
  <si>
    <t>09.12.25</t>
  </si>
  <si>
    <t>09.26.25</t>
  </si>
  <si>
    <t>10.01.25</t>
  </si>
  <si>
    <t>10.03.25</t>
  </si>
  <si>
    <t>10.17.25</t>
  </si>
  <si>
    <t>10.22.25</t>
  </si>
  <si>
    <t>Actual access system current &amp; new building</t>
  </si>
  <si>
    <t>10.24.25</t>
  </si>
  <si>
    <t>PD - Equipment / Asset Purchase</t>
  </si>
  <si>
    <t>04.05.25</t>
  </si>
  <si>
    <t>Staples</t>
  </si>
  <si>
    <t>NetGear Switch</t>
  </si>
  <si>
    <t>Earpiece</t>
  </si>
  <si>
    <t>External Harddrive</t>
  </si>
  <si>
    <t>04.15.25</t>
  </si>
  <si>
    <t>CDW Government</t>
  </si>
  <si>
    <t>Brother Pocket Jet 8 Thermal Printer/Brother Part Number PJ822 Brother Car adapter Cig Plug</t>
  </si>
  <si>
    <t>04.17.25</t>
  </si>
  <si>
    <t>3/4" to X1/2" Wall X 6' Long Foam</t>
  </si>
  <si>
    <t>04.18.25</t>
  </si>
  <si>
    <t>Chairs</t>
  </si>
  <si>
    <t>04.23.25</t>
  </si>
  <si>
    <t>Rescue One</t>
  </si>
  <si>
    <t>Phillips BVattery for On-Site/FRx Lithium Ion 4 year Lot#33224 Phillips FRx Adult Smart Pads II ...</t>
  </si>
  <si>
    <t>04.24.25</t>
  </si>
  <si>
    <t>Wall monitor mount</t>
  </si>
  <si>
    <t>04.25.25</t>
  </si>
  <si>
    <t>EMT Responder Bag w/ supplies</t>
  </si>
  <si>
    <t>05.01.25</t>
  </si>
  <si>
    <t>Galls</t>
  </si>
  <si>
    <t>Sirchie Patrol Latent Print Kit</t>
  </si>
  <si>
    <t>05.06.25</t>
  </si>
  <si>
    <t>Charger / Surge Protector</t>
  </si>
  <si>
    <t>05.10.25</t>
  </si>
  <si>
    <t>Drone Supplies / SD Card / SD Reader</t>
  </si>
  <si>
    <t>Phone screen protectors</t>
  </si>
  <si>
    <t>05.13.25</t>
  </si>
  <si>
    <t>72" Storage Locker</t>
  </si>
  <si>
    <t>Metal wall mounted mailbox</t>
  </si>
  <si>
    <t>Axon</t>
  </si>
  <si>
    <t>Antenna for vehicle</t>
  </si>
  <si>
    <t>Protection for Chair</t>
  </si>
  <si>
    <t xml:space="preserve">Chair </t>
  </si>
  <si>
    <t>Lowes</t>
  </si>
  <si>
    <t>Ladder</t>
  </si>
  <si>
    <t>Dickerson -care for cameras</t>
  </si>
  <si>
    <t>Motorola 12V DC Power cable 20ft, Mid power rear ignition cable, standard palm microphone. Invoi...</t>
  </si>
  <si>
    <t>Brother 6Ft USB-A/C F/Rugged Jet item-manufacturer part number LBX106001</t>
  </si>
  <si>
    <t>Surface Pros</t>
  </si>
  <si>
    <t>BJAG</t>
  </si>
  <si>
    <t>08.11.25</t>
  </si>
  <si>
    <t>BF05-30005GB-GN Cradlepoint E3000 Branch Essentials Router, WiFi, 5G Modem (5 year Mobile Essent...</t>
  </si>
  <si>
    <t>Captial Expenditures</t>
  </si>
  <si>
    <t>09.18.25</t>
  </si>
  <si>
    <t>N-ear Inc.</t>
  </si>
  <si>
    <t>15-Radio earpiece w braided fiber , 15 PTT microphones, 7 dispatch headssets</t>
  </si>
  <si>
    <t>EDIE Grant D - 108 - 26</t>
  </si>
  <si>
    <t>10.10.25</t>
  </si>
  <si>
    <t>Airworx LLC</t>
  </si>
  <si>
    <t>2-CDC Matrice 4 series rapid charging case, 2-DJI &lt;atroce 4 Dual Payload Delivery Kit (BK4) w/Em...</t>
  </si>
  <si>
    <t>SALLE Grant S - 111 - 26 ($4550.51)</t>
  </si>
  <si>
    <t>PD - Equipment / Asset Depreciable</t>
  </si>
  <si>
    <t>Motorola Solutions</t>
  </si>
  <si>
    <t>Radio purchases-BJAG &amp; SLEAF purchases</t>
  </si>
  <si>
    <t>BJAG &amp; SLEAF Grant</t>
  </si>
  <si>
    <t>04.01.25</t>
  </si>
  <si>
    <t>Hertrich Fleet Services Inc.</t>
  </si>
  <si>
    <t>2025 Ford Agate Black Police Interceptor</t>
  </si>
  <si>
    <t>Capital Expenditures</t>
  </si>
  <si>
    <t>2025 Ford Agate Black F-150 Police Respond</t>
  </si>
  <si>
    <t>05.02.25</t>
  </si>
  <si>
    <t>7 Semi-automatic english handle, 7 replacement electrode kit quik step, 7 carry case kit, 7 resc...</t>
  </si>
  <si>
    <t>05.14.25</t>
  </si>
  <si>
    <t>Global Public Safety</t>
  </si>
  <si>
    <t>New Truck out fitting</t>
  </si>
  <si>
    <t>New truck out  fitting</t>
  </si>
  <si>
    <t>06.24.25</t>
  </si>
  <si>
    <t>Pohanka Ford</t>
  </si>
  <si>
    <t>1FM5K8AC5SGB59688</t>
  </si>
  <si>
    <t>Capital Expenditures - 4th vehicle</t>
  </si>
  <si>
    <t>09.11.25</t>
  </si>
  <si>
    <t>Island Tech Services</t>
  </si>
  <si>
    <t>2025 Ford PIU VIN 1FM5K8AC5SGB59688</t>
  </si>
  <si>
    <t>Installation of Digital video Management System Invoice dated 4.25.25</t>
  </si>
  <si>
    <t>DEMA Grant - HSGP - 24-0705-S-13706-11</t>
  </si>
  <si>
    <t>Installation of Digital Video Management System</t>
  </si>
  <si>
    <t>2024 Ford Agate Black F-150 Police Respond</t>
  </si>
  <si>
    <t>Insurance, PD Fund, Capital Expenditures</t>
  </si>
  <si>
    <t>2025 Ford PIU 16310 (1) 2025 Ford PIU,1FM5K8AB1SGB45844 Tag PC456500</t>
  </si>
  <si>
    <t>10.13.25</t>
  </si>
  <si>
    <t>Applied Concepts</t>
  </si>
  <si>
    <t>OHS:SPED25-06 Stalker Lidar RLR, 2021-4-2024 Ford F150 Front combo mount Ka Band, 4-2019-2024 Fo...</t>
  </si>
  <si>
    <t>OHS Grant</t>
  </si>
  <si>
    <t>04.30.25</t>
  </si>
  <si>
    <t>APX6500 Enchanced 7/800 MHZ mobile</t>
  </si>
  <si>
    <t>Violent Crimes Grant - V-86-25</t>
  </si>
  <si>
    <t>Attica Supply Co</t>
  </si>
  <si>
    <t>Shield purchases-Violent Crime Grant purchase</t>
  </si>
  <si>
    <t>DBP Donation Purchases</t>
  </si>
  <si>
    <t>Logomotive</t>
  </si>
  <si>
    <t>Jr. Guard Shirts</t>
  </si>
  <si>
    <t>BSN Sports</t>
  </si>
  <si>
    <t>Tetherball Hardware</t>
  </si>
  <si>
    <t>Marine Rescue Products</t>
  </si>
  <si>
    <t>Replacement Board Fin</t>
  </si>
  <si>
    <t>07.17.25</t>
  </si>
  <si>
    <t>North Shores Board of Governors</t>
  </si>
  <si>
    <t>Competition</t>
  </si>
  <si>
    <t>USLA Mid - Atlantic Region</t>
  </si>
  <si>
    <t>Jr. Guard Manuals</t>
  </si>
  <si>
    <t>Pamela Aquilani Photography</t>
  </si>
  <si>
    <t>Team Photo</t>
  </si>
  <si>
    <t>08.14.25</t>
  </si>
  <si>
    <t>Various Lifeguards</t>
  </si>
  <si>
    <t>Travel Per Diem</t>
  </si>
  <si>
    <t>USLA</t>
  </si>
  <si>
    <t>Nationals</t>
  </si>
  <si>
    <t>Trophies to Go</t>
  </si>
  <si>
    <t>Trophies</t>
  </si>
  <si>
    <t>DBP - Equipment / Assett - Depreciable</t>
  </si>
  <si>
    <t>L &amp; D Suzuki, Inc</t>
  </si>
  <si>
    <t>New Polaris ATV</t>
  </si>
  <si>
    <t>Capital Expenditures Approved Purchase</t>
  </si>
  <si>
    <t>a) Represents capital expenditures approved by council (Full Budget page 15) plus additional vehicle approval in June.</t>
  </si>
  <si>
    <t>Nov</t>
  </si>
  <si>
    <t>Dec</t>
  </si>
  <si>
    <t>Jan</t>
  </si>
  <si>
    <t>Feb</t>
  </si>
  <si>
    <t>Mar</t>
  </si>
  <si>
    <t>November</t>
  </si>
  <si>
    <t>11.01.25</t>
  </si>
  <si>
    <t>DNREC Reimbursement</t>
  </si>
  <si>
    <t>11.04.25</t>
  </si>
  <si>
    <t>11.02.25</t>
  </si>
  <si>
    <t>11.03.25</t>
  </si>
  <si>
    <t>11.06.25</t>
  </si>
  <si>
    <t>11.24.25</t>
  </si>
  <si>
    <t>ServPro - Sussex County</t>
  </si>
  <si>
    <t>Cell clean out</t>
  </si>
  <si>
    <t>Drain clean out</t>
  </si>
  <si>
    <t>Tool storage</t>
  </si>
  <si>
    <t>11.07.25</t>
  </si>
  <si>
    <t>11.14.25</t>
  </si>
  <si>
    <t>11.28.25</t>
  </si>
  <si>
    <t>Hand Truck</t>
  </si>
  <si>
    <t>12.09.25</t>
  </si>
  <si>
    <t>12.19.25</t>
  </si>
  <si>
    <t>12.01.25</t>
  </si>
  <si>
    <t>12.10.25</t>
  </si>
  <si>
    <t>12.31.25</t>
  </si>
  <si>
    <t>Reclass - expenses to wrong project</t>
  </si>
  <si>
    <t>12.08.25</t>
  </si>
  <si>
    <t>11.18.25</t>
  </si>
  <si>
    <t>11.19.25</t>
  </si>
  <si>
    <t>Penco Corp</t>
  </si>
  <si>
    <t>Rehoboth Hardware</t>
  </si>
  <si>
    <t>12.05.25</t>
  </si>
  <si>
    <t>12.16.25</t>
  </si>
  <si>
    <t>Allen Myers</t>
  </si>
  <si>
    <t>Dickinson</t>
  </si>
  <si>
    <t>Street Paving</t>
  </si>
  <si>
    <t>12.02.25</t>
  </si>
  <si>
    <t>12.30.25</t>
  </si>
  <si>
    <t>Wireless</t>
  </si>
  <si>
    <t>A-Del Construction</t>
  </si>
  <si>
    <t>Median fencing Repair</t>
  </si>
  <si>
    <t>Kayak Rack</t>
  </si>
  <si>
    <t>December</t>
  </si>
  <si>
    <t>Transfer to Public Safety</t>
  </si>
  <si>
    <t>Transfer from unassigned</t>
  </si>
  <si>
    <t>Transfer to Capital Improvements</t>
  </si>
  <si>
    <t>Transfer to / (from)</t>
  </si>
  <si>
    <t>Funds received in FY25 and been used then and since</t>
  </si>
  <si>
    <t>Violent Crime Grant</t>
  </si>
  <si>
    <t>DEMA-F424 Grant - Received 07.18.25  In 4070400</t>
  </si>
  <si>
    <t>Approved in FY26 Cap Ex Budget</t>
  </si>
  <si>
    <t>Approved after accident</t>
  </si>
  <si>
    <t>Approved after engine issue</t>
  </si>
  <si>
    <t>SLEAF Grant for $16,756.79 - bal out of PD budget  - Money to be received before end of FY</t>
  </si>
  <si>
    <t>BJAG Grant for $15,000 - bal out of PD budget - Money to be received before end of FY</t>
  </si>
  <si>
    <t>$23,845 received in 12.2025 - 4040750 - have to reclass to 4070400 - Not Grant duty income</t>
  </si>
  <si>
    <t>2300200 - need to reclass to 4060800</t>
  </si>
  <si>
    <t>General Fund Financial Overview: January 2025 - OPERATING</t>
  </si>
  <si>
    <t>Actual April 2025 - January 2026</t>
  </si>
  <si>
    <t>Budgeted April 2025 - January 2026</t>
  </si>
  <si>
    <t>January</t>
  </si>
  <si>
    <t>February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</si>
</sst>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\-yy;@"/>
    <numFmt numFmtId="166" formatCode="_(&quot;$&quot;* #,##0_);_(&quot;$&quot;* \(#,##0\);_(&quot;$&quot;* &quot;-&quot;??_);_(@_)"/>
    <numFmt numFmtId="167" formatCode="mm/dd/yyyy"/>
    <numFmt numFmtId="168" formatCode="#,##0.00;\-#,##0.00"/>
  </numFmts>
  <fonts count="3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1"/>
      <color rgb="FF323232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6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43" fontId="0" fillId="0" borderId="0" xfId="1" applyFont="1"/>
    <xf numFmtId="0" fontId="0" fillId="0" borderId="0" xfId="0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19" fillId="0" borderId="0" xfId="0" applyFont="1"/>
    <xf numFmtId="0" fontId="20" fillId="0" borderId="0" xfId="0" applyFont="1"/>
    <xf numFmtId="164" fontId="19" fillId="0" borderId="0" xfId="1" applyNumberFormat="1" applyFont="1"/>
    <xf numFmtId="165" fontId="17" fillId="0" borderId="5" xfId="0" quotePrefix="1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164" fontId="17" fillId="0" borderId="5" xfId="1" applyNumberFormat="1" applyFont="1" applyBorder="1" applyAlignment="1">
      <alignment horizontal="center"/>
    </xf>
    <xf numFmtId="0" fontId="17" fillId="0" borderId="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16" fontId="17" fillId="0" borderId="5" xfId="0" applyNumberFormat="1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164" fontId="19" fillId="0" borderId="6" xfId="1" applyNumberFormat="1" applyFont="1" applyBorder="1"/>
    <xf numFmtId="9" fontId="19" fillId="0" borderId="0" xfId="24" applyFont="1" applyAlignment="1">
      <alignment horizontal="center"/>
    </xf>
    <xf numFmtId="164" fontId="17" fillId="6" borderId="6" xfId="1" applyNumberFormat="1" applyFont="1" applyFill="1" applyBorder="1"/>
    <xf numFmtId="0" fontId="17" fillId="6" borderId="0" xfId="0" applyFont="1" applyFill="1"/>
    <xf numFmtId="164" fontId="19" fillId="0" borderId="0" xfId="0" applyNumberFormat="1" applyFont="1"/>
    <xf numFmtId="0" fontId="19" fillId="0" borderId="0" xfId="0" applyFont="1" applyAlignment="1">
      <alignment horizontal="center"/>
    </xf>
    <xf numFmtId="0" fontId="22" fillId="0" borderId="0" xfId="0" applyFont="1"/>
    <xf numFmtId="164" fontId="17" fillId="0" borderId="5" xfId="1" applyNumberFormat="1" applyFont="1" applyBorder="1"/>
    <xf numFmtId="9" fontId="17" fillId="0" borderId="0" xfId="24" applyFont="1" applyAlignment="1">
      <alignment horizontal="center"/>
    </xf>
    <xf numFmtId="16" fontId="17" fillId="0" borderId="5" xfId="0" quotePrefix="1" applyNumberFormat="1" applyFont="1" applyBorder="1" applyAlignment="1">
      <alignment horizontal="center" wrapText="1"/>
    </xf>
    <xf numFmtId="164" fontId="17" fillId="7" borderId="6" xfId="1" applyNumberFormat="1" applyFont="1" applyFill="1" applyBorder="1"/>
    <xf numFmtId="9" fontId="19" fillId="0" borderId="0" xfId="24" applyFont="1" applyBorder="1" applyAlignment="1">
      <alignment horizontal="center"/>
    </xf>
    <xf numFmtId="3" fontId="17" fillId="0" borderId="0" xfId="0" applyNumberFormat="1" applyFont="1"/>
    <xf numFmtId="0" fontId="23" fillId="0" borderId="0" xfId="0" applyFont="1"/>
    <xf numFmtId="164" fontId="23" fillId="0" borderId="0" xfId="1" applyNumberFormat="1" applyFont="1" applyFill="1"/>
    <xf numFmtId="0" fontId="23" fillId="0" borderId="0" xfId="0" applyFont="1" applyAlignment="1">
      <alignment wrapText="1"/>
    </xf>
    <xf numFmtId="164" fontId="23" fillId="0" borderId="0" xfId="1" applyNumberFormat="1" applyFont="1"/>
    <xf numFmtId="0" fontId="23" fillId="8" borderId="0" xfId="0" applyFont="1" applyFill="1"/>
    <xf numFmtId="0" fontId="23" fillId="8" borderId="0" xfId="0" applyFont="1" applyFill="1" applyAlignment="1">
      <alignment wrapText="1"/>
    </xf>
    <xf numFmtId="164" fontId="23" fillId="8" borderId="0" xfId="1" applyNumberFormat="1" applyFont="1" applyFill="1"/>
    <xf numFmtId="164" fontId="23" fillId="0" borderId="0" xfId="1" applyNumberFormat="1" applyFont="1" applyFill="1" applyAlignment="1">
      <alignment vertical="top"/>
    </xf>
    <xf numFmtId="49" fontId="23" fillId="0" borderId="0" xfId="1" applyNumberFormat="1" applyFont="1" applyAlignment="1">
      <alignment wrapText="1"/>
    </xf>
    <xf numFmtId="49" fontId="23" fillId="0" borderId="0" xfId="1" applyNumberFormat="1" applyFont="1" applyAlignment="1"/>
    <xf numFmtId="164" fontId="23" fillId="8" borderId="0" xfId="0" applyNumberFormat="1" applyFont="1" applyFill="1"/>
    <xf numFmtId="9" fontId="23" fillId="0" borderId="0" xfId="24" applyFont="1"/>
    <xf numFmtId="164" fontId="22" fillId="0" borderId="0" xfId="1" applyNumberFormat="1" applyFont="1" applyFill="1"/>
    <xf numFmtId="164" fontId="22" fillId="0" borderId="0" xfId="0" applyNumberFormat="1" applyFont="1"/>
    <xf numFmtId="43" fontId="19" fillId="0" borderId="0" xfId="0" applyNumberFormat="1" applyFont="1"/>
    <xf numFmtId="9" fontId="19" fillId="0" borderId="0" xfId="0" applyNumberFormat="1" applyFont="1"/>
    <xf numFmtId="43" fontId="19" fillId="0" borderId="0" xfId="1" applyFont="1"/>
    <xf numFmtId="43" fontId="0" fillId="0" borderId="0" xfId="0" applyNumberFormat="1"/>
    <xf numFmtId="43" fontId="0" fillId="0" borderId="0" xfId="1" applyFont="1" applyAlignment="1">
      <alignment horizontal="center"/>
    </xf>
    <xf numFmtId="43" fontId="0" fillId="0" borderId="0" xfId="1" applyFont="1" applyAlignment="1"/>
    <xf numFmtId="43" fontId="0" fillId="9" borderId="0" xfId="1" applyFont="1" applyFill="1" applyAlignment="1">
      <alignment horizontal="center"/>
    </xf>
    <xf numFmtId="0" fontId="0" fillId="0" borderId="5" xfId="0" applyBorder="1"/>
    <xf numFmtId="43" fontId="0" fillId="0" borderId="5" xfId="1" applyFont="1" applyBorder="1"/>
    <xf numFmtId="43" fontId="0" fillId="9" borderId="5" xfId="1" applyFont="1" applyFill="1" applyBorder="1"/>
    <xf numFmtId="43" fontId="0" fillId="0" borderId="0" xfId="1" applyFont="1" applyFill="1" applyBorder="1" applyAlignment="1">
      <alignment horizontal="center"/>
    </xf>
    <xf numFmtId="43" fontId="0" fillId="9" borderId="0" xfId="1" applyFont="1" applyFill="1"/>
    <xf numFmtId="164" fontId="19" fillId="0" borderId="7" xfId="1" applyNumberFormat="1" applyFont="1" applyBorder="1"/>
    <xf numFmtId="0" fontId="17" fillId="0" borderId="5" xfId="0" applyFont="1" applyBorder="1"/>
    <xf numFmtId="0" fontId="0" fillId="0" borderId="0" xfId="0" applyAlignment="1">
      <alignment horizontal="right"/>
    </xf>
    <xf numFmtId="43" fontId="0" fillId="0" borderId="0" xfId="23" applyFont="1" applyFill="1"/>
    <xf numFmtId="43" fontId="0" fillId="0" borderId="0" xfId="23" applyFont="1" applyFill="1" applyBorder="1"/>
    <xf numFmtId="9" fontId="17" fillId="0" borderId="0" xfId="24" applyFont="1"/>
    <xf numFmtId="43" fontId="2" fillId="0" borderId="5" xfId="1" applyFont="1" applyBorder="1" applyAlignment="1" applyProtection="1">
      <alignment horizontal="right"/>
      <protection locked="0"/>
    </xf>
    <xf numFmtId="43" fontId="2" fillId="0" borderId="1" xfId="1" applyFont="1" applyBorder="1" applyAlignment="1" applyProtection="1">
      <alignment horizontal="right"/>
      <protection locked="0"/>
    </xf>
    <xf numFmtId="40" fontId="8" fillId="5" borderId="0" xfId="12" quotePrefix="1" applyNumberFormat="1" applyFont="1" applyFill="1" applyAlignment="1">
      <alignment horizontal="right"/>
    </xf>
    <xf numFmtId="40" fontId="8" fillId="10" borderId="0" xfId="12" quotePrefix="1" applyNumberFormat="1" applyFont="1" applyFill="1" applyAlignment="1">
      <alignment horizontal="right"/>
    </xf>
    <xf numFmtId="164" fontId="2" fillId="0" borderId="0" xfId="1" applyNumberFormat="1" applyFont="1"/>
    <xf numFmtId="43" fontId="24" fillId="0" borderId="0" xfId="1" quotePrefix="1" applyFont="1" applyAlignment="1">
      <alignment horizontal="right"/>
    </xf>
    <xf numFmtId="43" fontId="0" fillId="11" borderId="0" xfId="0" applyNumberFormat="1" applyFill="1"/>
    <xf numFmtId="164" fontId="25" fillId="0" borderId="0" xfId="1" applyNumberFormat="1" applyFont="1"/>
    <xf numFmtId="0" fontId="26" fillId="0" borderId="0" xfId="0" applyFont="1"/>
    <xf numFmtId="0" fontId="27" fillId="0" borderId="0" xfId="12" quotePrefix="1" applyFont="1">
      <alignment horizontal="left"/>
    </xf>
    <xf numFmtId="43" fontId="0" fillId="11" borderId="0" xfId="1" applyFont="1" applyFill="1"/>
    <xf numFmtId="0" fontId="0" fillId="0" borderId="4" xfId="0" applyBorder="1"/>
    <xf numFmtId="43" fontId="0" fillId="0" borderId="3" xfId="1" applyFont="1" applyBorder="1"/>
    <xf numFmtId="43" fontId="0" fillId="0" borderId="3" xfId="0" applyNumberFormat="1" applyBorder="1"/>
    <xf numFmtId="0" fontId="27" fillId="0" borderId="0" xfId="12" applyFont="1">
      <alignment horizontal="left"/>
    </xf>
    <xf numFmtId="165" fontId="13" fillId="3" borderId="0" xfId="1" quotePrefix="1" applyNumberFormat="1" applyFont="1" applyFill="1" applyAlignment="1">
      <alignment horizontal="center"/>
    </xf>
    <xf numFmtId="43" fontId="0" fillId="0" borderId="3" xfId="23" applyFont="1" applyFill="1" applyBorder="1"/>
    <xf numFmtId="0" fontId="28" fillId="0" borderId="0" xfId="0" applyFont="1"/>
    <xf numFmtId="166" fontId="16" fillId="0" borderId="0" xfId="25" applyNumberFormat="1" applyFont="1" applyAlignment="1" applyProtection="1">
      <alignment horizontal="right"/>
      <protection locked="0"/>
    </xf>
    <xf numFmtId="166" fontId="2" fillId="0" borderId="0" xfId="25" applyNumberFormat="1" applyFont="1"/>
    <xf numFmtId="0" fontId="29" fillId="0" borderId="0" xfId="0" applyFont="1"/>
    <xf numFmtId="43" fontId="29" fillId="0" borderId="0" xfId="1" applyFont="1"/>
    <xf numFmtId="0" fontId="29" fillId="0" borderId="5" xfId="0" applyFont="1" applyBorder="1"/>
    <xf numFmtId="43" fontId="29" fillId="0" borderId="5" xfId="1" applyFont="1" applyBorder="1"/>
    <xf numFmtId="0" fontId="29" fillId="5" borderId="0" xfId="0" applyFont="1" applyFill="1"/>
    <xf numFmtId="167" fontId="30" fillId="0" borderId="0" xfId="0" applyNumberFormat="1" applyFont="1"/>
    <xf numFmtId="49" fontId="30" fillId="0" borderId="0" xfId="0" applyNumberFormat="1" applyFont="1"/>
    <xf numFmtId="43" fontId="30" fillId="0" borderId="0" xfId="1" applyFont="1"/>
    <xf numFmtId="168" fontId="30" fillId="0" borderId="0" xfId="0" applyNumberFormat="1" applyFont="1"/>
    <xf numFmtId="168" fontId="30" fillId="5" borderId="0" xfId="0" applyNumberFormat="1" applyFont="1" applyFill="1"/>
    <xf numFmtId="0" fontId="27" fillId="0" borderId="0" xfId="13" quotePrefix="1" applyFont="1">
      <alignment horizontal="left"/>
    </xf>
    <xf numFmtId="43" fontId="23" fillId="0" borderId="0" xfId="1" quotePrefix="1" applyFont="1" applyAlignment="1">
      <alignment horizontal="right"/>
    </xf>
    <xf numFmtId="43" fontId="0" fillId="0" borderId="0" xfId="1" applyFont="1" applyFill="1" applyAlignment="1">
      <alignment horizontal="left" indent="2"/>
    </xf>
    <xf numFmtId="43" fontId="2" fillId="0" borderId="0" xfId="0" applyNumberFormat="1" applyFont="1"/>
    <xf numFmtId="12" fontId="16" fillId="0" borderId="0" xfId="1" applyNumberFormat="1" applyFont="1" applyAlignment="1" applyProtection="1">
      <alignment horizontal="right"/>
      <protection locked="0"/>
    </xf>
    <xf numFmtId="40" fontId="2" fillId="0" borderId="0" xfId="0" applyNumberFormat="1" applyFont="1"/>
    <xf numFmtId="43" fontId="29" fillId="0" borderId="0" xfId="0" applyNumberFormat="1" applyFont="1"/>
    <xf numFmtId="0" fontId="23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49" fontId="13" fillId="3" borderId="0" xfId="21" quotePrefix="1" applyNumberFormat="1" applyFont="1">
      <alignment horizontal="center" vertical="center"/>
    </xf>
    <xf numFmtId="0" fontId="13" fillId="3" borderId="0" xfId="20" quotePrefix="1" applyFont="1" applyAlignment="1">
      <alignment horizontal="center" vertical="center" wrapText="1"/>
    </xf>
    <xf numFmtId="43" fontId="0" fillId="0" borderId="0" xfId="1" applyFont="1" applyAlignment="1">
      <alignment horizontal="center"/>
    </xf>
  </cellXfs>
  <cellStyles count="26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3" xr:uid="{B992CCD2-2B94-4DCC-A765-CB7D3D14315D}"/>
    <cellStyle name="Currency" xfId="25" builtinId="4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4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2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F5CCA-A0F2-4B4A-91EE-30F572CC3A6B}">
  <sheetPr>
    <pageSetUpPr fitToPage="1"/>
  </sheetPr>
  <dimension ref="A1:W82"/>
  <sheetViews>
    <sheetView topLeftCell="A30" zoomScale="115" zoomScaleNormal="115" workbookViewId="0">
      <selection activeCell="I61" sqref="I61"/>
    </sheetView>
  </sheetViews>
  <sheetFormatPr defaultColWidth="15.7109375" defaultRowHeight="12" x14ac:dyDescent="0.2"/>
  <cols>
    <col min="1" max="1" width="4.5703125" style="64" bestFit="1" customWidth="1"/>
    <col min="2" max="2" width="13" style="64" customWidth="1"/>
    <col min="3" max="3" width="11" style="64" bestFit="1" customWidth="1"/>
    <col min="4" max="4" width="12.85546875" style="66" bestFit="1" customWidth="1"/>
    <col min="5" max="5" width="8.42578125" style="64" bestFit="1" customWidth="1"/>
    <col min="6" max="6" width="5.7109375" style="64" customWidth="1"/>
    <col min="7" max="7" width="38" style="64" bestFit="1" customWidth="1"/>
    <col min="8" max="8" width="1.7109375" style="64" customWidth="1"/>
    <col min="9" max="9" width="14.85546875" style="64" customWidth="1"/>
    <col min="10" max="10" width="14.7109375" style="64" bestFit="1" customWidth="1"/>
    <col min="11" max="11" width="14.28515625" style="66" bestFit="1" customWidth="1"/>
    <col min="12" max="12" width="14.140625" style="64" customWidth="1"/>
    <col min="13" max="13" width="2.7109375" style="64" customWidth="1"/>
    <col min="14" max="14" width="14.7109375" style="64" bestFit="1" customWidth="1"/>
    <col min="15" max="15" width="14.28515625" style="66" bestFit="1" customWidth="1"/>
    <col min="16" max="16" width="13.5703125" style="64" bestFit="1" customWidth="1"/>
    <col min="17" max="17" width="15.7109375" style="64"/>
    <col min="18" max="18" width="0" style="64" hidden="1" customWidth="1"/>
    <col min="19" max="19" width="15.7109375" style="64"/>
    <col min="20" max="20" width="0" style="64" hidden="1" customWidth="1"/>
    <col min="21" max="21" width="15.7109375" style="64"/>
    <col min="22" max="22" width="0" style="64" hidden="1" customWidth="1"/>
    <col min="23" max="16384" width="15.7109375" style="64"/>
  </cols>
  <sheetData>
    <row r="1" spans="2:17" s="61" customFormat="1" x14ac:dyDescent="0.2">
      <c r="B1" s="157" t="s">
        <v>875</v>
      </c>
      <c r="C1" s="157"/>
      <c r="D1" s="157"/>
      <c r="E1" s="157"/>
      <c r="F1" s="157"/>
      <c r="G1" s="157"/>
      <c r="H1" s="63"/>
      <c r="I1" s="158" t="s">
        <v>413</v>
      </c>
      <c r="J1" s="158"/>
      <c r="K1" s="158"/>
      <c r="L1" s="158"/>
      <c r="M1" s="158"/>
      <c r="N1" s="158"/>
      <c r="O1" s="158"/>
      <c r="P1" s="158"/>
      <c r="Q1" s="118"/>
    </row>
    <row r="2" spans="2:17" x14ac:dyDescent="0.2">
      <c r="B2" s="65"/>
    </row>
    <row r="3" spans="2:17" x14ac:dyDescent="0.2">
      <c r="B3" s="157" t="s">
        <v>414</v>
      </c>
      <c r="C3" s="157"/>
      <c r="D3" s="157"/>
      <c r="E3" s="157"/>
      <c r="I3" s="157" t="s">
        <v>467</v>
      </c>
      <c r="J3" s="157"/>
      <c r="K3" s="157"/>
      <c r="L3" s="157"/>
      <c r="M3" s="157"/>
      <c r="N3" s="157"/>
      <c r="O3" s="157"/>
      <c r="P3" s="157"/>
    </row>
    <row r="4" spans="2:17" s="61" customFormat="1" ht="36" x14ac:dyDescent="0.2">
      <c r="B4" s="67">
        <v>46053</v>
      </c>
      <c r="C4" s="68" t="s">
        <v>415</v>
      </c>
      <c r="D4" s="69" t="s">
        <v>416</v>
      </c>
      <c r="E4" s="70" t="s">
        <v>417</v>
      </c>
      <c r="F4" s="62"/>
      <c r="G4" s="71" t="s">
        <v>354</v>
      </c>
      <c r="H4" s="62"/>
      <c r="I4" s="72" t="s">
        <v>876</v>
      </c>
      <c r="J4" s="72" t="s">
        <v>877</v>
      </c>
      <c r="K4" s="69" t="s">
        <v>416</v>
      </c>
      <c r="L4" s="70" t="s">
        <v>418</v>
      </c>
      <c r="M4" s="73"/>
      <c r="N4" s="70" t="s">
        <v>419</v>
      </c>
      <c r="O4" s="69" t="s">
        <v>416</v>
      </c>
      <c r="P4" s="70" t="s">
        <v>420</v>
      </c>
    </row>
    <row r="6" spans="2:17" x14ac:dyDescent="0.2">
      <c r="B6" s="74">
        <v>150750</v>
      </c>
      <c r="C6" s="74">
        <v>63000</v>
      </c>
      <c r="D6" s="74">
        <f t="shared" ref="D6:D13" si="0">B6-C6</f>
        <v>87750</v>
      </c>
      <c r="E6" s="75">
        <f>+B6/C6</f>
        <v>2.3928571428571428</v>
      </c>
      <c r="G6" s="64" t="s">
        <v>350</v>
      </c>
      <c r="H6" s="64" t="s">
        <v>133</v>
      </c>
      <c r="I6" s="74">
        <v>938699.67</v>
      </c>
      <c r="J6" s="74">
        <v>637000</v>
      </c>
      <c r="K6" s="74">
        <f t="shared" ref="K6:K13" si="1">I6-J6</f>
        <v>301699.67000000004</v>
      </c>
      <c r="L6" s="75">
        <f t="shared" ref="L6:L21" si="2">+I6/J6</f>
        <v>1.4736258555729984</v>
      </c>
      <c r="M6" s="75"/>
      <c r="N6" s="74">
        <v>700000</v>
      </c>
      <c r="O6" s="74">
        <f t="shared" ref="O6:O13" si="3">I6-N6</f>
        <v>238699.67000000004</v>
      </c>
      <c r="P6" s="75">
        <f t="shared" ref="P6:P14" si="4">+I6/N6</f>
        <v>1.3409995285714287</v>
      </c>
    </row>
    <row r="7" spans="2:17" x14ac:dyDescent="0.2">
      <c r="B7" s="74">
        <v>18181.53</v>
      </c>
      <c r="C7" s="74">
        <v>8250</v>
      </c>
      <c r="D7" s="74">
        <f t="shared" si="0"/>
        <v>9931.5299999999988</v>
      </c>
      <c r="E7" s="75">
        <f>+B7/C7</f>
        <v>2.2038218181818179</v>
      </c>
      <c r="G7" s="64" t="s">
        <v>421</v>
      </c>
      <c r="I7" s="74">
        <v>832691.49</v>
      </c>
      <c r="J7" s="74">
        <v>800250</v>
      </c>
      <c r="K7" s="74">
        <f t="shared" si="1"/>
        <v>32441.489999999991</v>
      </c>
      <c r="L7" s="75">
        <f t="shared" si="2"/>
        <v>1.0405391940018744</v>
      </c>
      <c r="M7" s="75"/>
      <c r="N7" s="74">
        <v>825000</v>
      </c>
      <c r="O7" s="74">
        <f t="shared" si="3"/>
        <v>7691.4899999999907</v>
      </c>
      <c r="P7" s="75">
        <f t="shared" si="4"/>
        <v>1.0093230181818182</v>
      </c>
    </row>
    <row r="8" spans="2:17" x14ac:dyDescent="0.2">
      <c r="B8" s="74">
        <v>3535.7</v>
      </c>
      <c r="C8" s="74">
        <v>4750</v>
      </c>
      <c r="D8" s="74">
        <f t="shared" si="0"/>
        <v>-1214.3000000000002</v>
      </c>
      <c r="E8" s="75">
        <f t="shared" ref="E8:E21" si="5">+B8/C8</f>
        <v>0.74435789473684211</v>
      </c>
      <c r="G8" s="64" t="s">
        <v>346</v>
      </c>
      <c r="I8" s="74">
        <v>477277.62</v>
      </c>
      <c r="J8" s="74">
        <v>470250</v>
      </c>
      <c r="K8" s="74">
        <f t="shared" si="1"/>
        <v>7027.6199999999953</v>
      </c>
      <c r="L8" s="75">
        <f t="shared" si="2"/>
        <v>1.0149444338118023</v>
      </c>
      <c r="M8" s="75"/>
      <c r="N8" s="74">
        <v>475000</v>
      </c>
      <c r="O8" s="74">
        <f t="shared" si="3"/>
        <v>2277.6199999999953</v>
      </c>
      <c r="P8" s="75">
        <f t="shared" si="4"/>
        <v>1.0047949894736843</v>
      </c>
    </row>
    <row r="9" spans="2:17" x14ac:dyDescent="0.2">
      <c r="B9" s="74">
        <v>2650</v>
      </c>
      <c r="C9" s="74">
        <v>17050</v>
      </c>
      <c r="D9" s="74">
        <f t="shared" si="0"/>
        <v>-14400</v>
      </c>
      <c r="E9" s="75">
        <f t="shared" si="5"/>
        <v>0.15542521994134897</v>
      </c>
      <c r="G9" s="64" t="s">
        <v>422</v>
      </c>
      <c r="I9" s="74">
        <v>505426</v>
      </c>
      <c r="J9" s="74">
        <v>427950</v>
      </c>
      <c r="K9" s="74">
        <f t="shared" si="1"/>
        <v>77476</v>
      </c>
      <c r="L9" s="75">
        <f t="shared" si="2"/>
        <v>1.1810398411029326</v>
      </c>
      <c r="M9" s="75"/>
      <c r="N9" s="74">
        <v>445000</v>
      </c>
      <c r="O9" s="74">
        <f t="shared" si="3"/>
        <v>60426</v>
      </c>
      <c r="P9" s="75">
        <f t="shared" si="4"/>
        <v>1.1357887640449438</v>
      </c>
    </row>
    <row r="10" spans="2:17" x14ac:dyDescent="0.2">
      <c r="B10" s="74">
        <v>0</v>
      </c>
      <c r="C10" s="74">
        <v>0</v>
      </c>
      <c r="D10" s="74">
        <f t="shared" si="0"/>
        <v>0</v>
      </c>
      <c r="E10" s="75">
        <v>0</v>
      </c>
      <c r="G10" s="64" t="s">
        <v>423</v>
      </c>
      <c r="I10" s="74">
        <v>2046674.24</v>
      </c>
      <c r="J10" s="74">
        <v>2010000</v>
      </c>
      <c r="K10" s="74">
        <f t="shared" si="1"/>
        <v>36674.239999999991</v>
      </c>
      <c r="L10" s="75">
        <f t="shared" si="2"/>
        <v>1.0182458905472638</v>
      </c>
      <c r="M10" s="75"/>
      <c r="N10" s="74">
        <v>2010000</v>
      </c>
      <c r="O10" s="74">
        <f t="shared" si="3"/>
        <v>36674.239999999991</v>
      </c>
      <c r="P10" s="75">
        <f t="shared" si="4"/>
        <v>1.0182458905472638</v>
      </c>
    </row>
    <row r="11" spans="2:17" x14ac:dyDescent="0.2">
      <c r="B11" s="74">
        <v>41949.03</v>
      </c>
      <c r="C11" s="74">
        <v>43023</v>
      </c>
      <c r="D11" s="74">
        <f t="shared" si="0"/>
        <v>-1073.9700000000012</v>
      </c>
      <c r="E11" s="75">
        <f t="shared" si="5"/>
        <v>0.97503730562722257</v>
      </c>
      <c r="G11" s="64" t="s">
        <v>424</v>
      </c>
      <c r="I11" s="74">
        <v>551191.25</v>
      </c>
      <c r="J11" s="74">
        <v>553730</v>
      </c>
      <c r="K11" s="74">
        <f t="shared" si="1"/>
        <v>-2538.75</v>
      </c>
      <c r="L11" s="75">
        <f t="shared" si="2"/>
        <v>0.99541518429559528</v>
      </c>
      <c r="M11" s="75"/>
      <c r="N11" s="74">
        <v>600000</v>
      </c>
      <c r="O11" s="74">
        <f t="shared" si="3"/>
        <v>-48808.75</v>
      </c>
      <c r="P11" s="75">
        <f>+I11/N11</f>
        <v>0.91865208333333337</v>
      </c>
    </row>
    <row r="12" spans="2:17" x14ac:dyDescent="0.2">
      <c r="B12" s="74">
        <v>18124.18</v>
      </c>
      <c r="C12" s="74">
        <v>15658</v>
      </c>
      <c r="D12" s="74">
        <f t="shared" si="0"/>
        <v>2466.1800000000003</v>
      </c>
      <c r="E12" s="75">
        <f t="shared" si="5"/>
        <v>1.1575028739302593</v>
      </c>
      <c r="G12" s="64" t="s">
        <v>425</v>
      </c>
      <c r="I12" s="74">
        <v>748490.22</v>
      </c>
      <c r="J12" s="74">
        <v>463003</v>
      </c>
      <c r="K12" s="74">
        <f t="shared" si="1"/>
        <v>285487.21999999997</v>
      </c>
      <c r="L12" s="75">
        <f t="shared" si="2"/>
        <v>1.6165990717122782</v>
      </c>
      <c r="M12" s="75"/>
      <c r="N12" s="74">
        <v>477000</v>
      </c>
      <c r="O12" s="74">
        <f t="shared" si="3"/>
        <v>271490.21999999997</v>
      </c>
      <c r="P12" s="75">
        <f t="shared" si="4"/>
        <v>1.5691618867924528</v>
      </c>
    </row>
    <row r="13" spans="2:17" x14ac:dyDescent="0.2">
      <c r="B13" s="74">
        <f>282538.58-235190</f>
        <v>47348.580000000016</v>
      </c>
      <c r="C13" s="74">
        <f>189601-151731</f>
        <v>37870</v>
      </c>
      <c r="D13" s="74">
        <f t="shared" si="0"/>
        <v>9478.5800000000163</v>
      </c>
      <c r="E13" s="75">
        <f t="shared" si="5"/>
        <v>1.2502925798785323</v>
      </c>
      <c r="G13" s="64" t="s">
        <v>426</v>
      </c>
      <c r="I13" s="74">
        <v>978682.22</v>
      </c>
      <c r="J13" s="74">
        <f>5994862-5362183</f>
        <v>632679</v>
      </c>
      <c r="K13" s="74">
        <f t="shared" si="1"/>
        <v>346003.22</v>
      </c>
      <c r="L13" s="75">
        <f t="shared" si="2"/>
        <v>1.5468858931622513</v>
      </c>
      <c r="M13" s="75"/>
      <c r="N13" s="74">
        <f>6192000-5532000</f>
        <v>660000</v>
      </c>
      <c r="O13" s="74">
        <f t="shared" si="3"/>
        <v>318682.21999999997</v>
      </c>
      <c r="P13" s="75">
        <f t="shared" si="4"/>
        <v>1.4828518484848485</v>
      </c>
    </row>
    <row r="14" spans="2:17" x14ac:dyDescent="0.2">
      <c r="B14" s="76">
        <f>SUM(B6:B13)</f>
        <v>282539.02</v>
      </c>
      <c r="C14" s="76">
        <f>SUM(C6:C13)</f>
        <v>189601</v>
      </c>
      <c r="D14" s="76">
        <f>SUM(D6:D13)</f>
        <v>92938.020000000019</v>
      </c>
      <c r="E14" s="75">
        <f t="shared" si="5"/>
        <v>1.4901768450588342</v>
      </c>
      <c r="F14" s="61"/>
      <c r="G14" s="77" t="s">
        <v>412</v>
      </c>
      <c r="H14" s="61"/>
      <c r="I14" s="76">
        <f>SUM(I6:I13)</f>
        <v>7079132.71</v>
      </c>
      <c r="J14" s="76">
        <f>SUM(J6:J13)</f>
        <v>5994862</v>
      </c>
      <c r="K14" s="76">
        <f>SUM(K6:K13)</f>
        <v>1084270.71</v>
      </c>
      <c r="L14" s="75">
        <f t="shared" si="2"/>
        <v>1.1808666671559747</v>
      </c>
      <c r="M14" s="75"/>
      <c r="N14" s="76">
        <f>SUM(N6:N13)</f>
        <v>6192000</v>
      </c>
      <c r="O14" s="76">
        <f>SUM(O6:O13)</f>
        <v>887132.71</v>
      </c>
      <c r="P14" s="75">
        <f t="shared" si="4"/>
        <v>1.1432707864987079</v>
      </c>
      <c r="Q14" s="78"/>
    </row>
    <row r="15" spans="2:17" x14ac:dyDescent="0.2">
      <c r="E15" s="75"/>
      <c r="L15" s="79"/>
      <c r="M15" s="79"/>
      <c r="P15" s="79"/>
      <c r="Q15" s="78"/>
    </row>
    <row r="16" spans="2:17" x14ac:dyDescent="0.2">
      <c r="B16" s="74">
        <f>+B6*F16</f>
        <v>7537.5</v>
      </c>
      <c r="C16" s="74">
        <f>+F16*C6</f>
        <v>3150</v>
      </c>
      <c r="D16" s="74">
        <f t="shared" ref="D16:D18" si="6">B16-C16</f>
        <v>4387.5</v>
      </c>
      <c r="E16" s="75">
        <f t="shared" si="5"/>
        <v>2.3928571428571428</v>
      </c>
      <c r="F16" s="102">
        <v>0.05</v>
      </c>
      <c r="G16" s="64" t="s">
        <v>464</v>
      </c>
      <c r="I16" s="74">
        <f>+F16*I6</f>
        <v>46934.983500000002</v>
      </c>
      <c r="J16" s="74">
        <f>+F16*J6</f>
        <v>31850</v>
      </c>
      <c r="K16" s="74">
        <f>+I16-J16</f>
        <v>15084.983500000002</v>
      </c>
      <c r="L16" s="75">
        <f t="shared" si="2"/>
        <v>1.4736258555729984</v>
      </c>
      <c r="N16" s="74">
        <f>+F16*N6</f>
        <v>35000</v>
      </c>
      <c r="O16" s="74">
        <f t="shared" ref="O16" si="7">I16-N16</f>
        <v>11934.983500000002</v>
      </c>
      <c r="P16" s="75">
        <f>+I16/N16</f>
        <v>1.3409995285714287</v>
      </c>
      <c r="Q16" s="78"/>
    </row>
    <row r="17" spans="1:17" x14ac:dyDescent="0.2">
      <c r="B17" s="74">
        <f>+F17*B11</f>
        <v>8389.8060000000005</v>
      </c>
      <c r="C17" s="74">
        <f>+F17*C11</f>
        <v>8604.6</v>
      </c>
      <c r="D17" s="74">
        <f t="shared" si="6"/>
        <v>-214.79399999999987</v>
      </c>
      <c r="E17" s="75">
        <f t="shared" si="5"/>
        <v>0.97503730562722268</v>
      </c>
      <c r="F17" s="102">
        <v>0.2</v>
      </c>
      <c r="G17" s="64" t="s">
        <v>465</v>
      </c>
      <c r="I17" s="74">
        <f>+F17*I11</f>
        <v>110238.25</v>
      </c>
      <c r="J17" s="74">
        <f>+F17*J11</f>
        <v>110746</v>
      </c>
      <c r="K17" s="74">
        <f>+I17-J17</f>
        <v>-507.75</v>
      </c>
      <c r="L17" s="75">
        <f t="shared" si="2"/>
        <v>0.99541518429559528</v>
      </c>
      <c r="N17" s="74">
        <f>+F17*N11</f>
        <v>120000</v>
      </c>
      <c r="O17" s="74">
        <f t="shared" ref="O17:O18" si="8">I17-N17</f>
        <v>-9761.75</v>
      </c>
      <c r="P17" s="75">
        <f t="shared" ref="P17:P21" si="9">+I17/N17</f>
        <v>0.91865208333333337</v>
      </c>
      <c r="Q17" s="78"/>
    </row>
    <row r="18" spans="1:17" x14ac:dyDescent="0.2">
      <c r="B18" s="74">
        <f>+F18*B8</f>
        <v>1767.85</v>
      </c>
      <c r="C18" s="74">
        <f>+F18*C8</f>
        <v>2375</v>
      </c>
      <c r="D18" s="74">
        <f t="shared" si="6"/>
        <v>-607.15000000000009</v>
      </c>
      <c r="E18" s="75">
        <f t="shared" si="5"/>
        <v>0.74435789473684211</v>
      </c>
      <c r="F18" s="102">
        <v>0.5</v>
      </c>
      <c r="G18" s="64" t="s">
        <v>466</v>
      </c>
      <c r="I18" s="74">
        <f>+F18*I8</f>
        <v>238638.81</v>
      </c>
      <c r="J18" s="74">
        <f>+F18*J8</f>
        <v>235125</v>
      </c>
      <c r="K18" s="74">
        <f>+I18-J18</f>
        <v>3513.8099999999977</v>
      </c>
      <c r="L18" s="75">
        <f t="shared" si="2"/>
        <v>1.0149444338118023</v>
      </c>
      <c r="N18" s="74">
        <f t="shared" ref="N18" si="10">+F18*N8</f>
        <v>237500</v>
      </c>
      <c r="O18" s="74">
        <f t="shared" si="8"/>
        <v>1138.8099999999977</v>
      </c>
      <c r="P18" s="75">
        <f t="shared" si="9"/>
        <v>1.0047949894736843</v>
      </c>
      <c r="Q18" s="78"/>
    </row>
    <row r="19" spans="1:17" s="80" customFormat="1" ht="14.25" x14ac:dyDescent="0.2">
      <c r="A19" s="64"/>
      <c r="B19" s="76">
        <f>SUM(B16:B18)</f>
        <v>17695.155999999999</v>
      </c>
      <c r="C19" s="76">
        <f>SUM(C16:C18)</f>
        <v>14129.6</v>
      </c>
      <c r="D19" s="76">
        <f>SUM(D11:D18)</f>
        <v>107374.36600000004</v>
      </c>
      <c r="E19" s="75">
        <f t="shared" si="5"/>
        <v>1.2523465632431208</v>
      </c>
      <c r="F19" s="64"/>
      <c r="G19" s="77" t="s">
        <v>427</v>
      </c>
      <c r="H19" s="64"/>
      <c r="I19" s="76">
        <f>SUM(I16:I18)</f>
        <v>395812.04350000003</v>
      </c>
      <c r="J19" s="76">
        <f t="shared" ref="J19:K19" si="11">SUM(J16:J18)</f>
        <v>377721</v>
      </c>
      <c r="K19" s="76">
        <f t="shared" si="11"/>
        <v>18091.0435</v>
      </c>
      <c r="L19" s="75">
        <f t="shared" si="2"/>
        <v>1.0478952546985738</v>
      </c>
      <c r="N19" s="76">
        <f t="shared" ref="N19" si="12">SUM(N16:N18)</f>
        <v>392500</v>
      </c>
      <c r="O19" s="76">
        <f t="shared" ref="O19" si="13">SUM(O16:O18)</f>
        <v>3312.0434999999998</v>
      </c>
      <c r="P19" s="75">
        <f t="shared" si="9"/>
        <v>1.0084383273885351</v>
      </c>
    </row>
    <row r="20" spans="1:17" s="80" customFormat="1" ht="14.25" x14ac:dyDescent="0.2">
      <c r="A20" s="64"/>
      <c r="B20" s="66"/>
      <c r="C20" s="66"/>
      <c r="D20" s="66"/>
      <c r="E20" s="75"/>
      <c r="F20" s="64"/>
      <c r="G20" s="61"/>
      <c r="H20" s="64"/>
      <c r="I20" s="66"/>
      <c r="J20" s="66"/>
      <c r="K20" s="66"/>
      <c r="L20" s="79"/>
      <c r="N20" s="66"/>
    </row>
    <row r="21" spans="1:17" s="80" customFormat="1" ht="14.25" x14ac:dyDescent="0.2">
      <c r="A21" s="64"/>
      <c r="B21" s="76">
        <f>+B14-B19</f>
        <v>264843.864</v>
      </c>
      <c r="C21" s="76">
        <f>+C14-C19</f>
        <v>175471.4</v>
      </c>
      <c r="D21" s="76">
        <f>+D14-D19</f>
        <v>-14436.34600000002</v>
      </c>
      <c r="E21" s="75">
        <f t="shared" si="5"/>
        <v>1.509327810685958</v>
      </c>
      <c r="F21" s="64"/>
      <c r="G21" s="77" t="s">
        <v>428</v>
      </c>
      <c r="H21" s="64"/>
      <c r="I21" s="76">
        <f>+I14-I19</f>
        <v>6683320.6665000003</v>
      </c>
      <c r="J21" s="76">
        <f>+J14-J19</f>
        <v>5617141</v>
      </c>
      <c r="K21" s="76">
        <f>+K14-K19</f>
        <v>1066179.6665000001</v>
      </c>
      <c r="L21" s="75">
        <f t="shared" si="2"/>
        <v>1.1898082434640684</v>
      </c>
      <c r="N21" s="76">
        <f>+N14-N19</f>
        <v>5799500</v>
      </c>
      <c r="O21" s="76">
        <f>+O14-O19</f>
        <v>883820.66649999993</v>
      </c>
      <c r="P21" s="75">
        <f t="shared" si="9"/>
        <v>1.1523960111216485</v>
      </c>
    </row>
    <row r="22" spans="1:17" s="80" customFormat="1" ht="14.25" x14ac:dyDescent="0.2">
      <c r="A22" s="64"/>
      <c r="B22" s="66"/>
      <c r="C22" s="66"/>
      <c r="D22" s="66"/>
      <c r="E22" s="75"/>
      <c r="F22" s="64"/>
      <c r="G22" s="64"/>
      <c r="H22" s="64"/>
      <c r="I22" s="66"/>
      <c r="J22" s="66"/>
      <c r="K22" s="66"/>
      <c r="L22" s="79"/>
    </row>
    <row r="23" spans="1:17" s="61" customFormat="1" ht="36" x14ac:dyDescent="0.2">
      <c r="B23" s="67">
        <f>+B4</f>
        <v>46053</v>
      </c>
      <c r="C23" s="114" t="s">
        <v>415</v>
      </c>
      <c r="D23" s="81" t="s">
        <v>416</v>
      </c>
      <c r="E23" s="82"/>
      <c r="G23" s="71" t="s">
        <v>411</v>
      </c>
      <c r="I23" s="83" t="str">
        <f>I4</f>
        <v>Actual April 2025 - January 2026</v>
      </c>
      <c r="J23" s="70" t="str">
        <f>J4</f>
        <v>Budgeted April 2025 - January 2026</v>
      </c>
      <c r="K23" s="69" t="s">
        <v>416</v>
      </c>
      <c r="L23" s="70" t="s">
        <v>417</v>
      </c>
      <c r="M23" s="73"/>
      <c r="N23" s="70" t="s">
        <v>419</v>
      </c>
      <c r="O23" s="69" t="s">
        <v>416</v>
      </c>
      <c r="P23" s="70" t="s">
        <v>420</v>
      </c>
      <c r="Q23" s="78"/>
    </row>
    <row r="24" spans="1:17" x14ac:dyDescent="0.2">
      <c r="C24" s="113"/>
      <c r="E24" s="75"/>
      <c r="L24" s="79"/>
      <c r="M24" s="79"/>
      <c r="P24" s="79"/>
      <c r="Q24" s="78"/>
    </row>
    <row r="25" spans="1:17" x14ac:dyDescent="0.2">
      <c r="B25" s="74">
        <v>10235.25</v>
      </c>
      <c r="C25" s="74">
        <v>22658</v>
      </c>
      <c r="D25" s="74">
        <f>+B25-C25</f>
        <v>-12422.75</v>
      </c>
      <c r="E25" s="75">
        <f>+B25/C25</f>
        <v>0.45172786653720542</v>
      </c>
      <c r="G25" s="64" t="s">
        <v>429</v>
      </c>
      <c r="I25" s="74">
        <v>420933.45</v>
      </c>
      <c r="J25" s="74">
        <v>360342</v>
      </c>
      <c r="K25" s="74">
        <f>I25-J25</f>
        <v>60591.450000000012</v>
      </c>
      <c r="L25" s="75">
        <f>+I25/J25</f>
        <v>1.1681498409843982</v>
      </c>
      <c r="M25" s="75"/>
      <c r="N25" s="74">
        <v>383000</v>
      </c>
      <c r="O25" s="74">
        <f>I25-N25</f>
        <v>37933.450000000012</v>
      </c>
      <c r="P25" s="75">
        <f>+I25/N25</f>
        <v>1.099042950391645</v>
      </c>
      <c r="Q25" s="78"/>
    </row>
    <row r="26" spans="1:17" x14ac:dyDescent="0.2">
      <c r="B26" s="74">
        <v>3297.01</v>
      </c>
      <c r="C26" s="74">
        <v>8124</v>
      </c>
      <c r="D26" s="74">
        <f>+B26-C26</f>
        <v>-4826.99</v>
      </c>
      <c r="E26" s="75">
        <f>+B26/C26</f>
        <v>0.40583579517479079</v>
      </c>
      <c r="G26" s="64" t="s">
        <v>430</v>
      </c>
      <c r="I26" s="74">
        <v>89547.72</v>
      </c>
      <c r="J26" s="74">
        <v>89375</v>
      </c>
      <c r="K26" s="74">
        <f>I26-J26</f>
        <v>172.72000000000116</v>
      </c>
      <c r="L26" s="75">
        <f>+I26/J26</f>
        <v>1.0019325314685315</v>
      </c>
      <c r="M26" s="75"/>
      <c r="N26" s="74">
        <v>98000</v>
      </c>
      <c r="O26" s="74">
        <f>I26-N26</f>
        <v>-8452.2799999999988</v>
      </c>
      <c r="P26" s="75">
        <f>+I26/N26</f>
        <v>0.91375224489795914</v>
      </c>
      <c r="Q26" s="78"/>
    </row>
    <row r="27" spans="1:17" s="61" customFormat="1" x14ac:dyDescent="0.2">
      <c r="B27" s="84">
        <f>SUM(B25:B26)</f>
        <v>13532.26</v>
      </c>
      <c r="C27" s="84">
        <f>SUM(C24:C26)</f>
        <v>30782</v>
      </c>
      <c r="D27" s="84">
        <f>+B27-C27</f>
        <v>-17249.739999999998</v>
      </c>
      <c r="E27" s="75">
        <f>+B27/C27</f>
        <v>0.43961600935611722</v>
      </c>
      <c r="G27" s="61" t="s">
        <v>431</v>
      </c>
      <c r="I27" s="84">
        <f>SUM(I25:I26)</f>
        <v>510481.17000000004</v>
      </c>
      <c r="J27" s="84">
        <f>SUM(J25:J26)</f>
        <v>449717</v>
      </c>
      <c r="K27" s="84">
        <f>SUM(K25:K26)</f>
        <v>60764.170000000013</v>
      </c>
      <c r="L27" s="75">
        <f>+I27/J27</f>
        <v>1.1351164621306289</v>
      </c>
      <c r="M27" s="75"/>
      <c r="N27" s="84">
        <f>SUM(N25:N26)</f>
        <v>481000</v>
      </c>
      <c r="O27" s="84">
        <f>SUM(O25:O26)</f>
        <v>29481.170000000013</v>
      </c>
      <c r="P27" s="75">
        <f>+I27/N27</f>
        <v>1.0612914137214138</v>
      </c>
      <c r="Q27" s="78"/>
    </row>
    <row r="28" spans="1:17" x14ac:dyDescent="0.2">
      <c r="B28" s="66"/>
      <c r="C28" s="66"/>
      <c r="E28" s="75"/>
      <c r="I28" s="66"/>
      <c r="J28" s="66"/>
      <c r="L28" s="79"/>
      <c r="M28" s="79"/>
      <c r="N28" s="66"/>
      <c r="P28" s="79"/>
      <c r="Q28" s="78"/>
    </row>
    <row r="29" spans="1:17" x14ac:dyDescent="0.2">
      <c r="B29" s="74">
        <v>43361.120000000003</v>
      </c>
      <c r="C29" s="74">
        <v>41239</v>
      </c>
      <c r="D29" s="74">
        <f>B29-C29</f>
        <v>2122.1200000000026</v>
      </c>
      <c r="E29" s="75">
        <f>+B29/C29</f>
        <v>1.0514590557481995</v>
      </c>
      <c r="G29" s="64" t="s">
        <v>432</v>
      </c>
      <c r="I29" s="74">
        <v>515332.94</v>
      </c>
      <c r="J29" s="74">
        <v>487420</v>
      </c>
      <c r="K29" s="74">
        <f>I29-J29</f>
        <v>27912.940000000002</v>
      </c>
      <c r="L29" s="75">
        <f>+I29/J29</f>
        <v>1.0572667104345328</v>
      </c>
      <c r="M29" s="75"/>
      <c r="N29" s="74">
        <v>528658</v>
      </c>
      <c r="O29" s="74">
        <f>I29-N29</f>
        <v>-13325.059999999998</v>
      </c>
      <c r="P29" s="75">
        <f>+I29/N29</f>
        <v>0.97479455527013681</v>
      </c>
      <c r="Q29" s="78"/>
    </row>
    <row r="30" spans="1:17" x14ac:dyDescent="0.2">
      <c r="B30" s="74">
        <v>0.45</v>
      </c>
      <c r="C30" s="74">
        <v>1</v>
      </c>
      <c r="D30" s="74">
        <f>B30-C30</f>
        <v>-0.55000000000000004</v>
      </c>
      <c r="E30" s="75">
        <f>+B30/C30</f>
        <v>0.45</v>
      </c>
      <c r="G30" s="64" t="s">
        <v>433</v>
      </c>
      <c r="I30" s="74">
        <v>5171.4799999999996</v>
      </c>
      <c r="J30" s="74">
        <v>5463</v>
      </c>
      <c r="K30" s="74">
        <f>I30-J30</f>
        <v>-291.52000000000044</v>
      </c>
      <c r="L30" s="75">
        <f>+I30/J30</f>
        <v>0.9466373787296356</v>
      </c>
      <c r="M30" s="75"/>
      <c r="N30" s="74">
        <v>5465</v>
      </c>
      <c r="O30" s="74">
        <f>I30-N30</f>
        <v>-293.52000000000044</v>
      </c>
      <c r="P30" s="75">
        <f>+I30/N30</f>
        <v>0.94629094236047573</v>
      </c>
      <c r="Q30" s="78"/>
    </row>
    <row r="31" spans="1:17" x14ac:dyDescent="0.2">
      <c r="B31" s="74">
        <f>68533.03-43362</f>
        <v>25171.03</v>
      </c>
      <c r="C31" s="74">
        <f>58697-41240</f>
        <v>17457</v>
      </c>
      <c r="D31" s="74">
        <f>B31-C31</f>
        <v>7714.0299999999988</v>
      </c>
      <c r="E31" s="75">
        <f>+B31/C31</f>
        <v>1.4418874949876839</v>
      </c>
      <c r="G31" s="64" t="s">
        <v>434</v>
      </c>
      <c r="I31" s="74">
        <f>758126.94-520504</f>
        <v>237622.93999999994</v>
      </c>
      <c r="J31" s="74">
        <f>685424-492883</f>
        <v>192541</v>
      </c>
      <c r="K31" s="74">
        <f>I31-J31</f>
        <v>45081.939999999944</v>
      </c>
      <c r="L31" s="75">
        <f>+I31/J31</f>
        <v>1.2341420268929733</v>
      </c>
      <c r="M31" s="75"/>
      <c r="N31" s="74">
        <f>744123-534123</f>
        <v>210000</v>
      </c>
      <c r="O31" s="74">
        <f>I31-N31</f>
        <v>27622.939999999944</v>
      </c>
      <c r="P31" s="75">
        <f>+I31/N31</f>
        <v>1.1315378095238093</v>
      </c>
      <c r="Q31" s="78"/>
    </row>
    <row r="32" spans="1:17" s="61" customFormat="1" x14ac:dyDescent="0.2">
      <c r="B32" s="84">
        <f>SUM(B29:B31)</f>
        <v>68532.600000000006</v>
      </c>
      <c r="C32" s="84">
        <f>SUM(C29:C31)</f>
        <v>58697</v>
      </c>
      <c r="D32" s="84">
        <f>+B32-C32</f>
        <v>9835.6000000000058</v>
      </c>
      <c r="E32" s="75">
        <f>+B32/C32</f>
        <v>1.1675656336780416</v>
      </c>
      <c r="G32" s="61" t="s">
        <v>175</v>
      </c>
      <c r="I32" s="84">
        <f>SUM(I29:I31)</f>
        <v>758127.35999999987</v>
      </c>
      <c r="J32" s="84">
        <f>SUM(J29:J31)</f>
        <v>685424</v>
      </c>
      <c r="K32" s="84">
        <f>SUM(K29:K31)</f>
        <v>72703.359999999942</v>
      </c>
      <c r="L32" s="75">
        <f>+I32/J32</f>
        <v>1.1060706365694808</v>
      </c>
      <c r="M32" s="75"/>
      <c r="N32" s="84">
        <f>SUM(N29:N31)</f>
        <v>744123</v>
      </c>
      <c r="O32" s="84">
        <f>SUM(O29:O31)</f>
        <v>14004.359999999946</v>
      </c>
      <c r="P32" s="75">
        <f>+I32/N32</f>
        <v>1.0188199531529061</v>
      </c>
      <c r="Q32" s="78"/>
    </row>
    <row r="33" spans="1:23" x14ac:dyDescent="0.2">
      <c r="B33" s="66"/>
      <c r="C33" s="66"/>
      <c r="E33" s="75"/>
      <c r="I33" s="66"/>
      <c r="J33" s="66"/>
      <c r="L33" s="79"/>
      <c r="M33" s="79"/>
      <c r="N33" s="66"/>
      <c r="P33" s="79"/>
      <c r="Q33" s="78"/>
    </row>
    <row r="34" spans="1:23" x14ac:dyDescent="0.2">
      <c r="A34" s="64" t="s">
        <v>133</v>
      </c>
      <c r="B34" s="74">
        <v>147613.04</v>
      </c>
      <c r="C34" s="74">
        <v>159512</v>
      </c>
      <c r="D34" s="74">
        <f>B34-C34</f>
        <v>-11898.959999999992</v>
      </c>
      <c r="E34" s="75">
        <f>+B34/C34</f>
        <v>0.92540398214554398</v>
      </c>
      <c r="G34" s="64" t="s">
        <v>435</v>
      </c>
      <c r="I34" s="74">
        <v>1990669.15</v>
      </c>
      <c r="J34" s="74">
        <v>1933717</v>
      </c>
      <c r="K34" s="74">
        <f>I34-J34</f>
        <v>56952.149999999907</v>
      </c>
      <c r="L34" s="75">
        <f>+I34/J34</f>
        <v>1.0294521638895453</v>
      </c>
      <c r="M34" s="75"/>
      <c r="N34" s="74">
        <v>2093228</v>
      </c>
      <c r="O34" s="74">
        <f>I34-N34</f>
        <v>-102558.85000000009</v>
      </c>
      <c r="P34" s="75">
        <f>+I34/N34</f>
        <v>0.95100445340880202</v>
      </c>
      <c r="Q34" s="78"/>
    </row>
    <row r="35" spans="1:23" x14ac:dyDescent="0.2">
      <c r="B35" s="74">
        <v>41870.86</v>
      </c>
      <c r="C35" s="74">
        <v>42477</v>
      </c>
      <c r="D35" s="74">
        <f>B35-C35</f>
        <v>-606.13999999999942</v>
      </c>
      <c r="E35" s="75">
        <f>+B35/C35</f>
        <v>0.98573015985121359</v>
      </c>
      <c r="G35" s="64" t="s">
        <v>436</v>
      </c>
      <c r="I35" s="74">
        <v>531823.85</v>
      </c>
      <c r="J35" s="74">
        <v>496979</v>
      </c>
      <c r="K35" s="74">
        <f>I35-J35</f>
        <v>34844.849999999977</v>
      </c>
      <c r="L35" s="75">
        <f>+I35/J35</f>
        <v>1.0701133247078849</v>
      </c>
      <c r="M35" s="75"/>
      <c r="N35" s="74">
        <v>539457</v>
      </c>
      <c r="O35" s="74">
        <f>I35-N35</f>
        <v>-7633.1500000000233</v>
      </c>
      <c r="P35" s="75">
        <f>+I35/N35</f>
        <v>0.98585030873637747</v>
      </c>
      <c r="Q35" s="78"/>
    </row>
    <row r="36" spans="1:23" x14ac:dyDescent="0.2">
      <c r="B36" s="74">
        <v>673.45</v>
      </c>
      <c r="C36" s="74">
        <v>516</v>
      </c>
      <c r="D36" s="74">
        <f>B36-C36</f>
        <v>157.45000000000005</v>
      </c>
      <c r="E36" s="75">
        <f>+B36/C36</f>
        <v>1.3051356589147287</v>
      </c>
      <c r="G36" s="64" t="s">
        <v>437</v>
      </c>
      <c r="I36" s="74">
        <v>205959.12</v>
      </c>
      <c r="J36" s="74">
        <v>227611</v>
      </c>
      <c r="K36" s="74">
        <f>I36-J36</f>
        <v>-21651.880000000005</v>
      </c>
      <c r="L36" s="75">
        <f>+I36/J36</f>
        <v>0.90487331455861097</v>
      </c>
      <c r="M36" s="75"/>
      <c r="N36" s="74">
        <v>233127</v>
      </c>
      <c r="O36" s="74">
        <f>I36-N36</f>
        <v>-27167.880000000005</v>
      </c>
      <c r="P36" s="75">
        <f>+I36/N36</f>
        <v>0.88346317672341679</v>
      </c>
      <c r="Q36" s="78"/>
    </row>
    <row r="37" spans="1:23" x14ac:dyDescent="0.2">
      <c r="B37" s="74">
        <f>214671.49-190157</f>
        <v>24514.489999999991</v>
      </c>
      <c r="C37" s="74">
        <f>239505-202505</f>
        <v>37000</v>
      </c>
      <c r="D37" s="74">
        <f>B37-C37</f>
        <v>-12485.510000000009</v>
      </c>
      <c r="E37" s="75">
        <f>+B37/C37</f>
        <v>0.66255378378378349</v>
      </c>
      <c r="G37" s="64" t="s">
        <v>438</v>
      </c>
      <c r="I37" s="74">
        <v>459401.75</v>
      </c>
      <c r="J37" s="74">
        <v>407000</v>
      </c>
      <c r="K37" s="74">
        <f>I37-J37</f>
        <v>52401.75</v>
      </c>
      <c r="L37" s="75">
        <f>+I37/J37</f>
        <v>1.1287512285012284</v>
      </c>
      <c r="M37" s="75"/>
      <c r="N37" s="74">
        <f>3309812-2865812</f>
        <v>444000</v>
      </c>
      <c r="O37" s="74">
        <f>I37-N37</f>
        <v>15401.75</v>
      </c>
      <c r="P37" s="75">
        <f>+I37/N37</f>
        <v>1.0346886261261261</v>
      </c>
      <c r="Q37" s="78"/>
    </row>
    <row r="38" spans="1:23" s="61" customFormat="1" x14ac:dyDescent="0.2">
      <c r="B38" s="84">
        <f>SUM(B34:B37)</f>
        <v>214671.84000000003</v>
      </c>
      <c r="C38" s="84">
        <f>SUM(C34:C37)</f>
        <v>239505</v>
      </c>
      <c r="D38" s="84">
        <f>+B38-C38</f>
        <v>-24833.159999999974</v>
      </c>
      <c r="E38" s="75">
        <f>+B38/C38</f>
        <v>0.89631464896348734</v>
      </c>
      <c r="G38" s="61" t="s">
        <v>439</v>
      </c>
      <c r="I38" s="84">
        <f>SUM(I34:I37)</f>
        <v>3187853.87</v>
      </c>
      <c r="J38" s="84">
        <f>SUM(J34:J37)</f>
        <v>3065307</v>
      </c>
      <c r="K38" s="84">
        <f>SUM(K34:K37)</f>
        <v>122546.86999999988</v>
      </c>
      <c r="L38" s="75">
        <f>+I38/J38</f>
        <v>1.0399786611911956</v>
      </c>
      <c r="M38" s="75"/>
      <c r="N38" s="84">
        <f>SUM(N34:N37)</f>
        <v>3309812</v>
      </c>
      <c r="O38" s="84">
        <f>SUM(O34:O37)</f>
        <v>-121958.13000000012</v>
      </c>
      <c r="P38" s="75">
        <f>+I38/N38</f>
        <v>0.96315255065846639</v>
      </c>
      <c r="Q38" s="78"/>
    </row>
    <row r="39" spans="1:23" x14ac:dyDescent="0.2">
      <c r="B39" s="66"/>
      <c r="C39" s="66"/>
      <c r="E39" s="75"/>
      <c r="I39" s="66"/>
      <c r="J39" s="66"/>
      <c r="L39" s="79"/>
      <c r="M39" s="79"/>
      <c r="N39" s="66"/>
      <c r="P39" s="79"/>
      <c r="Q39" s="78"/>
    </row>
    <row r="40" spans="1:23" x14ac:dyDescent="0.2">
      <c r="B40" s="74">
        <v>17728.55</v>
      </c>
      <c r="C40" s="74">
        <v>16347</v>
      </c>
      <c r="D40" s="74">
        <f>B40-C40</f>
        <v>1381.5499999999993</v>
      </c>
      <c r="E40" s="75">
        <f>+B40/C40</f>
        <v>1.0845139780999571</v>
      </c>
      <c r="G40" s="64" t="s">
        <v>440</v>
      </c>
      <c r="I40" s="74">
        <v>187549.13</v>
      </c>
      <c r="J40" s="74">
        <v>190254</v>
      </c>
      <c r="K40" s="74">
        <f>I40-J40</f>
        <v>-2704.8699999999953</v>
      </c>
      <c r="L40" s="75">
        <f>+I40/J40</f>
        <v>0.98578284819241646</v>
      </c>
      <c r="M40" s="75"/>
      <c r="N40" s="74">
        <f>243558-N41-N42</f>
        <v>211600</v>
      </c>
      <c r="O40" s="74">
        <f>I40-N40</f>
        <v>-24050.869999999995</v>
      </c>
      <c r="P40" s="75">
        <f>+I40/N40</f>
        <v>0.88633804347826084</v>
      </c>
      <c r="Q40" s="103"/>
      <c r="S40" s="103"/>
      <c r="U40" s="103"/>
      <c r="W40" s="103"/>
    </row>
    <row r="41" spans="1:23" x14ac:dyDescent="0.2">
      <c r="B41" s="74">
        <v>22.94</v>
      </c>
      <c r="C41" s="74">
        <v>23</v>
      </c>
      <c r="D41" s="74">
        <f>B41-C41</f>
        <v>-5.9999999999998721E-2</v>
      </c>
      <c r="E41" s="75">
        <f>+B41/C41</f>
        <v>0.99739130434782619</v>
      </c>
      <c r="G41" s="64" t="s">
        <v>441</v>
      </c>
      <c r="I41" s="74">
        <v>10404.42</v>
      </c>
      <c r="J41" s="74">
        <v>11285</v>
      </c>
      <c r="K41" s="74">
        <f>I41-J41</f>
        <v>-880.57999999999993</v>
      </c>
      <c r="L41" s="75">
        <f>+I41/J41</f>
        <v>0.92196898537882144</v>
      </c>
      <c r="M41" s="75"/>
      <c r="N41" s="74">
        <v>11308</v>
      </c>
      <c r="O41" s="74">
        <f>I41-N41</f>
        <v>-903.57999999999993</v>
      </c>
      <c r="P41" s="75">
        <f>+I41/N41</f>
        <v>0.92009373894587898</v>
      </c>
    </row>
    <row r="42" spans="1:23" x14ac:dyDescent="0.2">
      <c r="B42" s="74">
        <f>18969.58-17751</f>
        <v>1218.5800000000017</v>
      </c>
      <c r="C42" s="74">
        <f>18508-16370</f>
        <v>2138</v>
      </c>
      <c r="D42" s="74">
        <f>B42-C42</f>
        <v>-919.41999999999825</v>
      </c>
      <c r="E42" s="75">
        <f>+B42/C42</f>
        <v>0.56996258185219917</v>
      </c>
      <c r="G42" s="64" t="s">
        <v>442</v>
      </c>
      <c r="I42" s="74">
        <v>16327.85</v>
      </c>
      <c r="J42" s="74">
        <f>225053-201539</f>
        <v>23514</v>
      </c>
      <c r="K42" s="74">
        <f>I42-J42</f>
        <v>-7186.15</v>
      </c>
      <c r="L42" s="75">
        <f>+I42/J42</f>
        <v>0.6943884494343795</v>
      </c>
      <c r="M42" s="75"/>
      <c r="N42" s="74">
        <f>238558-217908</f>
        <v>20650</v>
      </c>
      <c r="O42" s="74">
        <f>I42-N42</f>
        <v>-4322.1499999999996</v>
      </c>
      <c r="P42" s="75">
        <f>+I42/N42</f>
        <v>0.7906949152542373</v>
      </c>
    </row>
    <row r="43" spans="1:23" s="61" customFormat="1" x14ac:dyDescent="0.2">
      <c r="B43" s="84">
        <f>SUM(B40:B42)</f>
        <v>18970.07</v>
      </c>
      <c r="C43" s="84">
        <f>SUM(C40:C42)</f>
        <v>18508</v>
      </c>
      <c r="D43" s="84">
        <f>SUM(D40:D42)</f>
        <v>462.07000000000107</v>
      </c>
      <c r="E43" s="75">
        <f>+B43/C43</f>
        <v>1.024965960665658</v>
      </c>
      <c r="G43" s="61" t="s">
        <v>443</v>
      </c>
      <c r="I43" s="84">
        <f>SUM(I40:I42)</f>
        <v>214281.40000000002</v>
      </c>
      <c r="J43" s="84">
        <f>SUM(J40:J42)</f>
        <v>225053</v>
      </c>
      <c r="K43" s="84">
        <f>SUM(K40:K42)</f>
        <v>-10771.599999999995</v>
      </c>
      <c r="L43" s="75">
        <f>+I43/J43</f>
        <v>0.95213749650082435</v>
      </c>
      <c r="M43" s="75"/>
      <c r="N43" s="84">
        <f>SUM(N40:N42)</f>
        <v>243558</v>
      </c>
      <c r="O43" s="84">
        <f>SUM(O40:O42)</f>
        <v>-29276.6</v>
      </c>
      <c r="P43" s="75">
        <f>+I43/N43</f>
        <v>0.87979618817694361</v>
      </c>
      <c r="Q43" s="78"/>
    </row>
    <row r="44" spans="1:23" x14ac:dyDescent="0.2">
      <c r="B44" s="66"/>
      <c r="C44" s="66"/>
      <c r="E44" s="75"/>
      <c r="I44" s="66"/>
      <c r="J44" s="66"/>
      <c r="L44" s="79"/>
      <c r="M44" s="79"/>
      <c r="N44" s="66"/>
      <c r="P44" s="79"/>
      <c r="Q44" s="78"/>
    </row>
    <row r="45" spans="1:23" x14ac:dyDescent="0.2">
      <c r="B45" s="74">
        <v>10394.870000000001</v>
      </c>
      <c r="C45" s="74">
        <v>10201</v>
      </c>
      <c r="D45" s="74">
        <f>B45-C45</f>
        <v>193.8700000000008</v>
      </c>
      <c r="E45" s="75">
        <f>+B45/C45</f>
        <v>1.019004999509852</v>
      </c>
      <c r="G45" s="64" t="s">
        <v>444</v>
      </c>
      <c r="I45" s="74">
        <v>128875.38</v>
      </c>
      <c r="J45" s="74">
        <v>119129</v>
      </c>
      <c r="K45" s="74">
        <f>I45-J45</f>
        <v>9746.3800000000047</v>
      </c>
      <c r="L45" s="75">
        <f>+I45/J45</f>
        <v>1.0818136641791671</v>
      </c>
      <c r="M45" s="75"/>
      <c r="N45" s="74">
        <v>129330</v>
      </c>
      <c r="O45" s="74">
        <f>I45-N45</f>
        <v>-454.61999999999534</v>
      </c>
      <c r="P45" s="75">
        <f>+I45/N45</f>
        <v>0.99648480630944103</v>
      </c>
      <c r="Q45" s="78"/>
    </row>
    <row r="46" spans="1:23" x14ac:dyDescent="0.2">
      <c r="B46" s="74">
        <v>33.14</v>
      </c>
      <c r="C46" s="74">
        <v>32</v>
      </c>
      <c r="D46" s="74">
        <f>B46-C46</f>
        <v>1.1400000000000006</v>
      </c>
      <c r="E46" s="75">
        <f>+B46/C46</f>
        <v>1.035625</v>
      </c>
      <c r="G46" s="64" t="s">
        <v>445</v>
      </c>
      <c r="I46" s="74">
        <v>120209.97</v>
      </c>
      <c r="J46" s="74">
        <v>107663</v>
      </c>
      <c r="K46" s="74">
        <f>I46-J46</f>
        <v>12546.970000000001</v>
      </c>
      <c r="L46" s="75">
        <f>+I46/J46</f>
        <v>1.116539293907842</v>
      </c>
      <c r="M46" s="75"/>
      <c r="N46" s="74">
        <v>107695</v>
      </c>
      <c r="O46" s="74">
        <f>I46-N46</f>
        <v>12514.970000000001</v>
      </c>
      <c r="P46" s="75">
        <f>+I46/N46</f>
        <v>1.1162075305260226</v>
      </c>
      <c r="Q46" s="78"/>
    </row>
    <row r="47" spans="1:23" x14ac:dyDescent="0.2">
      <c r="B47" s="74">
        <f>10914.55-10428</f>
        <v>486.54999999999927</v>
      </c>
      <c r="C47" s="74">
        <f>11849-10233</f>
        <v>1616</v>
      </c>
      <c r="D47" s="74">
        <f>B47-C47</f>
        <v>-1129.4500000000007</v>
      </c>
      <c r="E47" s="75">
        <f>+B47/C47</f>
        <v>0.30108292079207877</v>
      </c>
      <c r="G47" s="64" t="s">
        <v>446</v>
      </c>
      <c r="I47" s="74">
        <f>264872.4-249085</f>
        <v>15787.400000000023</v>
      </c>
      <c r="J47" s="74">
        <f>246175-226792</f>
        <v>19383</v>
      </c>
      <c r="K47" s="74">
        <f>I47-J47</f>
        <v>-3595.5999999999767</v>
      </c>
      <c r="L47" s="75">
        <f>+I47/J47</f>
        <v>0.81449723984935374</v>
      </c>
      <c r="M47" s="75"/>
      <c r="N47" s="74">
        <f>258025-237025</f>
        <v>21000</v>
      </c>
      <c r="O47" s="74">
        <f>I47-N47</f>
        <v>-5212.5999999999767</v>
      </c>
      <c r="P47" s="75">
        <f>+I47/N47</f>
        <v>0.75178095238095344</v>
      </c>
      <c r="Q47" s="78"/>
    </row>
    <row r="48" spans="1:23" s="61" customFormat="1" x14ac:dyDescent="0.2">
      <c r="B48" s="84">
        <f>SUM(B45:B47)</f>
        <v>10914.56</v>
      </c>
      <c r="C48" s="84">
        <f>SUM(C45:C47)</f>
        <v>11849</v>
      </c>
      <c r="D48" s="84">
        <f>+B48-C48</f>
        <v>-934.44000000000051</v>
      </c>
      <c r="E48" s="75">
        <f>+B48/C48</f>
        <v>0.92113764874672965</v>
      </c>
      <c r="G48" s="61" t="s">
        <v>155</v>
      </c>
      <c r="I48" s="84">
        <f>SUM(I45:I47)</f>
        <v>264872.75</v>
      </c>
      <c r="J48" s="84">
        <f>SUM(J45:J47)</f>
        <v>246175</v>
      </c>
      <c r="K48" s="84">
        <f>SUM(K45:K47)</f>
        <v>18697.750000000029</v>
      </c>
      <c r="L48" s="75">
        <f>+I48/J48</f>
        <v>1.075953082157002</v>
      </c>
      <c r="M48" s="75"/>
      <c r="N48" s="84">
        <f>SUM(N45:N47)</f>
        <v>258025</v>
      </c>
      <c r="O48" s="84">
        <f>SUM(O45:O47)</f>
        <v>6847.7500000000291</v>
      </c>
      <c r="P48" s="75">
        <f>+I48/N48</f>
        <v>1.0265390950489293</v>
      </c>
      <c r="Q48" s="78"/>
    </row>
    <row r="49" spans="1:17" x14ac:dyDescent="0.2">
      <c r="B49" s="66"/>
      <c r="C49" s="66"/>
      <c r="E49" s="75"/>
      <c r="I49" s="66"/>
      <c r="J49" s="66"/>
      <c r="L49" s="79"/>
      <c r="M49" s="79"/>
      <c r="N49" s="66"/>
      <c r="P49" s="79"/>
      <c r="Q49" s="78"/>
    </row>
    <row r="50" spans="1:17" s="61" customFormat="1" x14ac:dyDescent="0.2">
      <c r="B50" s="84">
        <v>3573.66</v>
      </c>
      <c r="C50" s="84">
        <v>11957</v>
      </c>
      <c r="D50" s="84">
        <f>+B50-C50</f>
        <v>-8383.34</v>
      </c>
      <c r="E50" s="75">
        <f>+B50/C50</f>
        <v>0.29887597223383788</v>
      </c>
      <c r="G50" s="61" t="s">
        <v>447</v>
      </c>
      <c r="I50" s="84">
        <v>105498.35</v>
      </c>
      <c r="J50" s="84">
        <v>141514</v>
      </c>
      <c r="K50" s="84">
        <f>I50-J50</f>
        <v>-36015.649999999994</v>
      </c>
      <c r="L50" s="75">
        <f>+I50/J50</f>
        <v>0.74549761861017294</v>
      </c>
      <c r="M50" s="75"/>
      <c r="N50" s="84">
        <v>153474</v>
      </c>
      <c r="O50" s="84">
        <f>I50-N50</f>
        <v>-47975.649999999994</v>
      </c>
      <c r="P50" s="75">
        <f>+I50/N50</f>
        <v>0.68740210068154872</v>
      </c>
      <c r="Q50" s="78"/>
    </row>
    <row r="51" spans="1:17" x14ac:dyDescent="0.2">
      <c r="B51" s="66"/>
      <c r="C51" s="66"/>
      <c r="E51" s="75"/>
      <c r="I51" s="66"/>
      <c r="J51" s="66"/>
      <c r="L51" s="79"/>
      <c r="M51" s="79"/>
      <c r="N51" s="66"/>
      <c r="P51" s="79"/>
      <c r="Q51" s="78"/>
    </row>
    <row r="52" spans="1:17" s="61" customFormat="1" x14ac:dyDescent="0.2">
      <c r="B52" s="84">
        <v>3573.66</v>
      </c>
      <c r="C52" s="84">
        <v>2570</v>
      </c>
      <c r="D52" s="84">
        <f>+B52-C52</f>
        <v>1003.6599999999999</v>
      </c>
      <c r="E52" s="75">
        <f>+B52/C52</f>
        <v>1.3905291828793773</v>
      </c>
      <c r="G52" s="61" t="s">
        <v>135</v>
      </c>
      <c r="I52" s="84">
        <v>40726.019999999997</v>
      </c>
      <c r="J52" s="84">
        <v>30707</v>
      </c>
      <c r="K52" s="84">
        <f>I52-J52</f>
        <v>10019.019999999997</v>
      </c>
      <c r="L52" s="75">
        <f>+I52/J52</f>
        <v>1.3262780473507669</v>
      </c>
      <c r="M52" s="75"/>
      <c r="N52" s="84">
        <v>33277</v>
      </c>
      <c r="O52" s="84">
        <f>I52-N52</f>
        <v>7449.0199999999968</v>
      </c>
      <c r="P52" s="75">
        <f>+I52/N52</f>
        <v>1.2238489046488565</v>
      </c>
      <c r="Q52" s="78"/>
    </row>
    <row r="53" spans="1:17" x14ac:dyDescent="0.2">
      <c r="B53" s="66"/>
      <c r="C53" s="66"/>
      <c r="E53" s="75"/>
      <c r="I53" s="66"/>
      <c r="J53" s="66"/>
      <c r="L53" s="79"/>
      <c r="M53" s="79"/>
      <c r="N53" s="66"/>
      <c r="P53" s="79"/>
      <c r="Q53" s="78"/>
    </row>
    <row r="54" spans="1:17" x14ac:dyDescent="0.2">
      <c r="B54" s="74">
        <v>2341.38</v>
      </c>
      <c r="C54" s="74">
        <v>2447</v>
      </c>
      <c r="D54" s="74">
        <f>B54-C54</f>
        <v>-105.61999999999989</v>
      </c>
      <c r="E54" s="75">
        <f>+B54/C54</f>
        <v>0.95683694319574997</v>
      </c>
      <c r="G54" s="64" t="s">
        <v>448</v>
      </c>
      <c r="I54" s="74">
        <v>27608.48</v>
      </c>
      <c r="J54" s="74">
        <v>27139</v>
      </c>
      <c r="K54" s="74">
        <f>I54-J54</f>
        <v>469.47999999999956</v>
      </c>
      <c r="L54" s="75">
        <f>+I54/J54</f>
        <v>1.0172990898706658</v>
      </c>
      <c r="M54" s="75"/>
      <c r="N54" s="74">
        <v>29585</v>
      </c>
      <c r="O54" s="74">
        <f>I54-N54</f>
        <v>-1976.5200000000004</v>
      </c>
      <c r="P54" s="75">
        <f>+I54/N54</f>
        <v>0.93319182017914482</v>
      </c>
      <c r="Q54" s="78"/>
    </row>
    <row r="55" spans="1:17" x14ac:dyDescent="0.2">
      <c r="B55" s="74">
        <v>1022</v>
      </c>
      <c r="C55" s="74">
        <v>1056</v>
      </c>
      <c r="D55" s="74">
        <f>B55-C55</f>
        <v>-34</v>
      </c>
      <c r="E55" s="75">
        <f>+B55/C55</f>
        <v>0.96780303030303028</v>
      </c>
      <c r="G55" s="64" t="s">
        <v>449</v>
      </c>
      <c r="I55" s="74">
        <v>603416.57999999996</v>
      </c>
      <c r="J55" s="74">
        <v>503190</v>
      </c>
      <c r="K55" s="74">
        <f>I55-J55</f>
        <v>100226.57999999996</v>
      </c>
      <c r="L55" s="75">
        <f>+I55/J55</f>
        <v>1.1991823764383234</v>
      </c>
      <c r="M55" s="75"/>
      <c r="N55" s="74">
        <v>509245</v>
      </c>
      <c r="O55" s="74">
        <f>I55-N55</f>
        <v>94171.579999999958</v>
      </c>
      <c r="P55" s="75">
        <f>+I55/N55</f>
        <v>1.1849239167787606</v>
      </c>
      <c r="Q55" s="78"/>
    </row>
    <row r="56" spans="1:17" x14ac:dyDescent="0.2">
      <c r="B56" s="74">
        <f>5264.31-3363</f>
        <v>1901.3100000000004</v>
      </c>
      <c r="C56" s="74">
        <f>4694-3503</f>
        <v>1191</v>
      </c>
      <c r="D56" s="74">
        <f>B56-C56</f>
        <v>710.3100000000004</v>
      </c>
      <c r="E56" s="75">
        <f>+B56/C56</f>
        <v>1.5963979848866503</v>
      </c>
      <c r="G56" s="64" t="s">
        <v>450</v>
      </c>
      <c r="I56" s="74">
        <v>33062.720000000001</v>
      </c>
      <c r="J56" s="74">
        <v>43774</v>
      </c>
      <c r="K56" s="74">
        <f>I56-J56</f>
        <v>-10711.279999999999</v>
      </c>
      <c r="L56" s="75">
        <f>+I56/J56</f>
        <v>0.7553049755562663</v>
      </c>
      <c r="M56" s="75"/>
      <c r="N56" s="74">
        <f>575630-538830</f>
        <v>36800</v>
      </c>
      <c r="O56" s="74">
        <f>I56-N56</f>
        <v>-3737.2799999999988</v>
      </c>
      <c r="P56" s="75">
        <f>+I56/N56</f>
        <v>0.89844347826086957</v>
      </c>
      <c r="Q56" s="78"/>
    </row>
    <row r="57" spans="1:17" s="61" customFormat="1" x14ac:dyDescent="0.2">
      <c r="B57" s="84">
        <f>B56+B55+B54</f>
        <v>5264.6900000000005</v>
      </c>
      <c r="C57" s="84">
        <f>C56+C55+C54</f>
        <v>4694</v>
      </c>
      <c r="D57" s="84">
        <f>+B57-C57</f>
        <v>570.69000000000051</v>
      </c>
      <c r="E57" s="75">
        <f>+B57/C57</f>
        <v>1.1215786109927568</v>
      </c>
      <c r="G57" s="61" t="s">
        <v>451</v>
      </c>
      <c r="I57" s="84">
        <f>I56+I55+I54</f>
        <v>664087.77999999991</v>
      </c>
      <c r="J57" s="84">
        <f>J56+J55+J54</f>
        <v>574103</v>
      </c>
      <c r="K57" s="84">
        <f>K56+K55+K54</f>
        <v>89984.779999999955</v>
      </c>
      <c r="L57" s="75">
        <f>+I57/J57</f>
        <v>1.1567397836276765</v>
      </c>
      <c r="M57" s="75"/>
      <c r="N57" s="84">
        <f>N56+N55+N54</f>
        <v>575630</v>
      </c>
      <c r="O57" s="84">
        <f>O56+O55+O54</f>
        <v>88457.779999999955</v>
      </c>
      <c r="P57" s="75">
        <f>+I57/N57</f>
        <v>1.1536712471552906</v>
      </c>
      <c r="Q57" s="78"/>
    </row>
    <row r="58" spans="1:17" s="80" customFormat="1" ht="14.25" x14ac:dyDescent="0.2">
      <c r="A58" s="64"/>
      <c r="B58" s="66"/>
      <c r="C58" s="66"/>
      <c r="D58" s="66"/>
      <c r="E58" s="75"/>
      <c r="F58" s="64"/>
      <c r="G58" s="64"/>
      <c r="H58" s="64"/>
      <c r="I58" s="66"/>
      <c r="J58" s="66"/>
      <c r="K58" s="66"/>
      <c r="L58" s="79"/>
      <c r="Q58" s="78"/>
    </row>
    <row r="59" spans="1:17" x14ac:dyDescent="0.2">
      <c r="B59" s="76">
        <f>+B57+B52+B50+B48+B43+B38+B32+B27</f>
        <v>339033.34000000008</v>
      </c>
      <c r="C59" s="76">
        <f>+C57+C52+C50+C48+C43+C38+C32+C27</f>
        <v>378562</v>
      </c>
      <c r="D59" s="76">
        <f>B59-C59</f>
        <v>-39528.659999999916</v>
      </c>
      <c r="E59" s="75"/>
      <c r="F59" s="61"/>
      <c r="G59" s="77" t="s">
        <v>452</v>
      </c>
      <c r="H59" s="61"/>
      <c r="I59" s="76">
        <f>+I57+I52+I50+I48+I43+I38+I32+I27</f>
        <v>5745928.6999999993</v>
      </c>
      <c r="J59" s="76">
        <f>+J57+J52+J50+J48+J43+J38+J32+J27</f>
        <v>5418000</v>
      </c>
      <c r="K59" s="76">
        <f>I59-J59</f>
        <v>327928.69999999925</v>
      </c>
      <c r="L59" s="75"/>
      <c r="M59" s="85"/>
      <c r="N59" s="76">
        <f>+N57+N52+N50+N48+N43+N38+N32+N27</f>
        <v>5798899</v>
      </c>
      <c r="O59" s="76">
        <f>I59-N59</f>
        <v>-52970.300000000745</v>
      </c>
      <c r="P59" s="75"/>
      <c r="Q59" s="78"/>
    </row>
    <row r="60" spans="1:17" s="80" customFormat="1" ht="14.25" x14ac:dyDescent="0.2">
      <c r="A60" s="64"/>
      <c r="B60" s="66"/>
      <c r="C60" s="66"/>
      <c r="D60" s="66"/>
      <c r="E60" s="75"/>
      <c r="F60" s="64"/>
      <c r="G60" s="64"/>
      <c r="H60" s="64"/>
      <c r="I60" s="66"/>
      <c r="J60" s="66"/>
      <c r="K60" s="66"/>
      <c r="L60" s="79"/>
      <c r="Q60" s="78"/>
    </row>
    <row r="61" spans="1:17" x14ac:dyDescent="0.2">
      <c r="B61" s="76">
        <f>+B21-B59</f>
        <v>-74189.476000000082</v>
      </c>
      <c r="C61" s="76">
        <f>+C21-C59</f>
        <v>-203090.6</v>
      </c>
      <c r="D61" s="76">
        <f>B61-C61</f>
        <v>128901.12399999992</v>
      </c>
      <c r="E61" s="75"/>
      <c r="F61" s="61"/>
      <c r="G61" s="77" t="s">
        <v>453</v>
      </c>
      <c r="H61" s="61"/>
      <c r="I61" s="76">
        <f>+I21-I59</f>
        <v>937391.96650000103</v>
      </c>
      <c r="J61" s="76">
        <f>+J21-J59</f>
        <v>199141</v>
      </c>
      <c r="K61" s="76">
        <f>+K21-K59</f>
        <v>738250.9665000008</v>
      </c>
      <c r="L61" s="75"/>
      <c r="M61" s="86"/>
      <c r="N61" s="76">
        <f>+N21-N59</f>
        <v>601</v>
      </c>
      <c r="O61" s="76">
        <f>I61-N61</f>
        <v>936790.96650000103</v>
      </c>
      <c r="P61" s="75"/>
    </row>
    <row r="63" spans="1:17" s="87" customFormat="1" ht="14.25" hidden="1" x14ac:dyDescent="0.2">
      <c r="A63" s="80"/>
      <c r="D63" s="88" t="s">
        <v>454</v>
      </c>
      <c r="F63" s="156" t="s">
        <v>455</v>
      </c>
      <c r="G63" s="156"/>
      <c r="H63" s="156"/>
      <c r="I63" s="156"/>
      <c r="J63" s="156"/>
      <c r="K63" s="156"/>
      <c r="L63" s="156"/>
      <c r="M63" s="156"/>
      <c r="N63" s="156"/>
    </row>
    <row r="64" spans="1:17" s="87" customFormat="1" ht="11.25" hidden="1" x14ac:dyDescent="0.2">
      <c r="C64" s="88"/>
      <c r="G64" s="89" t="s">
        <v>456</v>
      </c>
      <c r="I64" s="90">
        <f>-I6*0.03</f>
        <v>-28160.990099999999</v>
      </c>
      <c r="J64" s="90">
        <f>-J6*0.03</f>
        <v>-19110</v>
      </c>
      <c r="L64" s="87" t="s">
        <v>456</v>
      </c>
      <c r="N64" s="90">
        <v>-23100</v>
      </c>
    </row>
    <row r="65" spans="1:15" s="87" customFormat="1" ht="11.25" hidden="1" x14ac:dyDescent="0.2">
      <c r="B65" s="88"/>
      <c r="C65" s="88"/>
      <c r="D65" s="88"/>
      <c r="G65" s="89" t="s">
        <v>457</v>
      </c>
      <c r="I65" s="90">
        <f>-0.2*I11</f>
        <v>-110238.25</v>
      </c>
      <c r="J65" s="90">
        <f>-0.2*J11</f>
        <v>-110746</v>
      </c>
      <c r="L65" s="87" t="s">
        <v>457</v>
      </c>
      <c r="N65" s="90">
        <v>-38500</v>
      </c>
    </row>
    <row r="66" spans="1:15" s="87" customFormat="1" ht="11.25" hidden="1" x14ac:dyDescent="0.2">
      <c r="B66" s="88"/>
      <c r="C66" s="88"/>
      <c r="D66" s="88"/>
      <c r="G66" s="89" t="s">
        <v>458</v>
      </c>
      <c r="I66" s="90">
        <f>995729*-0.05</f>
        <v>-49786.450000000004</v>
      </c>
      <c r="J66" s="90">
        <f>-0.05*(755000)</f>
        <v>-37750</v>
      </c>
      <c r="L66" s="87" t="s">
        <v>458</v>
      </c>
      <c r="N66" s="90">
        <v>-37750</v>
      </c>
    </row>
    <row r="67" spans="1:15" s="87" customFormat="1" ht="11.25" hidden="1" x14ac:dyDescent="0.2">
      <c r="B67" s="88"/>
      <c r="C67" s="88"/>
      <c r="D67" s="88"/>
      <c r="F67" s="91" t="s">
        <v>459</v>
      </c>
      <c r="G67" s="92"/>
      <c r="H67" s="91"/>
      <c r="I67" s="93">
        <f>-SUM(I64:I66)</f>
        <v>188185.69010000001</v>
      </c>
      <c r="J67" s="93">
        <f>-SUM(J64:J66)</f>
        <v>167606</v>
      </c>
      <c r="K67" s="91"/>
      <c r="L67" s="91"/>
      <c r="M67" s="91"/>
      <c r="N67" s="93">
        <v>99350</v>
      </c>
    </row>
    <row r="68" spans="1:15" s="87" customFormat="1" ht="11.25" hidden="1" x14ac:dyDescent="0.2">
      <c r="B68" s="88"/>
      <c r="C68" s="88"/>
      <c r="D68" s="88"/>
      <c r="G68" s="89"/>
      <c r="I68" s="90"/>
      <c r="J68" s="90"/>
    </row>
    <row r="69" spans="1:15" s="80" customFormat="1" ht="14.25" hidden="1" x14ac:dyDescent="0.2">
      <c r="A69" s="87"/>
      <c r="B69" s="87"/>
      <c r="C69" s="87"/>
      <c r="D69" s="88"/>
      <c r="E69" s="87"/>
      <c r="F69" s="156" t="s">
        <v>460</v>
      </c>
      <c r="G69" s="156"/>
      <c r="H69" s="156"/>
      <c r="I69" s="156"/>
      <c r="J69" s="156"/>
      <c r="K69" s="156"/>
      <c r="L69" s="156"/>
      <c r="M69" s="156"/>
      <c r="N69" s="156"/>
    </row>
    <row r="70" spans="1:15" s="80" customFormat="1" ht="14.25" hidden="1" x14ac:dyDescent="0.2">
      <c r="A70" s="87"/>
      <c r="B70" s="87"/>
      <c r="C70" s="87"/>
      <c r="D70" s="94"/>
      <c r="E70" s="87"/>
      <c r="F70" s="87"/>
      <c r="G70" s="95" t="s">
        <v>461</v>
      </c>
      <c r="H70" s="87"/>
      <c r="I70" s="90">
        <f>-I8*0.5</f>
        <v>-238638.81</v>
      </c>
      <c r="J70" s="90">
        <f>-J8*0.5</f>
        <v>-235125</v>
      </c>
      <c r="K70" s="87"/>
      <c r="L70" s="96" t="s">
        <v>461</v>
      </c>
      <c r="N70" s="90">
        <v>-50000</v>
      </c>
    </row>
    <row r="71" spans="1:15" s="87" customFormat="1" ht="11.25" hidden="1" x14ac:dyDescent="0.2">
      <c r="F71" s="91" t="s">
        <v>462</v>
      </c>
      <c r="G71" s="91"/>
      <c r="H71" s="91"/>
      <c r="I71" s="97">
        <f>-I70</f>
        <v>238638.81</v>
      </c>
      <c r="J71" s="97">
        <f>-J70</f>
        <v>235125</v>
      </c>
      <c r="K71" s="91"/>
      <c r="L71" s="91"/>
      <c r="M71" s="91"/>
      <c r="N71" s="97">
        <v>50000</v>
      </c>
    </row>
    <row r="72" spans="1:15" s="87" customFormat="1" ht="11.25" hidden="1" x14ac:dyDescent="0.2">
      <c r="D72" s="88"/>
      <c r="G72" s="89"/>
      <c r="L72" s="98"/>
    </row>
    <row r="73" spans="1:15" s="87" customFormat="1" ht="14.25" hidden="1" x14ac:dyDescent="0.2">
      <c r="D73" s="88"/>
      <c r="G73" s="80"/>
      <c r="K73" s="90"/>
      <c r="N73" s="80"/>
    </row>
    <row r="74" spans="1:15" s="87" customFormat="1" hidden="1" x14ac:dyDescent="0.2">
      <c r="D74" s="88"/>
      <c r="G74" s="77" t="s">
        <v>463</v>
      </c>
      <c r="I74" s="76">
        <f>+I61-I67-I71</f>
        <v>510567.46640000102</v>
      </c>
      <c r="J74" s="76">
        <f>+J61-J67-J71</f>
        <v>-203590</v>
      </c>
      <c r="K74" s="90"/>
      <c r="N74" s="76">
        <v>-114634</v>
      </c>
    </row>
    <row r="75" spans="1:15" s="87" customFormat="1" ht="14.25" hidden="1" x14ac:dyDescent="0.2">
      <c r="A75" s="80"/>
      <c r="B75" s="80"/>
      <c r="C75" s="80"/>
      <c r="D75" s="99"/>
      <c r="E75" s="80"/>
      <c r="F75" s="80"/>
      <c r="G75" s="80"/>
      <c r="H75" s="80"/>
      <c r="I75" s="80"/>
      <c r="J75" s="80"/>
      <c r="K75" s="90"/>
    </row>
    <row r="76" spans="1:15" ht="14.25" x14ac:dyDescent="0.2">
      <c r="A76" s="80"/>
      <c r="B76" s="80"/>
      <c r="C76" s="80"/>
      <c r="D76" s="99"/>
      <c r="E76" s="80"/>
      <c r="F76" s="80"/>
      <c r="H76" s="80"/>
      <c r="I76" s="100"/>
      <c r="J76" s="80"/>
      <c r="N76" s="101"/>
    </row>
    <row r="77" spans="1:15" x14ac:dyDescent="0.2">
      <c r="B77" s="78"/>
      <c r="C77" s="78"/>
      <c r="I77" s="78"/>
      <c r="J77" s="78"/>
      <c r="N77" s="78"/>
    </row>
    <row r="78" spans="1:15" x14ac:dyDescent="0.2">
      <c r="D78" s="64"/>
      <c r="K78" s="64"/>
      <c r="O78" s="103"/>
    </row>
    <row r="79" spans="1:15" x14ac:dyDescent="0.2">
      <c r="D79" s="64"/>
      <c r="K79" s="64"/>
      <c r="O79" s="103"/>
    </row>
    <row r="80" spans="1:15" x14ac:dyDescent="0.2">
      <c r="D80" s="64"/>
      <c r="K80" s="64"/>
      <c r="O80" s="103"/>
    </row>
    <row r="81" spans="2:15" x14ac:dyDescent="0.2">
      <c r="B81" s="66"/>
      <c r="C81" s="66"/>
      <c r="D81" s="64"/>
      <c r="K81" s="64"/>
      <c r="N81" s="66"/>
      <c r="O81" s="103"/>
    </row>
    <row r="82" spans="2:15" x14ac:dyDescent="0.2">
      <c r="B82" s="66">
        <f>SUM(B78:B81)</f>
        <v>0</v>
      </c>
      <c r="C82" s="66">
        <f>SUM(C78:C81)</f>
        <v>0</v>
      </c>
      <c r="D82" s="64"/>
      <c r="K82" s="64"/>
      <c r="N82" s="66">
        <f>SUM(N78:N81)</f>
        <v>0</v>
      </c>
      <c r="O82" s="103"/>
    </row>
  </sheetData>
  <mergeCells count="6">
    <mergeCell ref="F69:N69"/>
    <mergeCell ref="B1:G1"/>
    <mergeCell ref="I1:P1"/>
    <mergeCell ref="B3:E3"/>
    <mergeCell ref="I3:P3"/>
    <mergeCell ref="F63:N63"/>
  </mergeCells>
  <printOptions horizontalCentered="1"/>
  <pageMargins left="0" right="0" top="0" bottom="0" header="0.05" footer="0.05"/>
  <pageSetup paperSize="3" scale="59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R373"/>
  <sheetViews>
    <sheetView tabSelected="1" zoomScale="130" zoomScaleNormal="130" workbookViewId="0">
      <pane xSplit="2" ySplit="4" topLeftCell="AE314" activePane="bottomRight" state="frozen"/>
      <selection pane="topRight" activeCell="C1" sqref="C1"/>
      <selection pane="bottomLeft" activeCell="A5" sqref="A5"/>
      <selection pane="bottomRight" activeCell="AL333" sqref="AL333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6" customWidth="1"/>
    <col min="4" max="4" width="10.85546875" style="56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customWidth="1"/>
    <col min="10" max="10" width="10.28515625" style="1" customWidth="1"/>
    <col min="11" max="11" width="2.7109375" style="1" customWidth="1"/>
    <col min="12" max="12" width="11.140625" style="1" customWidth="1"/>
    <col min="13" max="13" width="10.28515625" style="1" customWidth="1"/>
    <col min="14" max="14" width="2.7109375" style="1" customWidth="1"/>
    <col min="15" max="15" width="10.5703125" style="1" customWidth="1"/>
    <col min="16" max="16" width="12.7109375" style="1" customWidth="1"/>
    <col min="17" max="17" width="2.7109375" style="1" customWidth="1"/>
    <col min="18" max="18" width="13.85546875" style="1" customWidth="1"/>
    <col min="19" max="19" width="16" style="1" customWidth="1"/>
    <col min="20" max="20" width="2.7109375" style="1" customWidth="1"/>
    <col min="21" max="21" width="13.85546875" style="1" customWidth="1"/>
    <col min="22" max="22" width="16" style="1" customWidth="1"/>
    <col min="23" max="23" width="2.7109375" style="1" customWidth="1"/>
    <col min="24" max="24" width="13.85546875" style="1" customWidth="1"/>
    <col min="25" max="25" width="16" style="1" customWidth="1"/>
    <col min="26" max="26" width="2.7109375" style="1" customWidth="1"/>
    <col min="27" max="27" width="13.85546875" style="1" customWidth="1"/>
    <col min="28" max="28" width="16" style="1" customWidth="1"/>
    <col min="29" max="29" width="2.7109375" style="1" customWidth="1"/>
    <col min="30" max="30" width="13.85546875" style="1" customWidth="1"/>
    <col min="31" max="31" width="16" style="1" customWidth="1"/>
    <col min="32" max="32" width="2.7109375" style="1" customWidth="1"/>
    <col min="33" max="33" width="13.85546875" style="1" customWidth="1"/>
    <col min="34" max="34" width="16" style="1" customWidth="1"/>
    <col min="35" max="35" width="2.7109375" style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42" width="10.42578125" style="1"/>
    <col min="43" max="44" width="10.85546875" style="1" bestFit="1" customWidth="1"/>
    <col min="45" max="16384" width="10.42578125" style="1"/>
  </cols>
  <sheetData>
    <row r="1" spans="1:41" ht="15" customHeight="1" x14ac:dyDescent="0.2">
      <c r="A1" s="161" t="s">
        <v>365</v>
      </c>
      <c r="B1" s="159" t="s">
        <v>364</v>
      </c>
      <c r="C1" s="162" t="s">
        <v>399</v>
      </c>
      <c r="D1" s="162" t="s">
        <v>366</v>
      </c>
      <c r="E1" s="26"/>
      <c r="F1" s="163" t="s">
        <v>400</v>
      </c>
      <c r="G1" s="159" t="s">
        <v>367</v>
      </c>
      <c r="H1" s="26"/>
      <c r="I1" s="163" t="s">
        <v>401</v>
      </c>
      <c r="J1" s="159" t="s">
        <v>371</v>
      </c>
      <c r="K1" s="26"/>
      <c r="L1" s="163" t="s">
        <v>402</v>
      </c>
      <c r="M1" s="159" t="s">
        <v>372</v>
      </c>
      <c r="N1" s="26"/>
      <c r="O1" s="163" t="s">
        <v>403</v>
      </c>
      <c r="P1" s="159" t="s">
        <v>374</v>
      </c>
      <c r="Q1" s="26"/>
      <c r="R1" s="163" t="s">
        <v>404</v>
      </c>
      <c r="S1" s="159" t="s">
        <v>376</v>
      </c>
      <c r="T1" s="26"/>
      <c r="U1" s="163" t="s">
        <v>405</v>
      </c>
      <c r="V1" s="159" t="s">
        <v>377</v>
      </c>
      <c r="W1" s="26"/>
      <c r="X1" s="163" t="s">
        <v>406</v>
      </c>
      <c r="Y1" s="159" t="s">
        <v>378</v>
      </c>
      <c r="Z1" s="26"/>
      <c r="AA1" s="163" t="s">
        <v>407</v>
      </c>
      <c r="AB1" s="159" t="s">
        <v>380</v>
      </c>
      <c r="AC1" s="26"/>
      <c r="AD1" s="163" t="s">
        <v>408</v>
      </c>
      <c r="AE1" s="159" t="s">
        <v>382</v>
      </c>
      <c r="AF1" s="26"/>
      <c r="AG1" s="163" t="s">
        <v>409</v>
      </c>
      <c r="AH1" s="159" t="s">
        <v>383</v>
      </c>
      <c r="AI1" s="26"/>
      <c r="AJ1" s="163" t="s">
        <v>410</v>
      </c>
      <c r="AK1" s="159" t="s">
        <v>384</v>
      </c>
      <c r="AL1" s="160" t="s">
        <v>368</v>
      </c>
      <c r="AM1" s="160" t="s">
        <v>369</v>
      </c>
      <c r="AN1" s="26"/>
      <c r="AO1" s="164" t="s">
        <v>386</v>
      </c>
    </row>
    <row r="2" spans="1:41" ht="15" customHeight="1" x14ac:dyDescent="0.2">
      <c r="A2" s="161"/>
      <c r="B2" s="159"/>
      <c r="C2" s="162"/>
      <c r="D2" s="162"/>
      <c r="E2" s="26"/>
      <c r="F2" s="163"/>
      <c r="G2" s="159"/>
      <c r="H2" s="26"/>
      <c r="I2" s="163"/>
      <c r="J2" s="159"/>
      <c r="K2" s="26"/>
      <c r="L2" s="163"/>
      <c r="M2" s="159"/>
      <c r="N2" s="26"/>
      <c r="O2" s="163"/>
      <c r="P2" s="159"/>
      <c r="Q2" s="26"/>
      <c r="R2" s="163"/>
      <c r="S2" s="159"/>
      <c r="T2" s="26"/>
      <c r="U2" s="163"/>
      <c r="V2" s="159"/>
      <c r="W2" s="26"/>
      <c r="X2" s="163"/>
      <c r="Y2" s="159"/>
      <c r="Z2" s="26"/>
      <c r="AA2" s="163"/>
      <c r="AB2" s="159"/>
      <c r="AC2" s="26"/>
      <c r="AD2" s="163"/>
      <c r="AE2" s="159"/>
      <c r="AF2" s="26"/>
      <c r="AG2" s="163"/>
      <c r="AH2" s="159"/>
      <c r="AI2" s="26"/>
      <c r="AJ2" s="163"/>
      <c r="AK2" s="159"/>
      <c r="AL2" s="160"/>
      <c r="AM2" s="160"/>
      <c r="AN2" s="26"/>
      <c r="AO2" s="164"/>
    </row>
    <row r="3" spans="1:41" s="23" customFormat="1" x14ac:dyDescent="0.2">
      <c r="A3" s="25"/>
      <c r="B3" s="24"/>
      <c r="C3" s="53"/>
      <c r="D3" s="53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1" ht="15" customHeight="1" x14ac:dyDescent="0.2">
      <c r="A4" s="22" t="s">
        <v>363</v>
      </c>
      <c r="B4" s="21" t="s">
        <v>362</v>
      </c>
      <c r="C4" s="54"/>
      <c r="D4" s="54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1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9939.5679999999993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4624.5260000000007</v>
      </c>
      <c r="P5" s="20">
        <f>(P29*0.2)</f>
        <v>5518.4000000000005</v>
      </c>
      <c r="Q5" s="13"/>
      <c r="R5" s="20">
        <f>+(R29*0.2)</f>
        <v>14989.376000000002</v>
      </c>
      <c r="S5" s="20">
        <f>(S29*0.2)</f>
        <v>6339</v>
      </c>
      <c r="T5" s="13"/>
      <c r="U5" s="20">
        <f>+(U29*0.2)</f>
        <v>15160.728000000001</v>
      </c>
      <c r="V5" s="20">
        <f>(V29*0.2)</f>
        <v>14240.6</v>
      </c>
      <c r="W5" s="13"/>
      <c r="X5" s="20">
        <f>+(X29*0.2)</f>
        <v>9190.1880000000001</v>
      </c>
      <c r="Y5" s="20">
        <f>(Y29*0.2)</f>
        <v>16710</v>
      </c>
      <c r="Z5" s="13"/>
      <c r="AA5" s="20">
        <f>+(AA29*0.2)</f>
        <v>10447.636</v>
      </c>
      <c r="AB5" s="20">
        <f>(AB29*0.2)</f>
        <v>19161</v>
      </c>
      <c r="AC5" s="13"/>
      <c r="AD5" s="20">
        <f>+(AD29*0.2)</f>
        <v>13163.874</v>
      </c>
      <c r="AE5" s="20">
        <f>(AE29*0.2)</f>
        <v>7717.2000000000007</v>
      </c>
      <c r="AF5" s="13"/>
      <c r="AG5" s="20">
        <f>+(AG29*0.2)</f>
        <v>8389.8060000000005</v>
      </c>
      <c r="AH5" s="20">
        <f>(AH29*0.2)</f>
        <v>8604.6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110238.24999999999</v>
      </c>
      <c r="AM5" s="27">
        <f t="shared" si="0"/>
        <v>110746</v>
      </c>
      <c r="AN5" s="13"/>
      <c r="AO5" s="10">
        <f>+(AO29*0.2)</f>
        <v>120000</v>
      </c>
    </row>
    <row r="6" spans="1:41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54915.1</v>
      </c>
      <c r="P6" s="10">
        <f>+P15*0.5</f>
        <v>57000</v>
      </c>
      <c r="Q6" s="13"/>
      <c r="R6" s="10">
        <f>+R15*0.5</f>
        <v>68422.404999999999</v>
      </c>
      <c r="S6" s="10">
        <f>+S15*0.5</f>
        <v>52250</v>
      </c>
      <c r="T6" s="13"/>
      <c r="U6" s="10">
        <f>+U15*0.5</f>
        <v>26137.68</v>
      </c>
      <c r="V6" s="10">
        <f>+V15*0.5</f>
        <v>52250</v>
      </c>
      <c r="W6" s="13"/>
      <c r="X6" s="10">
        <f>+X15*0.5</f>
        <v>12880.035</v>
      </c>
      <c r="Y6" s="10">
        <f>+Y15*0.5</f>
        <v>11875</v>
      </c>
      <c r="Z6" s="13"/>
      <c r="AA6" s="10">
        <f>+AA15*0.5</f>
        <v>3432.8150000000001</v>
      </c>
      <c r="AB6" s="10">
        <f>+AB15*0.5</f>
        <v>4750</v>
      </c>
      <c r="AC6" s="13"/>
      <c r="AD6" s="10">
        <f>+AD15*0.5</f>
        <v>3619.41</v>
      </c>
      <c r="AE6" s="10">
        <f>+AE15*0.5</f>
        <v>2375</v>
      </c>
      <c r="AF6" s="13"/>
      <c r="AG6" s="10">
        <f>+AG15*0.5</f>
        <v>1767.85</v>
      </c>
      <c r="AH6" s="10">
        <f>+AH15*0.5</f>
        <v>2375</v>
      </c>
      <c r="AI6" s="13"/>
      <c r="AJ6" s="10">
        <f>+AJ15*0.5</f>
        <v>0</v>
      </c>
      <c r="AK6" s="10">
        <f>+AK15*0.5</f>
        <v>0</v>
      </c>
      <c r="AL6" s="27">
        <f t="shared" si="0"/>
        <v>238638.81</v>
      </c>
      <c r="AM6" s="27">
        <f t="shared" si="0"/>
        <v>235125</v>
      </c>
      <c r="AN6" s="13"/>
      <c r="AO6" s="10">
        <f>+AO15*0.5</f>
        <v>237500</v>
      </c>
    </row>
    <row r="7" spans="1:41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4228.5</v>
      </c>
      <c r="P7" s="10">
        <f>+P13*0.05</f>
        <v>3150</v>
      </c>
      <c r="Q7" s="13"/>
      <c r="R7" s="10">
        <f>+R13*0.05</f>
        <v>0</v>
      </c>
      <c r="S7" s="10">
        <f>+S13*0.05</f>
        <v>1400</v>
      </c>
      <c r="T7" s="13"/>
      <c r="U7" s="10">
        <f>+U13*0.05</f>
        <v>3962.25</v>
      </c>
      <c r="V7" s="10">
        <f>+V13*0.05</f>
        <v>3500</v>
      </c>
      <c r="W7" s="13"/>
      <c r="X7" s="10">
        <f>+X13*0.05</f>
        <v>445.35</v>
      </c>
      <c r="Y7" s="10">
        <f>+Y13*0.05</f>
        <v>3150</v>
      </c>
      <c r="Z7" s="13"/>
      <c r="AA7" s="10">
        <f>+AA13*0.05</f>
        <v>7859.9250000000002</v>
      </c>
      <c r="AB7" s="10">
        <f>+AB13*0.05</f>
        <v>2800</v>
      </c>
      <c r="AC7" s="13"/>
      <c r="AD7" s="10">
        <f>+AD13*0.05</f>
        <v>5003.0084999999999</v>
      </c>
      <c r="AE7" s="10">
        <f>+AE13*0.05</f>
        <v>3850</v>
      </c>
      <c r="AF7" s="13"/>
      <c r="AG7" s="10">
        <f>+AG13*0.05</f>
        <v>7537.5</v>
      </c>
      <c r="AH7" s="10">
        <f>+AH13*0.05</f>
        <v>3150</v>
      </c>
      <c r="AI7" s="13"/>
      <c r="AJ7" s="10">
        <f>+AJ13*0.05</f>
        <v>0</v>
      </c>
      <c r="AK7" s="10">
        <f>+AK13*0.05</f>
        <v>0</v>
      </c>
      <c r="AL7" s="27">
        <f t="shared" si="0"/>
        <v>46934.983500000002</v>
      </c>
      <c r="AM7" s="27">
        <f t="shared" si="0"/>
        <v>31850</v>
      </c>
      <c r="AN7" s="13"/>
      <c r="AO7" s="10">
        <f>+AO13*0.05</f>
        <v>35000</v>
      </c>
    </row>
    <row r="8" spans="1:41" ht="15" customHeight="1" x14ac:dyDescent="0.2">
      <c r="A8" s="14"/>
      <c r="B8" s="13"/>
      <c r="C8" s="55"/>
      <c r="D8" s="55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</row>
    <row r="9" spans="1:41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41397.827999999994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63768.125999999997</v>
      </c>
      <c r="P9" s="7">
        <f>SUM(P5:P7)</f>
        <v>65668.399999999994</v>
      </c>
      <c r="Q9" s="8"/>
      <c r="R9" s="7">
        <f>SUM(R5:R7)</f>
        <v>83411.781000000003</v>
      </c>
      <c r="S9" s="7">
        <f>SUM(S5:S7)</f>
        <v>59989</v>
      </c>
      <c r="T9" s="8"/>
      <c r="U9" s="7">
        <f>SUM(U5:U7)</f>
        <v>45260.658000000003</v>
      </c>
      <c r="V9" s="7">
        <f>SUM(V5:V7)</f>
        <v>69990.600000000006</v>
      </c>
      <c r="W9" s="8"/>
      <c r="X9" s="7">
        <f>SUM(X5:X7)</f>
        <v>22515.572999999997</v>
      </c>
      <c r="Y9" s="7">
        <f>SUM(Y5:Y7)</f>
        <v>31735</v>
      </c>
      <c r="Z9" s="8"/>
      <c r="AA9" s="7">
        <f>SUM(AA5:AA7)</f>
        <v>21740.376</v>
      </c>
      <c r="AB9" s="7">
        <f>SUM(AB5:AB7)</f>
        <v>26711</v>
      </c>
      <c r="AC9" s="8"/>
      <c r="AD9" s="7">
        <f>SUM(AD5:AD7)</f>
        <v>21786.2925</v>
      </c>
      <c r="AE9" s="7">
        <f>SUM(AE5:AE7)</f>
        <v>13942.2</v>
      </c>
      <c r="AF9" s="8"/>
      <c r="AG9" s="7">
        <f>SUM(AG5:AG7)</f>
        <v>17695.156000000003</v>
      </c>
      <c r="AH9" s="7">
        <f>SUM(AH5:AH7)</f>
        <v>14129.6</v>
      </c>
      <c r="AI9" s="8"/>
      <c r="AJ9" s="7">
        <f>SUM(AJ5:AJ7)</f>
        <v>0</v>
      </c>
      <c r="AK9" s="7">
        <f>SUM(AK5:AK7)</f>
        <v>0</v>
      </c>
      <c r="AL9" s="7">
        <f>SUM(AL5:AL7)</f>
        <v>395812.04350000003</v>
      </c>
      <c r="AM9" s="7">
        <f>SUM(AM5:AM7)</f>
        <v>377721</v>
      </c>
      <c r="AN9" s="8"/>
      <c r="AO9" s="7">
        <f>SUM(AO5:AO7)</f>
        <v>392500</v>
      </c>
    </row>
    <row r="10" spans="1:41" ht="15" customHeight="1" x14ac:dyDescent="0.2">
      <c r="AG10" s="45"/>
      <c r="AH10" s="45"/>
      <c r="AI10" s="45"/>
      <c r="AJ10" s="45"/>
      <c r="AK10" s="45"/>
      <c r="AL10" s="45"/>
      <c r="AM10" s="45"/>
      <c r="AN10" s="45"/>
      <c r="AO10" s="45"/>
    </row>
    <row r="11" spans="1:41" x14ac:dyDescent="0.2">
      <c r="A11" s="22" t="s">
        <v>355</v>
      </c>
      <c r="B11" s="21" t="s">
        <v>354</v>
      </c>
      <c r="C11" s="54"/>
      <c r="D11" s="54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6"/>
      <c r="AH11" s="46"/>
      <c r="AI11" s="46"/>
      <c r="AJ11" s="46"/>
      <c r="AK11" s="46"/>
      <c r="AL11" s="46"/>
      <c r="AM11" s="46"/>
      <c r="AN11" s="46"/>
      <c r="AO11" s="45" t="s">
        <v>133</v>
      </c>
    </row>
    <row r="12" spans="1:41" ht="15" customHeight="1" x14ac:dyDescent="0.2">
      <c r="A12" s="16" t="s">
        <v>353</v>
      </c>
      <c r="B12" s="15" t="s">
        <v>352</v>
      </c>
      <c r="C12" s="57"/>
      <c r="D12" s="5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7"/>
      <c r="AH12" s="47"/>
      <c r="AI12" s="47"/>
      <c r="AJ12" s="47"/>
      <c r="AK12" s="47"/>
      <c r="AL12" s="47"/>
      <c r="AM12" s="47"/>
      <c r="AN12" s="47"/>
      <c r="AO12" s="45"/>
    </row>
    <row r="13" spans="1:41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>
        <v>84570</v>
      </c>
      <c r="P13" s="28">
        <v>63000</v>
      </c>
      <c r="Q13" s="28"/>
      <c r="R13" s="28">
        <v>0</v>
      </c>
      <c r="S13" s="28">
        <v>28000</v>
      </c>
      <c r="T13" s="28"/>
      <c r="U13" s="28">
        <v>79245</v>
      </c>
      <c r="V13" s="28">
        <v>70000</v>
      </c>
      <c r="W13" s="28"/>
      <c r="X13" s="28">
        <v>8907</v>
      </c>
      <c r="Y13" s="28">
        <v>63000</v>
      </c>
      <c r="Z13" s="28"/>
      <c r="AA13" s="28">
        <v>157198.5</v>
      </c>
      <c r="AB13" s="28">
        <v>56000</v>
      </c>
      <c r="AC13" s="28"/>
      <c r="AD13" s="28">
        <v>100060.17</v>
      </c>
      <c r="AE13" s="28">
        <v>77000</v>
      </c>
      <c r="AF13" s="28"/>
      <c r="AG13" s="28">
        <v>150750</v>
      </c>
      <c r="AH13" s="28">
        <v>63000</v>
      </c>
      <c r="AI13" s="28"/>
      <c r="AJ13" s="28"/>
      <c r="AK13" s="28"/>
      <c r="AL13" s="27">
        <f t="shared" ref="AL13" si="1">+C13+F13+I13+L13+O13+R13+U13+X13+AA13+AD13+AG13+AJ13</f>
        <v>938699.67</v>
      </c>
      <c r="AM13" s="27">
        <f t="shared" ref="AM13" si="2">+D13+G13+J13+M13+P13+S13+V13+Y13+AB13+AE13+AH13+AK13</f>
        <v>637000</v>
      </c>
      <c r="AN13" s="28"/>
      <c r="AO13" s="20">
        <v>700000</v>
      </c>
    </row>
    <row r="14" spans="1:41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>
        <v>1868.4</v>
      </c>
      <c r="P14" s="28">
        <v>8250</v>
      </c>
      <c r="Q14" s="28"/>
      <c r="R14" s="28">
        <v>9210.24</v>
      </c>
      <c r="S14" s="28">
        <v>16500</v>
      </c>
      <c r="T14" s="28"/>
      <c r="U14" s="28">
        <v>583464.35</v>
      </c>
      <c r="V14" s="28">
        <v>585750</v>
      </c>
      <c r="W14" s="28"/>
      <c r="X14" s="28">
        <v>104235.51</v>
      </c>
      <c r="Y14" s="28">
        <v>66000</v>
      </c>
      <c r="Z14" s="28"/>
      <c r="AA14" s="28">
        <v>28363.06</v>
      </c>
      <c r="AB14" s="28">
        <v>33000</v>
      </c>
      <c r="AC14" s="28"/>
      <c r="AD14" s="28">
        <v>11942.34</v>
      </c>
      <c r="AE14" s="28">
        <v>16500</v>
      </c>
      <c r="AF14" s="28"/>
      <c r="AG14" s="28">
        <v>18181.53</v>
      </c>
      <c r="AH14" s="28">
        <v>8250</v>
      </c>
      <c r="AI14" s="28"/>
      <c r="AJ14" s="28"/>
      <c r="AK14" s="28"/>
      <c r="AL14" s="27">
        <f t="shared" ref="AL14:AL17" si="3">+C14+F14+I14+L14+O14+R14+U14+X14+AA14+AD14+AG14+AJ14</f>
        <v>832691.49</v>
      </c>
      <c r="AM14" s="27">
        <f t="shared" ref="AM14:AM17" si="4">+D14+G14+J14+M14+P14+S14+V14+Y14+AB14+AE14+AH14+AK14</f>
        <v>800250</v>
      </c>
      <c r="AN14" s="28"/>
      <c r="AO14" s="20">
        <v>825000</v>
      </c>
    </row>
    <row r="15" spans="1:41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>
        <v>109830.2</v>
      </c>
      <c r="P15" s="28">
        <v>114000</v>
      </c>
      <c r="Q15" s="28"/>
      <c r="R15" s="28">
        <v>136844.81</v>
      </c>
      <c r="S15" s="28">
        <v>104500</v>
      </c>
      <c r="T15" s="28"/>
      <c r="U15" s="28">
        <v>52275.360000000001</v>
      </c>
      <c r="V15" s="28">
        <v>104500</v>
      </c>
      <c r="W15" s="28"/>
      <c r="X15" s="28">
        <v>25760.07</v>
      </c>
      <c r="Y15" s="28">
        <v>23750</v>
      </c>
      <c r="Z15" s="28"/>
      <c r="AA15" s="28">
        <v>6865.63</v>
      </c>
      <c r="AB15" s="28">
        <v>9500</v>
      </c>
      <c r="AC15" s="28"/>
      <c r="AD15" s="28">
        <v>7238.82</v>
      </c>
      <c r="AE15" s="28">
        <v>4750</v>
      </c>
      <c r="AF15" s="28"/>
      <c r="AG15" s="28">
        <v>3535.7</v>
      </c>
      <c r="AH15" s="28">
        <v>4750</v>
      </c>
      <c r="AI15" s="28"/>
      <c r="AJ15" s="28"/>
      <c r="AK15" s="28"/>
      <c r="AL15" s="27">
        <f t="shared" si="3"/>
        <v>477277.62</v>
      </c>
      <c r="AM15" s="27">
        <f t="shared" si="4"/>
        <v>470250</v>
      </c>
      <c r="AN15" s="28"/>
      <c r="AO15" s="20">
        <v>475000</v>
      </c>
    </row>
    <row r="16" spans="1:41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>
        <v>12991.11</v>
      </c>
      <c r="P16" s="28">
        <v>12500</v>
      </c>
      <c r="Q16" s="28"/>
      <c r="R16" s="28">
        <v>0</v>
      </c>
      <c r="S16" s="28">
        <v>0</v>
      </c>
      <c r="T16" s="28"/>
      <c r="U16" s="28">
        <v>0</v>
      </c>
      <c r="V16" s="28">
        <v>0</v>
      </c>
      <c r="W16" s="28"/>
      <c r="X16" s="28">
        <v>13198.27</v>
      </c>
      <c r="Y16" s="28">
        <v>12500</v>
      </c>
      <c r="Z16" s="28"/>
      <c r="AA16" s="28">
        <v>0</v>
      </c>
      <c r="AB16" s="28">
        <v>0</v>
      </c>
      <c r="AC16" s="28"/>
      <c r="AD16" s="28">
        <v>0</v>
      </c>
      <c r="AE16" s="28">
        <v>0</v>
      </c>
      <c r="AF16" s="28"/>
      <c r="AG16" s="28">
        <v>11397.15</v>
      </c>
      <c r="AH16" s="28">
        <v>12500</v>
      </c>
      <c r="AI16" s="28"/>
      <c r="AJ16" s="28"/>
      <c r="AK16" s="28"/>
      <c r="AL16" s="27">
        <f t="shared" si="3"/>
        <v>49137.51</v>
      </c>
      <c r="AM16" s="27">
        <f t="shared" si="4"/>
        <v>50000</v>
      </c>
      <c r="AN16" s="28"/>
      <c r="AO16" s="20">
        <v>50000</v>
      </c>
    </row>
    <row r="17" spans="1:41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>
        <v>42500</v>
      </c>
      <c r="P17" s="28">
        <v>42500</v>
      </c>
      <c r="Q17" s="28"/>
      <c r="R17" s="28">
        <v>0</v>
      </c>
      <c r="S17" s="28">
        <v>0</v>
      </c>
      <c r="T17" s="28"/>
      <c r="U17" s="28">
        <v>0</v>
      </c>
      <c r="V17" s="28">
        <v>0</v>
      </c>
      <c r="W17" s="28"/>
      <c r="X17" s="28">
        <v>0</v>
      </c>
      <c r="Y17" s="28">
        <v>0</v>
      </c>
      <c r="Z17" s="28"/>
      <c r="AA17" s="28">
        <v>0</v>
      </c>
      <c r="AB17" s="28">
        <v>0</v>
      </c>
      <c r="AC17" s="28"/>
      <c r="AD17" s="28">
        <v>0</v>
      </c>
      <c r="AE17" s="28">
        <v>0</v>
      </c>
      <c r="AF17" s="28"/>
      <c r="AG17" s="28">
        <v>0</v>
      </c>
      <c r="AH17" s="28">
        <v>0</v>
      </c>
      <c r="AI17" s="28"/>
      <c r="AJ17" s="28"/>
      <c r="AK17" s="28"/>
      <c r="AL17" s="27">
        <f t="shared" si="3"/>
        <v>85000</v>
      </c>
      <c r="AM17" s="27">
        <f t="shared" si="4"/>
        <v>85000</v>
      </c>
      <c r="AN17" s="28"/>
      <c r="AO17" s="20">
        <v>85000</v>
      </c>
    </row>
    <row r="18" spans="1:41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</row>
    <row r="19" spans="1:41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251759.70999999996</v>
      </c>
      <c r="P19" s="29">
        <f>SUM(P13:P18)</f>
        <v>240250</v>
      </c>
      <c r="Q19" s="34"/>
      <c r="R19" s="29">
        <f>SUM(R13:R18)</f>
        <v>146055.04999999999</v>
      </c>
      <c r="S19" s="29">
        <f>SUM(S13:S18)</f>
        <v>149000</v>
      </c>
      <c r="T19" s="34"/>
      <c r="U19" s="29">
        <f>SUM(U13:U18)</f>
        <v>714984.71</v>
      </c>
      <c r="V19" s="29">
        <f>SUM(V13:V18)</f>
        <v>760250</v>
      </c>
      <c r="W19" s="34"/>
      <c r="X19" s="29">
        <f>SUM(X13:X18)</f>
        <v>152100.84999999998</v>
      </c>
      <c r="Y19" s="29">
        <f>SUM(Y13:Y18)</f>
        <v>165250</v>
      </c>
      <c r="Z19" s="34"/>
      <c r="AA19" s="29">
        <f>SUM(AA13:AA18)</f>
        <v>192427.19</v>
      </c>
      <c r="AB19" s="29">
        <f>SUM(AB13:AB18)</f>
        <v>98500</v>
      </c>
      <c r="AC19" s="34"/>
      <c r="AD19" s="29">
        <f>SUM(AD13:AD18)</f>
        <v>119241.32999999999</v>
      </c>
      <c r="AE19" s="29">
        <f>SUM(AE13:AE18)</f>
        <v>98250</v>
      </c>
      <c r="AF19" s="34"/>
      <c r="AG19" s="29">
        <f>SUM(AG13:AG18)</f>
        <v>183864.38</v>
      </c>
      <c r="AH19" s="29">
        <f>SUM(AH13:AH18)</f>
        <v>88500</v>
      </c>
      <c r="AI19" s="34"/>
      <c r="AJ19" s="29">
        <f>SUM(AJ13:AJ18)</f>
        <v>0</v>
      </c>
      <c r="AK19" s="29">
        <f>SUM(AK13:AK18)</f>
        <v>0</v>
      </c>
      <c r="AL19" s="29">
        <f>SUM(AL13:AL18)</f>
        <v>2382806.29</v>
      </c>
      <c r="AM19" s="29">
        <f>SUM(AM13:AM18)</f>
        <v>2042500</v>
      </c>
      <c r="AN19" s="34"/>
      <c r="AO19" s="29">
        <f>SUM(AO13:AO18)</f>
        <v>2135000</v>
      </c>
    </row>
    <row r="20" spans="1:41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48"/>
      <c r="AH20" s="48"/>
      <c r="AI20" s="48"/>
      <c r="AJ20" s="48"/>
      <c r="AK20" s="48"/>
      <c r="AL20" s="48"/>
      <c r="AM20" s="48"/>
      <c r="AN20" s="48"/>
      <c r="AO20" s="48"/>
    </row>
    <row r="21" spans="1:41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49"/>
      <c r="AH21" s="49"/>
      <c r="AI21" s="49"/>
      <c r="AJ21" s="49"/>
      <c r="AK21" s="49"/>
      <c r="AL21" s="49"/>
      <c r="AM21" s="49"/>
      <c r="AN21" s="49"/>
      <c r="AO21" s="48"/>
    </row>
    <row r="22" spans="1:41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>
        <v>0</v>
      </c>
      <c r="P22" s="28">
        <v>0</v>
      </c>
      <c r="Q22" s="28"/>
      <c r="R22" s="28">
        <v>0</v>
      </c>
      <c r="S22" s="28">
        <v>0</v>
      </c>
      <c r="T22" s="28"/>
      <c r="U22" s="28">
        <v>0</v>
      </c>
      <c r="V22" s="28">
        <v>0</v>
      </c>
      <c r="W22" s="28"/>
      <c r="X22" s="28">
        <v>0</v>
      </c>
      <c r="Y22" s="28">
        <v>0</v>
      </c>
      <c r="Z22" s="28"/>
      <c r="AA22" s="28">
        <v>0</v>
      </c>
      <c r="AB22" s="28">
        <v>0</v>
      </c>
      <c r="AC22" s="28"/>
      <c r="AD22" s="28">
        <v>0</v>
      </c>
      <c r="AE22" s="28">
        <v>0</v>
      </c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5">+C22+F22+I22+L22+O22+R22+U22+X22+AA22+AD22+AG22+AJ22</f>
        <v>0</v>
      </c>
      <c r="AM22" s="27">
        <f t="shared" ref="AM22:AM32" si="6">+D22+G22+J22+M22+P22+S22+V22+Y22+AB22+AE22+AH22+AK22</f>
        <v>0</v>
      </c>
      <c r="AN22" s="28"/>
      <c r="AO22" s="20"/>
    </row>
    <row r="23" spans="1:41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>
        <v>5917</v>
      </c>
      <c r="P23" s="28">
        <v>2600</v>
      </c>
      <c r="Q23" s="28"/>
      <c r="R23" s="28">
        <v>1188</v>
      </c>
      <c r="S23" s="28">
        <v>1300</v>
      </c>
      <c r="T23" s="28"/>
      <c r="U23" s="28">
        <v>767</v>
      </c>
      <c r="V23" s="28">
        <v>1300</v>
      </c>
      <c r="W23" s="28"/>
      <c r="X23" s="28">
        <v>609</v>
      </c>
      <c r="Y23" s="28">
        <v>1300</v>
      </c>
      <c r="Z23" s="28"/>
      <c r="AA23" s="28">
        <v>218</v>
      </c>
      <c r="AB23" s="28">
        <v>1300</v>
      </c>
      <c r="AC23" s="28"/>
      <c r="AD23" s="28">
        <v>406</v>
      </c>
      <c r="AE23" s="28">
        <v>1300</v>
      </c>
      <c r="AF23" s="28"/>
      <c r="AG23" s="28">
        <v>594</v>
      </c>
      <c r="AH23" s="28">
        <v>1300</v>
      </c>
      <c r="AI23" s="28"/>
      <c r="AJ23" s="28"/>
      <c r="AK23" s="28"/>
      <c r="AL23" s="27">
        <f t="shared" si="5"/>
        <v>132616</v>
      </c>
      <c r="AM23" s="27">
        <f t="shared" si="6"/>
        <v>128700</v>
      </c>
      <c r="AN23" s="28"/>
      <c r="AO23" s="20">
        <v>130000</v>
      </c>
    </row>
    <row r="24" spans="1:41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>
        <v>0</v>
      </c>
      <c r="P24" s="28">
        <v>0</v>
      </c>
      <c r="Q24" s="28"/>
      <c r="R24" s="28">
        <v>0</v>
      </c>
      <c r="S24" s="28">
        <v>0</v>
      </c>
      <c r="T24" s="28"/>
      <c r="U24" s="28">
        <v>0</v>
      </c>
      <c r="V24" s="28">
        <v>0</v>
      </c>
      <c r="W24" s="28"/>
      <c r="X24" s="28">
        <v>0</v>
      </c>
      <c r="Y24" s="28">
        <v>0</v>
      </c>
      <c r="Z24" s="28"/>
      <c r="AA24" s="28">
        <v>0</v>
      </c>
      <c r="AB24" s="28">
        <v>0</v>
      </c>
      <c r="AC24" s="28"/>
      <c r="AD24" s="28">
        <v>0</v>
      </c>
      <c r="AE24" s="28">
        <v>0</v>
      </c>
      <c r="AF24" s="28"/>
      <c r="AG24" s="28"/>
      <c r="AH24" s="28"/>
      <c r="AI24" s="28"/>
      <c r="AJ24" s="28"/>
      <c r="AK24" s="28"/>
      <c r="AL24" s="27">
        <f t="shared" si="5"/>
        <v>0</v>
      </c>
      <c r="AM24" s="27">
        <f t="shared" si="6"/>
        <v>0</v>
      </c>
      <c r="AN24" s="28"/>
      <c r="AO24" s="20">
        <v>0</v>
      </c>
    </row>
    <row r="25" spans="1:41" x14ac:dyDescent="0.2">
      <c r="A25" s="14" t="s">
        <v>332</v>
      </c>
      <c r="B25" s="13" t="s">
        <v>331</v>
      </c>
      <c r="C25" s="28">
        <v>143871</v>
      </c>
      <c r="D25" s="28">
        <v>110250</v>
      </c>
      <c r="E25" s="28"/>
      <c r="F25" s="28">
        <v>155494</v>
      </c>
      <c r="G25" s="28">
        <v>78750</v>
      </c>
      <c r="H25" s="28"/>
      <c r="I25" s="28">
        <v>23468</v>
      </c>
      <c r="J25" s="28">
        <v>25200</v>
      </c>
      <c r="K25" s="28"/>
      <c r="L25" s="28">
        <v>8775</v>
      </c>
      <c r="M25" s="28">
        <v>9450</v>
      </c>
      <c r="N25" s="28"/>
      <c r="O25" s="28">
        <v>9210</v>
      </c>
      <c r="P25" s="28">
        <v>6300</v>
      </c>
      <c r="Q25" s="28"/>
      <c r="R25" s="28">
        <v>7115</v>
      </c>
      <c r="S25" s="28">
        <v>9450</v>
      </c>
      <c r="T25" s="28"/>
      <c r="U25" s="28">
        <v>6719</v>
      </c>
      <c r="V25" s="28">
        <v>6300</v>
      </c>
      <c r="W25" s="28"/>
      <c r="X25" s="28">
        <v>7580</v>
      </c>
      <c r="Y25" s="28">
        <v>6300</v>
      </c>
      <c r="Z25" s="28"/>
      <c r="AA25" s="28">
        <v>4114</v>
      </c>
      <c r="AB25" s="28">
        <v>15750</v>
      </c>
      <c r="AC25" s="28"/>
      <c r="AD25" s="28">
        <v>4408</v>
      </c>
      <c r="AE25" s="28">
        <v>15750</v>
      </c>
      <c r="AF25" s="28"/>
      <c r="AG25" s="28">
        <v>2056</v>
      </c>
      <c r="AH25" s="28">
        <v>15750</v>
      </c>
      <c r="AI25" s="28"/>
      <c r="AJ25" s="28"/>
      <c r="AK25" s="28"/>
      <c r="AL25" s="27">
        <f t="shared" si="5"/>
        <v>372810</v>
      </c>
      <c r="AM25" s="27">
        <f t="shared" si="6"/>
        <v>299250</v>
      </c>
      <c r="AN25" s="28"/>
      <c r="AO25" s="20">
        <v>315000</v>
      </c>
    </row>
    <row r="26" spans="1:41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325700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>
        <v>3000</v>
      </c>
      <c r="P26" s="28">
        <v>0</v>
      </c>
      <c r="Q26" s="28"/>
      <c r="R26" s="28">
        <v>150</v>
      </c>
      <c r="S26" s="28">
        <v>0</v>
      </c>
      <c r="T26" s="28"/>
      <c r="U26" s="28">
        <v>0</v>
      </c>
      <c r="V26" s="28">
        <v>0</v>
      </c>
      <c r="W26" s="28"/>
      <c r="X26" s="28">
        <v>0</v>
      </c>
      <c r="Y26" s="28">
        <v>0</v>
      </c>
      <c r="Z26" s="28"/>
      <c r="AA26" s="28">
        <v>0</v>
      </c>
      <c r="AB26" s="28">
        <v>0</v>
      </c>
      <c r="AC26" s="28"/>
      <c r="AD26" s="28">
        <v>0</v>
      </c>
      <c r="AE26" s="28">
        <v>0</v>
      </c>
      <c r="AF26" s="28"/>
      <c r="AG26" s="28"/>
      <c r="AH26" s="28"/>
      <c r="AI26" s="28"/>
      <c r="AJ26" s="28"/>
      <c r="AK26" s="28"/>
      <c r="AL26" s="27">
        <f t="shared" si="5"/>
        <v>482235</v>
      </c>
      <c r="AM26" s="27">
        <f t="shared" si="6"/>
        <v>477000</v>
      </c>
      <c r="AN26" s="28"/>
      <c r="AO26" s="20">
        <v>477000</v>
      </c>
    </row>
    <row r="27" spans="1:41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>
        <v>83907.1</v>
      </c>
      <c r="P27" s="28">
        <v>88250</v>
      </c>
      <c r="Q27" s="28"/>
      <c r="R27" s="28">
        <v>28772.67</v>
      </c>
      <c r="S27" s="28">
        <v>70600</v>
      </c>
      <c r="T27" s="28"/>
      <c r="U27" s="28">
        <v>6923.88</v>
      </c>
      <c r="V27" s="28">
        <v>17650</v>
      </c>
      <c r="W27" s="28"/>
      <c r="X27" s="28">
        <v>0</v>
      </c>
      <c r="Y27" s="28">
        <v>0</v>
      </c>
      <c r="Z27" s="28"/>
      <c r="AA27" s="28">
        <v>0</v>
      </c>
      <c r="AB27" s="28">
        <v>0</v>
      </c>
      <c r="AC27" s="28"/>
      <c r="AD27" s="28">
        <v>0</v>
      </c>
      <c r="AE27" s="28">
        <v>0</v>
      </c>
      <c r="AF27" s="28"/>
      <c r="AG27" s="28"/>
      <c r="AH27" s="28"/>
      <c r="AI27" s="28"/>
      <c r="AJ27" s="28"/>
      <c r="AK27" s="28"/>
      <c r="AL27" s="27">
        <f t="shared" si="5"/>
        <v>307458.75</v>
      </c>
      <c r="AM27" s="27">
        <f t="shared" si="6"/>
        <v>353000</v>
      </c>
      <c r="AN27" s="28"/>
      <c r="AO27" s="20">
        <v>353000</v>
      </c>
    </row>
    <row r="28" spans="1:41" x14ac:dyDescent="0.2">
      <c r="A28" s="14" t="s">
        <v>326</v>
      </c>
      <c r="B28" s="13" t="s">
        <v>397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>
        <v>308110.18</v>
      </c>
      <c r="P28" s="28">
        <v>295000</v>
      </c>
      <c r="Q28" s="28"/>
      <c r="R28" s="28">
        <v>131514.37</v>
      </c>
      <c r="S28" s="28">
        <v>236000</v>
      </c>
      <c r="T28" s="28"/>
      <c r="U28" s="28">
        <v>41270.68</v>
      </c>
      <c r="V28" s="28">
        <v>59000</v>
      </c>
      <c r="W28" s="28"/>
      <c r="X28" s="28">
        <v>0</v>
      </c>
      <c r="Y28" s="28">
        <v>0</v>
      </c>
      <c r="Z28" s="28"/>
      <c r="AA28" s="28">
        <v>0</v>
      </c>
      <c r="AB28" s="28">
        <v>0</v>
      </c>
      <c r="AC28" s="28"/>
      <c r="AD28" s="28">
        <v>0</v>
      </c>
      <c r="AE28" s="28">
        <v>0</v>
      </c>
      <c r="AF28" s="28"/>
      <c r="AG28" s="28"/>
      <c r="AH28" s="28"/>
      <c r="AI28" s="28"/>
      <c r="AJ28" s="28"/>
      <c r="AK28" s="28"/>
      <c r="AL28" s="27">
        <f t="shared" si="5"/>
        <v>1256980.51</v>
      </c>
      <c r="AM28" s="27">
        <f t="shared" si="6"/>
        <v>1180000</v>
      </c>
      <c r="AN28" s="28"/>
      <c r="AO28" s="20">
        <v>1180000</v>
      </c>
    </row>
    <row r="29" spans="1:41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49697.84</v>
      </c>
      <c r="J29" s="28">
        <v>26540</v>
      </c>
      <c r="K29" s="28"/>
      <c r="L29" s="28">
        <v>18852.46</v>
      </c>
      <c r="M29" s="28">
        <v>33806</v>
      </c>
      <c r="N29" s="28"/>
      <c r="O29" s="28">
        <v>23122.63</v>
      </c>
      <c r="P29" s="28">
        <v>27592</v>
      </c>
      <c r="Q29" s="28"/>
      <c r="R29" s="28">
        <v>74946.880000000005</v>
      </c>
      <c r="S29" s="28">
        <v>31695</v>
      </c>
      <c r="T29" s="28"/>
      <c r="U29" s="28">
        <v>75803.64</v>
      </c>
      <c r="V29" s="28">
        <v>71203</v>
      </c>
      <c r="W29" s="28"/>
      <c r="X29" s="28">
        <v>45950.94</v>
      </c>
      <c r="Y29" s="28">
        <v>83550</v>
      </c>
      <c r="Z29" s="28"/>
      <c r="AA29" s="28">
        <v>52238.18</v>
      </c>
      <c r="AB29" s="28">
        <v>95805</v>
      </c>
      <c r="AC29" s="28"/>
      <c r="AD29" s="28">
        <v>65819.37</v>
      </c>
      <c r="AE29" s="28">
        <v>38586</v>
      </c>
      <c r="AF29" s="28"/>
      <c r="AG29" s="28">
        <v>41949.03</v>
      </c>
      <c r="AH29" s="28">
        <v>43023</v>
      </c>
      <c r="AI29" s="28"/>
      <c r="AJ29" s="28"/>
      <c r="AK29" s="28"/>
      <c r="AL29" s="27">
        <f t="shared" si="5"/>
        <v>551191.25</v>
      </c>
      <c r="AM29" s="27">
        <f t="shared" si="6"/>
        <v>553730</v>
      </c>
      <c r="AN29" s="28"/>
      <c r="AO29" s="20">
        <v>600000</v>
      </c>
    </row>
    <row r="30" spans="1:41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>
        <v>1650</v>
      </c>
      <c r="P30" s="28">
        <v>1667</v>
      </c>
      <c r="Q30" s="28"/>
      <c r="R30" s="28">
        <v>1800</v>
      </c>
      <c r="S30" s="28">
        <v>1666</v>
      </c>
      <c r="T30" s="28"/>
      <c r="U30" s="28">
        <v>2850</v>
      </c>
      <c r="V30" s="28">
        <v>1667</v>
      </c>
      <c r="W30" s="28"/>
      <c r="X30" s="28">
        <v>2700</v>
      </c>
      <c r="Y30" s="28">
        <v>1666</v>
      </c>
      <c r="Z30" s="28"/>
      <c r="AA30" s="28">
        <v>1800</v>
      </c>
      <c r="AB30" s="28">
        <v>1667</v>
      </c>
      <c r="AC30" s="28"/>
      <c r="AD30" s="28">
        <v>3150</v>
      </c>
      <c r="AE30" s="28">
        <v>1667</v>
      </c>
      <c r="AF30" s="28"/>
      <c r="AG30" s="28">
        <v>3750</v>
      </c>
      <c r="AH30" s="28">
        <v>1667</v>
      </c>
      <c r="AI30" s="28"/>
      <c r="AJ30" s="28"/>
      <c r="AK30" s="28"/>
      <c r="AL30" s="27">
        <f t="shared" si="5"/>
        <v>25350</v>
      </c>
      <c r="AM30" s="27">
        <f t="shared" si="6"/>
        <v>18333</v>
      </c>
      <c r="AN30" s="28"/>
      <c r="AO30" s="20">
        <v>20000</v>
      </c>
    </row>
    <row r="31" spans="1:41" x14ac:dyDescent="0.2">
      <c r="A31" s="14" t="s">
        <v>321</v>
      </c>
      <c r="B31" s="13" t="s">
        <v>320</v>
      </c>
      <c r="C31" s="28">
        <v>8420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11790</v>
      </c>
      <c r="M31" s="28">
        <v>10500</v>
      </c>
      <c r="N31" s="28"/>
      <c r="O31" s="28">
        <v>10765.14</v>
      </c>
      <c r="P31" s="28">
        <v>10500</v>
      </c>
      <c r="Q31" s="28"/>
      <c r="R31" s="28">
        <v>4290</v>
      </c>
      <c r="S31" s="28">
        <v>2000</v>
      </c>
      <c r="T31" s="28"/>
      <c r="U31" s="28">
        <v>1920</v>
      </c>
      <c r="V31" s="28">
        <v>500</v>
      </c>
      <c r="W31" s="28"/>
      <c r="X31" s="28">
        <v>560</v>
      </c>
      <c r="Y31" s="28">
        <v>500</v>
      </c>
      <c r="Z31" s="28"/>
      <c r="AA31" s="28">
        <v>130</v>
      </c>
      <c r="AB31" s="28">
        <v>0</v>
      </c>
      <c r="AC31" s="28"/>
      <c r="AD31" s="28">
        <v>700</v>
      </c>
      <c r="AE31" s="28">
        <v>500</v>
      </c>
      <c r="AF31" s="28"/>
      <c r="AG31" s="28">
        <v>100</v>
      </c>
      <c r="AH31" s="28">
        <v>500</v>
      </c>
      <c r="AI31" s="28"/>
      <c r="AJ31" s="28"/>
      <c r="AK31" s="28"/>
      <c r="AL31" s="27">
        <f t="shared" si="5"/>
        <v>54794.14</v>
      </c>
      <c r="AM31" s="27">
        <f t="shared" si="6"/>
        <v>48500</v>
      </c>
      <c r="AN31" s="28"/>
      <c r="AO31" s="20">
        <v>50000</v>
      </c>
    </row>
    <row r="32" spans="1:41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>
        <v>8891.27</v>
      </c>
      <c r="P32" s="28">
        <v>8697</v>
      </c>
      <c r="Q32" s="28"/>
      <c r="R32" s="28">
        <v>8502</v>
      </c>
      <c r="S32" s="28">
        <v>8047</v>
      </c>
      <c r="T32" s="28"/>
      <c r="U32" s="28">
        <v>2616</v>
      </c>
      <c r="V32" s="28">
        <v>2441</v>
      </c>
      <c r="W32" s="28"/>
      <c r="X32" s="28">
        <v>506</v>
      </c>
      <c r="Y32" s="28">
        <v>1021</v>
      </c>
      <c r="Z32" s="28"/>
      <c r="AA32" s="28">
        <v>360</v>
      </c>
      <c r="AB32" s="28">
        <v>489</v>
      </c>
      <c r="AC32" s="28"/>
      <c r="AD32" s="28">
        <v>482</v>
      </c>
      <c r="AE32" s="28">
        <v>836</v>
      </c>
      <c r="AF32" s="28"/>
      <c r="AG32" s="28">
        <v>786</v>
      </c>
      <c r="AH32" s="28">
        <v>1120</v>
      </c>
      <c r="AI32" s="28"/>
      <c r="AJ32" s="28"/>
      <c r="AK32" s="28"/>
      <c r="AL32" s="27">
        <f t="shared" si="5"/>
        <v>58664.97</v>
      </c>
      <c r="AM32" s="27">
        <f t="shared" si="6"/>
        <v>52929</v>
      </c>
      <c r="AN32" s="28"/>
      <c r="AO32" s="20">
        <v>55000</v>
      </c>
    </row>
    <row r="33" spans="1:41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</row>
    <row r="34" spans="1:41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603527.1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562137.64</v>
      </c>
      <c r="M34" s="29">
        <f>SUM(M22:M33)</f>
        <v>451102</v>
      </c>
      <c r="N34" s="34"/>
      <c r="O34" s="29">
        <f>SUM(O22:O33)</f>
        <v>454573.32000000007</v>
      </c>
      <c r="P34" s="29">
        <f>SUM(P22:P33)</f>
        <v>440606</v>
      </c>
      <c r="Q34" s="34"/>
      <c r="R34" s="29">
        <f>SUM(R22:R33)</f>
        <v>258278.91999999998</v>
      </c>
      <c r="S34" s="29">
        <f>SUM(S22:S33)</f>
        <v>360758</v>
      </c>
      <c r="T34" s="34"/>
      <c r="U34" s="29">
        <f>SUM(U22:U33)</f>
        <v>138870.20000000001</v>
      </c>
      <c r="V34" s="29">
        <f>SUM(V22:V33)</f>
        <v>160061</v>
      </c>
      <c r="W34" s="34"/>
      <c r="X34" s="29">
        <f>SUM(X22:X33)</f>
        <v>57905.94</v>
      </c>
      <c r="Y34" s="29">
        <f>SUM(Y22:Y33)</f>
        <v>94337</v>
      </c>
      <c r="Z34" s="34"/>
      <c r="AA34" s="29">
        <f>SUM(AA22:AA33)</f>
        <v>58860.18</v>
      </c>
      <c r="AB34" s="29">
        <f>SUM(AB22:AB33)</f>
        <v>115011</v>
      </c>
      <c r="AC34" s="34"/>
      <c r="AD34" s="29">
        <f>SUM(AD22:AD33)</f>
        <v>74965.37</v>
      </c>
      <c r="AE34" s="29">
        <f>SUM(AE22:AE33)</f>
        <v>58639</v>
      </c>
      <c r="AF34" s="34"/>
      <c r="AG34" s="29">
        <f>SUM(AG22:AG33)</f>
        <v>49235.03</v>
      </c>
      <c r="AH34" s="29">
        <f>SUM(AH22:AH33)</f>
        <v>63360</v>
      </c>
      <c r="AI34" s="34"/>
      <c r="AJ34" s="29">
        <f>SUM(AJ22:AJ33)</f>
        <v>0</v>
      </c>
      <c r="AK34" s="29">
        <f>SUM(AK22:AK33)</f>
        <v>0</v>
      </c>
      <c r="AL34" s="29">
        <f>SUM(AL22:AL33)</f>
        <v>3242100.62</v>
      </c>
      <c r="AM34" s="29">
        <f>SUM(AM22:AM33)</f>
        <v>3111442</v>
      </c>
      <c r="AN34" s="34"/>
      <c r="AO34" s="29">
        <f>SUM(AO22:AO33)</f>
        <v>3180000</v>
      </c>
    </row>
    <row r="35" spans="1:41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48"/>
      <c r="AH35" s="48"/>
      <c r="AI35" s="48"/>
      <c r="AJ35" s="48"/>
      <c r="AK35" s="48"/>
      <c r="AL35" s="48"/>
      <c r="AM35" s="48"/>
      <c r="AN35" s="48"/>
      <c r="AO35" s="48"/>
    </row>
    <row r="36" spans="1:41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49"/>
      <c r="AH36" s="49"/>
      <c r="AI36" s="49"/>
      <c r="AJ36" s="49"/>
      <c r="AK36" s="49"/>
      <c r="AL36" s="49"/>
      <c r="AM36" s="49"/>
      <c r="AN36" s="49"/>
      <c r="AO36" s="48"/>
    </row>
    <row r="37" spans="1:41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>
        <v>111265</v>
      </c>
      <c r="P37" s="28">
        <v>86205</v>
      </c>
      <c r="Q37" s="28"/>
      <c r="R37" s="28">
        <v>137357.23000000001</v>
      </c>
      <c r="S37" s="28">
        <v>79105</v>
      </c>
      <c r="T37" s="28"/>
      <c r="U37" s="28">
        <v>38013.019999999997</v>
      </c>
      <c r="V37" s="28">
        <v>34194</v>
      </c>
      <c r="W37" s="28"/>
      <c r="X37" s="28">
        <v>20094.34</v>
      </c>
      <c r="Y37" s="28">
        <v>15331</v>
      </c>
      <c r="Z37" s="28"/>
      <c r="AA37" s="28">
        <v>18470.939999999999</v>
      </c>
      <c r="AB37" s="28">
        <v>9365</v>
      </c>
      <c r="AC37" s="28"/>
      <c r="AD37" s="28">
        <v>12103</v>
      </c>
      <c r="AE37" s="28">
        <v>7850</v>
      </c>
      <c r="AF37" s="28"/>
      <c r="AG37" s="28">
        <v>13453.84</v>
      </c>
      <c r="AH37" s="28">
        <v>9241</v>
      </c>
      <c r="AI37" s="28"/>
      <c r="AJ37" s="28"/>
      <c r="AK37" s="28"/>
      <c r="AL37" s="27">
        <f t="shared" ref="AL37:AL42" si="7">+C37+F37+I37+L37+O37+R37+U37+X37+AA37+AD37+AG37+AJ37</f>
        <v>592362.7699999999</v>
      </c>
      <c r="AM37" s="27">
        <f t="shared" ref="AM37:AM42" si="8">+D37+G37+J37+M37+P37+S37+V37+Y37+AB37+AE37+AH37+AK37</f>
        <v>392420</v>
      </c>
      <c r="AN37" s="28"/>
      <c r="AO37" s="20">
        <v>400000</v>
      </c>
    </row>
    <row r="38" spans="1:41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>
        <v>0</v>
      </c>
      <c r="P38" s="28">
        <v>0</v>
      </c>
      <c r="Q38" s="28"/>
      <c r="R38" s="28">
        <v>1266.52</v>
      </c>
      <c r="S38" s="28">
        <v>0</v>
      </c>
      <c r="T38" s="28"/>
      <c r="U38" s="28">
        <v>740</v>
      </c>
      <c r="V38" s="28">
        <v>0</v>
      </c>
      <c r="W38" s="28"/>
      <c r="X38" s="28">
        <v>3555</v>
      </c>
      <c r="Y38" s="28">
        <v>0</v>
      </c>
      <c r="Z38" s="28"/>
      <c r="AA38" s="28">
        <v>1387.75</v>
      </c>
      <c r="AB38" s="28">
        <v>0</v>
      </c>
      <c r="AC38" s="28"/>
      <c r="AD38" s="28">
        <v>731</v>
      </c>
      <c r="AE38" s="28"/>
      <c r="AF38" s="28"/>
      <c r="AG38" s="28">
        <v>741</v>
      </c>
      <c r="AH38" s="28">
        <v>0</v>
      </c>
      <c r="AI38" s="28"/>
      <c r="AJ38" s="28"/>
      <c r="AK38" s="28"/>
      <c r="AL38" s="27">
        <f t="shared" si="7"/>
        <v>11979.35</v>
      </c>
      <c r="AM38" s="27">
        <f t="shared" si="8"/>
        <v>0</v>
      </c>
      <c r="AN38" s="28"/>
      <c r="AO38" s="20"/>
    </row>
    <row r="39" spans="1:41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>
        <v>22877.23</v>
      </c>
      <c r="P39" s="28">
        <v>5000</v>
      </c>
      <c r="Q39" s="28"/>
      <c r="R39" s="28">
        <v>15693.98</v>
      </c>
      <c r="S39" s="28">
        <v>5000</v>
      </c>
      <c r="T39" s="28"/>
      <c r="U39" s="28">
        <v>6304.27</v>
      </c>
      <c r="V39" s="28">
        <v>5000</v>
      </c>
      <c r="W39" s="28"/>
      <c r="X39" s="28">
        <v>7121.39</v>
      </c>
      <c r="Y39" s="28">
        <v>5000</v>
      </c>
      <c r="Z39" s="28"/>
      <c r="AA39" s="28">
        <v>4587.2299999999996</v>
      </c>
      <c r="AB39" s="28">
        <v>5000</v>
      </c>
      <c r="AC39" s="28"/>
      <c r="AD39" s="28">
        <v>3448.49</v>
      </c>
      <c r="AE39" s="28">
        <v>5000</v>
      </c>
      <c r="AF39" s="28"/>
      <c r="AG39" s="28">
        <v>2422.6799999999998</v>
      </c>
      <c r="AH39" s="28">
        <v>5000</v>
      </c>
      <c r="AI39" s="28"/>
      <c r="AJ39" s="28"/>
      <c r="AK39" s="28"/>
      <c r="AL39" s="27">
        <f t="shared" si="7"/>
        <v>105429.32999999999</v>
      </c>
      <c r="AM39" s="27">
        <f t="shared" si="8"/>
        <v>55000</v>
      </c>
      <c r="AN39" s="28"/>
      <c r="AO39" s="20">
        <v>60000</v>
      </c>
    </row>
    <row r="40" spans="1:41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>
        <v>5486.57</v>
      </c>
      <c r="P40" s="28">
        <v>1042</v>
      </c>
      <c r="Q40" s="28"/>
      <c r="R40" s="28">
        <v>3403.91</v>
      </c>
      <c r="S40" s="28">
        <v>1042</v>
      </c>
      <c r="T40" s="28"/>
      <c r="U40" s="28">
        <v>2005.2</v>
      </c>
      <c r="V40" s="28">
        <v>1041</v>
      </c>
      <c r="W40" s="28"/>
      <c r="X40" s="28">
        <v>3480.18</v>
      </c>
      <c r="Y40" s="28">
        <v>1042</v>
      </c>
      <c r="Z40" s="28"/>
      <c r="AA40" s="28">
        <v>2025.45</v>
      </c>
      <c r="AB40" s="28">
        <v>1042</v>
      </c>
      <c r="AC40" s="28"/>
      <c r="AD40" s="28">
        <v>1173.26</v>
      </c>
      <c r="AE40" s="28">
        <v>1041</v>
      </c>
      <c r="AF40" s="28"/>
      <c r="AG40" s="28">
        <v>869</v>
      </c>
      <c r="AH40" s="28">
        <v>1042</v>
      </c>
      <c r="AI40" s="28"/>
      <c r="AJ40" s="28"/>
      <c r="AK40" s="28"/>
      <c r="AL40" s="27">
        <f t="shared" si="7"/>
        <v>32261.07</v>
      </c>
      <c r="AM40" s="27">
        <f t="shared" si="8"/>
        <v>11458</v>
      </c>
      <c r="AN40" s="28"/>
      <c r="AO40" s="20">
        <v>12500</v>
      </c>
    </row>
    <row r="41" spans="1:41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>
        <v>0</v>
      </c>
      <c r="P41" s="28">
        <v>0</v>
      </c>
      <c r="Q41" s="28"/>
      <c r="R41" s="28">
        <v>0</v>
      </c>
      <c r="S41" s="28">
        <v>0</v>
      </c>
      <c r="T41" s="28"/>
      <c r="U41" s="28"/>
      <c r="V41" s="28"/>
      <c r="W41" s="28"/>
      <c r="X41" s="28">
        <v>0</v>
      </c>
      <c r="Y41" s="28">
        <v>0</v>
      </c>
      <c r="Z41" s="28"/>
      <c r="AA41" s="28">
        <v>0</v>
      </c>
      <c r="AB41" s="28">
        <v>0</v>
      </c>
      <c r="AC41" s="28"/>
      <c r="AD41" s="28"/>
      <c r="AE41" s="28"/>
      <c r="AF41" s="28"/>
      <c r="AG41" s="28"/>
      <c r="AH41" s="28"/>
      <c r="AI41" s="28"/>
      <c r="AJ41" s="28"/>
      <c r="AK41" s="28"/>
      <c r="AL41" s="27"/>
      <c r="AM41" s="27">
        <f t="shared" si="8"/>
        <v>0</v>
      </c>
      <c r="AN41" s="28"/>
      <c r="AO41" s="20"/>
    </row>
    <row r="42" spans="1:41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>
        <v>1350</v>
      </c>
      <c r="P42" s="28">
        <v>375</v>
      </c>
      <c r="Q42" s="28"/>
      <c r="R42" s="28">
        <v>471</v>
      </c>
      <c r="S42" s="28">
        <v>375</v>
      </c>
      <c r="T42" s="28"/>
      <c r="U42" s="28">
        <v>1363</v>
      </c>
      <c r="V42" s="28">
        <v>375</v>
      </c>
      <c r="W42" s="28"/>
      <c r="X42" s="28">
        <v>1210</v>
      </c>
      <c r="Y42" s="28">
        <v>375</v>
      </c>
      <c r="Z42" s="28"/>
      <c r="AA42" s="28">
        <v>0</v>
      </c>
      <c r="AB42" s="28">
        <v>375</v>
      </c>
      <c r="AC42" s="28"/>
      <c r="AD42" s="28">
        <v>355</v>
      </c>
      <c r="AE42" s="28">
        <v>375</v>
      </c>
      <c r="AF42" s="28"/>
      <c r="AG42" s="28">
        <v>637.66</v>
      </c>
      <c r="AH42" s="28">
        <v>375</v>
      </c>
      <c r="AI42" s="28"/>
      <c r="AJ42" s="28"/>
      <c r="AK42" s="28"/>
      <c r="AL42" s="27">
        <f t="shared" si="7"/>
        <v>6457.7</v>
      </c>
      <c r="AM42" s="27">
        <f t="shared" si="8"/>
        <v>4125</v>
      </c>
      <c r="AN42" s="28"/>
      <c r="AO42" s="20">
        <v>4500</v>
      </c>
    </row>
    <row r="43" spans="1:41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</row>
    <row r="44" spans="1:41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140978.80000000002</v>
      </c>
      <c r="P44" s="29">
        <f>SUM(P37:P43)</f>
        <v>92622</v>
      </c>
      <c r="Q44" s="34"/>
      <c r="R44" s="29">
        <f>SUM(R37:R43)</f>
        <v>158192.64000000001</v>
      </c>
      <c r="S44" s="29">
        <f>SUM(S37:S43)</f>
        <v>85522</v>
      </c>
      <c r="T44" s="34"/>
      <c r="U44" s="29">
        <f>SUM(U37:U43)</f>
        <v>48425.489999999991</v>
      </c>
      <c r="V44" s="29">
        <f>SUM(V37:V43)</f>
        <v>40610</v>
      </c>
      <c r="W44" s="34"/>
      <c r="X44" s="29">
        <f>SUM(X37:X43)</f>
        <v>35460.909999999996</v>
      </c>
      <c r="Y44" s="29">
        <f>SUM(Y37:Y43)</f>
        <v>21748</v>
      </c>
      <c r="Z44" s="34"/>
      <c r="AA44" s="29">
        <f>SUM(AA37:AA43)</f>
        <v>26471.37</v>
      </c>
      <c r="AB44" s="29">
        <f>SUM(AB37:AB43)</f>
        <v>15782</v>
      </c>
      <c r="AC44" s="34"/>
      <c r="AD44" s="29">
        <f>SUM(AD37:AD43)</f>
        <v>17810.75</v>
      </c>
      <c r="AE44" s="29">
        <f>SUM(AE37:AE43)</f>
        <v>14266</v>
      </c>
      <c r="AF44" s="34"/>
      <c r="AG44" s="29">
        <f>SUM(AG37:AG43)</f>
        <v>18124.18</v>
      </c>
      <c r="AH44" s="29">
        <f>SUM(AH37:AH43)</f>
        <v>15658</v>
      </c>
      <c r="AI44" s="34"/>
      <c r="AJ44" s="29">
        <f>SUM(AJ37:AJ43)</f>
        <v>0</v>
      </c>
      <c r="AK44" s="29">
        <f>SUM(AK37:AK43)</f>
        <v>0</v>
      </c>
      <c r="AL44" s="29">
        <f>SUM(AL37:AL43)</f>
        <v>748490.21999999974</v>
      </c>
      <c r="AM44" s="29">
        <f>SUM(AM37:AM43)</f>
        <v>463003</v>
      </c>
      <c r="AN44" s="34"/>
      <c r="AO44" s="29">
        <f>SUM(AO37:AO43)</f>
        <v>477000</v>
      </c>
    </row>
    <row r="45" spans="1:41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48"/>
      <c r="AH45" s="48"/>
      <c r="AI45" s="48"/>
      <c r="AJ45" s="48"/>
      <c r="AK45" s="48"/>
      <c r="AL45" s="48"/>
      <c r="AM45" s="48"/>
      <c r="AN45" s="48"/>
      <c r="AO45" s="48"/>
    </row>
    <row r="46" spans="1:41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49"/>
      <c r="AH46" s="49"/>
      <c r="AI46" s="49"/>
      <c r="AJ46" s="49"/>
      <c r="AK46" s="49"/>
      <c r="AL46" s="49"/>
      <c r="AM46" s="49"/>
      <c r="AN46" s="49"/>
      <c r="AO46" s="48"/>
    </row>
    <row r="47" spans="1:41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4"/>
      <c r="AK47" s="28"/>
      <c r="AL47" s="27">
        <f t="shared" ref="AL47:AL55" si="9">+C47+F47+I47+L47+O47+R47+U47+X47+AA47+AD47+AG47+AJ47</f>
        <v>806.25</v>
      </c>
      <c r="AM47" s="27">
        <f t="shared" ref="AM47:AM55" si="10">+D47+G47+J47+M47+P47+S47+V47+Y47+AB47+AE47+AH47+AK47</f>
        <v>0</v>
      </c>
      <c r="AN47" s="28"/>
      <c r="AO47" s="20">
        <v>0</v>
      </c>
    </row>
    <row r="48" spans="1:41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4"/>
      <c r="AK48" s="28"/>
      <c r="AL48" s="121">
        <f t="shared" si="9"/>
        <v>0</v>
      </c>
      <c r="AM48" s="27">
        <f t="shared" si="10"/>
        <v>0</v>
      </c>
      <c r="AN48" s="28"/>
      <c r="AO48" s="20">
        <v>0</v>
      </c>
    </row>
    <row r="49" spans="1:41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4"/>
      <c r="AK49" s="28"/>
      <c r="AL49" s="121">
        <f t="shared" si="9"/>
        <v>0</v>
      </c>
      <c r="AM49" s="27">
        <f t="shared" si="10"/>
        <v>0</v>
      </c>
      <c r="AN49" s="28"/>
      <c r="AO49" s="20">
        <v>0</v>
      </c>
    </row>
    <row r="50" spans="1:41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4"/>
      <c r="AK50" s="28"/>
      <c r="AL50" s="121">
        <f t="shared" si="9"/>
        <v>0</v>
      </c>
      <c r="AM50" s="27">
        <f t="shared" si="10"/>
        <v>0</v>
      </c>
      <c r="AN50" s="28"/>
      <c r="AO50" s="20">
        <v>0</v>
      </c>
    </row>
    <row r="51" spans="1:41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4"/>
      <c r="AK51" s="28"/>
      <c r="AL51" s="121">
        <f t="shared" si="9"/>
        <v>1750</v>
      </c>
      <c r="AM51" s="27">
        <f t="shared" si="10"/>
        <v>0</v>
      </c>
      <c r="AN51" s="28"/>
      <c r="AO51" s="20">
        <v>0</v>
      </c>
    </row>
    <row r="52" spans="1:41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124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4"/>
      <c r="AK52" s="28"/>
      <c r="AL52" s="121">
        <f t="shared" si="9"/>
        <v>53751.5</v>
      </c>
      <c r="AM52" s="27">
        <f t="shared" si="10"/>
        <v>0</v>
      </c>
      <c r="AN52" s="28"/>
      <c r="AO52" s="20">
        <v>0</v>
      </c>
    </row>
    <row r="53" spans="1:41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124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4"/>
      <c r="AK53" s="28"/>
      <c r="AL53" s="121">
        <f t="shared" si="9"/>
        <v>1365</v>
      </c>
      <c r="AM53" s="27">
        <f t="shared" si="10"/>
        <v>0</v>
      </c>
      <c r="AN53" s="28"/>
      <c r="AO53" s="20">
        <v>0</v>
      </c>
    </row>
    <row r="54" spans="1:41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4"/>
      <c r="AK54" s="28"/>
      <c r="AL54" s="121">
        <f t="shared" si="9"/>
        <v>0</v>
      </c>
      <c r="AM54" s="27">
        <f t="shared" si="10"/>
        <v>0</v>
      </c>
      <c r="AN54" s="28"/>
      <c r="AO54" s="20">
        <v>0</v>
      </c>
    </row>
    <row r="55" spans="1:41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124">
        <v>108058</v>
      </c>
      <c r="M55" s="28"/>
      <c r="N55" s="28"/>
      <c r="O55" s="28">
        <v>57007</v>
      </c>
      <c r="P55" s="28"/>
      <c r="Q55" s="28"/>
      <c r="R55" s="28">
        <v>2173.4499999999998</v>
      </c>
      <c r="S55" s="28"/>
      <c r="T55" s="28"/>
      <c r="U55" s="28">
        <v>265</v>
      </c>
      <c r="V55" s="28">
        <v>0</v>
      </c>
      <c r="W55" s="28"/>
      <c r="X55" s="28">
        <v>324.82</v>
      </c>
      <c r="Y55" s="28">
        <v>0</v>
      </c>
      <c r="Z55" s="28"/>
      <c r="AA55" s="28">
        <v>116.5</v>
      </c>
      <c r="AB55" s="28">
        <v>0</v>
      </c>
      <c r="AC55" s="28"/>
      <c r="AD55" s="28">
        <v>15000</v>
      </c>
      <c r="AE55" s="28"/>
      <c r="AF55" s="28"/>
      <c r="AG55" s="28">
        <v>460</v>
      </c>
      <c r="AH55" s="28">
        <v>0</v>
      </c>
      <c r="AI55" s="28"/>
      <c r="AJ55" s="44"/>
      <c r="AK55" s="28"/>
      <c r="AL55" s="121">
        <f t="shared" si="9"/>
        <v>225828.22000000003</v>
      </c>
      <c r="AM55" s="27">
        <f t="shared" si="10"/>
        <v>0</v>
      </c>
      <c r="AN55" s="28"/>
      <c r="AO55" s="20">
        <v>0</v>
      </c>
    </row>
    <row r="56" spans="1:41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</row>
    <row r="57" spans="1:41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57007</v>
      </c>
      <c r="P57" s="29">
        <f>SUM(P47:P56)</f>
        <v>0</v>
      </c>
      <c r="Q57" s="34"/>
      <c r="R57" s="29">
        <f>SUM(R47:R56)</f>
        <v>2173.4499999999998</v>
      </c>
      <c r="S57" s="29">
        <f>SUM(S47:S56)</f>
        <v>0</v>
      </c>
      <c r="T57" s="34"/>
      <c r="U57" s="29">
        <f>SUM(U47:U56)</f>
        <v>265</v>
      </c>
      <c r="V57" s="29">
        <f>SUM(V47:V56)</f>
        <v>0</v>
      </c>
      <c r="W57" s="34"/>
      <c r="X57" s="29">
        <f>SUM(X47:X56)</f>
        <v>324.82</v>
      </c>
      <c r="Y57" s="29">
        <f>SUM(Y47:Y56)</f>
        <v>0</v>
      </c>
      <c r="Z57" s="34"/>
      <c r="AA57" s="41">
        <f>SUM(AA47:AA56)</f>
        <v>116.5</v>
      </c>
      <c r="AB57" s="29">
        <f>SUM(AB47:AB56)</f>
        <v>0</v>
      </c>
      <c r="AC57" s="34"/>
      <c r="AD57" s="41">
        <f>SUM(AD47:AD56)</f>
        <v>15000</v>
      </c>
      <c r="AE57" s="29">
        <f>SUM(AE47:AE56)</f>
        <v>0</v>
      </c>
      <c r="AF57" s="34"/>
      <c r="AG57" s="41">
        <f>SUM(AG47:AG56)</f>
        <v>460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283500.97000000003</v>
      </c>
      <c r="AM57" s="29">
        <f>SUM(AM47:AM56)</f>
        <v>0</v>
      </c>
      <c r="AN57" s="34"/>
      <c r="AO57" s="29">
        <f>SUM(AO47:AO56)</f>
        <v>0</v>
      </c>
    </row>
    <row r="58" spans="1:41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48"/>
      <c r="AH58" s="48"/>
      <c r="AI58" s="48"/>
      <c r="AJ58" s="48"/>
      <c r="AK58" s="48"/>
      <c r="AL58" s="48"/>
      <c r="AM58" s="48"/>
      <c r="AN58" s="48"/>
      <c r="AO58" s="48"/>
    </row>
    <row r="59" spans="1:41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49"/>
      <c r="AH59" s="49"/>
      <c r="AI59" s="49"/>
      <c r="AJ59" s="49"/>
      <c r="AK59" s="49"/>
      <c r="AL59" s="49"/>
      <c r="AM59" s="49"/>
      <c r="AN59" s="49"/>
      <c r="AO59" s="48"/>
    </row>
    <row r="60" spans="1:41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/>
      <c r="J60" s="28"/>
      <c r="K60" s="28"/>
      <c r="L60" s="28"/>
      <c r="M60" s="28"/>
      <c r="N60" s="28"/>
      <c r="O60" s="28">
        <v>0</v>
      </c>
      <c r="P60" s="28"/>
      <c r="Q60" s="28"/>
      <c r="R60" s="28">
        <v>0</v>
      </c>
      <c r="S60" s="28">
        <v>0</v>
      </c>
      <c r="T60" s="28"/>
      <c r="U60" s="28"/>
      <c r="V60" s="28"/>
      <c r="W60" s="28"/>
      <c r="X60" s="28">
        <v>50</v>
      </c>
      <c r="Y60" s="28">
        <v>0</v>
      </c>
      <c r="Z60" s="28"/>
      <c r="AA60" s="28"/>
      <c r="AB60" s="28"/>
      <c r="AC60" s="28"/>
      <c r="AD60" s="28">
        <v>15</v>
      </c>
      <c r="AE60" s="28"/>
      <c r="AF60" s="28"/>
      <c r="AG60" s="28"/>
      <c r="AH60" s="28"/>
      <c r="AI60" s="28"/>
      <c r="AJ60" s="28"/>
      <c r="AK60" s="28"/>
      <c r="AL60" s="27">
        <f t="shared" ref="AL60:AL66" si="11">+C60+F60+I60+L60+O60+R60+U60+X60+AA60+AD60+AG60+AJ60</f>
        <v>90</v>
      </c>
      <c r="AM60" s="27">
        <f t="shared" ref="AM60:AM66" si="12">+D60+G60+J60+M60+P60+S60+V60+Y60+AB60+AE60+AH60+AK60</f>
        <v>0</v>
      </c>
      <c r="AN60" s="28"/>
      <c r="AO60" s="20">
        <v>0</v>
      </c>
    </row>
    <row r="61" spans="1:41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>
        <v>0</v>
      </c>
      <c r="P61" s="28"/>
      <c r="Q61" s="28"/>
      <c r="R61" s="28">
        <v>0</v>
      </c>
      <c r="S61" s="28">
        <v>0</v>
      </c>
      <c r="T61" s="28"/>
      <c r="U61" s="28"/>
      <c r="V61" s="28"/>
      <c r="W61" s="28"/>
      <c r="X61" s="28">
        <v>0</v>
      </c>
      <c r="Y61" s="28">
        <v>0</v>
      </c>
      <c r="Z61" s="28"/>
      <c r="AA61" s="28">
        <v>65000</v>
      </c>
      <c r="AB61" s="28">
        <v>0</v>
      </c>
      <c r="AC61" s="28"/>
      <c r="AD61" s="28"/>
      <c r="AE61" s="28"/>
      <c r="AF61" s="28"/>
      <c r="AG61" s="28"/>
      <c r="AH61" s="28"/>
      <c r="AI61" s="28"/>
      <c r="AJ61" s="28"/>
      <c r="AK61" s="28"/>
      <c r="AL61" s="121">
        <f>+C61+F61+I61+L61+O61+R61+U61+X61+AA61+AD61+AG61+AJ61-65000</f>
        <v>0</v>
      </c>
      <c r="AM61" s="27">
        <f t="shared" si="12"/>
        <v>0</v>
      </c>
      <c r="AN61" s="28"/>
      <c r="AO61" s="20">
        <v>0</v>
      </c>
    </row>
    <row r="62" spans="1:41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>
        <v>1208</v>
      </c>
      <c r="P62" s="28"/>
      <c r="Q62" s="28"/>
      <c r="R62" s="28">
        <v>0</v>
      </c>
      <c r="S62" s="28">
        <v>0</v>
      </c>
      <c r="T62" s="28"/>
      <c r="U62" s="28"/>
      <c r="V62" s="28"/>
      <c r="W62" s="28"/>
      <c r="X62" s="28">
        <v>0</v>
      </c>
      <c r="Y62" s="28">
        <v>0</v>
      </c>
      <c r="Z62" s="28"/>
      <c r="AA62" s="44"/>
      <c r="AB62" s="28"/>
      <c r="AC62" s="28"/>
      <c r="AD62" s="44"/>
      <c r="AE62" s="28"/>
      <c r="AF62" s="28"/>
      <c r="AG62" s="44"/>
      <c r="AH62" s="28"/>
      <c r="AI62" s="28"/>
      <c r="AJ62" s="44"/>
      <c r="AK62" s="28"/>
      <c r="AL62" s="27">
        <f t="shared" si="11"/>
        <v>2958</v>
      </c>
      <c r="AM62" s="27">
        <f t="shared" si="12"/>
        <v>0</v>
      </c>
      <c r="AN62" s="28"/>
      <c r="AO62" s="20">
        <v>0</v>
      </c>
    </row>
    <row r="63" spans="1:41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>
        <v>250</v>
      </c>
      <c r="P63" s="28">
        <v>83</v>
      </c>
      <c r="Q63" s="28"/>
      <c r="R63" s="28">
        <v>250</v>
      </c>
      <c r="S63" s="28">
        <v>83</v>
      </c>
      <c r="T63" s="28"/>
      <c r="U63" s="28">
        <v>75</v>
      </c>
      <c r="V63" s="28">
        <v>84</v>
      </c>
      <c r="W63" s="28"/>
      <c r="X63" s="28">
        <v>50</v>
      </c>
      <c r="Y63" s="28">
        <v>83</v>
      </c>
      <c r="Z63" s="28"/>
      <c r="AA63" s="28">
        <v>100</v>
      </c>
      <c r="AB63" s="28">
        <v>84</v>
      </c>
      <c r="AC63" s="28"/>
      <c r="AD63" s="28">
        <v>25</v>
      </c>
      <c r="AE63" s="28">
        <v>83</v>
      </c>
      <c r="AF63" s="28"/>
      <c r="AG63" s="28">
        <v>0</v>
      </c>
      <c r="AH63" s="28">
        <v>83</v>
      </c>
      <c r="AI63" s="28"/>
      <c r="AJ63" s="28"/>
      <c r="AK63" s="28"/>
      <c r="AL63" s="27">
        <f t="shared" si="11"/>
        <v>1050</v>
      </c>
      <c r="AM63" s="27">
        <f t="shared" si="12"/>
        <v>917</v>
      </c>
      <c r="AN63" s="28"/>
      <c r="AO63" s="20">
        <v>1000</v>
      </c>
    </row>
    <row r="64" spans="1:41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>
        <v>2700</v>
      </c>
      <c r="P64" s="28"/>
      <c r="Q64" s="28"/>
      <c r="R64" s="28">
        <v>27375</v>
      </c>
      <c r="S64" s="28">
        <v>5000</v>
      </c>
      <c r="T64" s="28"/>
      <c r="U64" s="28">
        <v>3197.23</v>
      </c>
      <c r="V64" s="28">
        <v>0</v>
      </c>
      <c r="W64" s="28"/>
      <c r="X64" s="28">
        <v>9225</v>
      </c>
      <c r="Y64" s="28">
        <v>0</v>
      </c>
      <c r="Z64" s="28"/>
      <c r="AA64" s="28">
        <v>675</v>
      </c>
      <c r="AB64" s="28">
        <v>0</v>
      </c>
      <c r="AC64" s="28"/>
      <c r="AD64" s="28"/>
      <c r="AE64" s="28"/>
      <c r="AF64" s="28"/>
      <c r="AG64" s="28">
        <v>1275</v>
      </c>
      <c r="AH64" s="28">
        <v>0</v>
      </c>
      <c r="AI64" s="28"/>
      <c r="AJ64" s="28"/>
      <c r="AK64" s="28"/>
      <c r="AL64" s="27">
        <f t="shared" si="11"/>
        <v>61659.73</v>
      </c>
      <c r="AM64" s="27">
        <f t="shared" si="12"/>
        <v>15000</v>
      </c>
      <c r="AN64" s="28"/>
      <c r="AO64" s="20">
        <v>15000</v>
      </c>
    </row>
    <row r="65" spans="1:44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>
        <v>2578.86</v>
      </c>
      <c r="P65" s="28"/>
      <c r="Q65" s="28"/>
      <c r="R65" s="28">
        <v>720.33</v>
      </c>
      <c r="S65" s="28">
        <v>0</v>
      </c>
      <c r="T65" s="28"/>
      <c r="U65" s="28">
        <v>2587.48</v>
      </c>
      <c r="V65" s="28">
        <v>0</v>
      </c>
      <c r="W65" s="28"/>
      <c r="X65" s="28">
        <v>5604.23</v>
      </c>
      <c r="Y65" s="28">
        <v>0</v>
      </c>
      <c r="Z65" s="28"/>
      <c r="AA65" s="28">
        <v>25020.080000000002</v>
      </c>
      <c r="AB65" s="28">
        <v>0</v>
      </c>
      <c r="AC65" s="28"/>
      <c r="AD65" s="28">
        <v>2388.02</v>
      </c>
      <c r="AE65" s="28"/>
      <c r="AF65" s="28"/>
      <c r="AG65" s="28">
        <v>3038.6</v>
      </c>
      <c r="AH65" s="28">
        <v>0</v>
      </c>
      <c r="AI65" s="28"/>
      <c r="AJ65" s="28"/>
      <c r="AK65" s="28"/>
      <c r="AL65" s="27">
        <f t="shared" ref="AL65" si="13">+C65+F65+I65+L65+O65+R65+U65+X65+AA65+AD65+AG65+AJ65</f>
        <v>44663.399999999994</v>
      </c>
      <c r="AM65" s="27">
        <f t="shared" ref="AM65" si="14">+D65+G65+J65+M65+P65+S65+V65+Y65+AB65+AE65+AH65+AK65</f>
        <v>0</v>
      </c>
      <c r="AN65" s="28"/>
      <c r="AO65" s="20">
        <v>0</v>
      </c>
    </row>
    <row r="66" spans="1:44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>
        <v>0</v>
      </c>
      <c r="P66" s="28"/>
      <c r="Q66" s="28"/>
      <c r="R66" s="28">
        <v>0</v>
      </c>
      <c r="S66" s="28">
        <v>0</v>
      </c>
      <c r="T66" s="28"/>
      <c r="U66" s="28">
        <v>0</v>
      </c>
      <c r="V66" s="28">
        <v>0</v>
      </c>
      <c r="W66" s="28"/>
      <c r="X66" s="28">
        <v>0</v>
      </c>
      <c r="Y66" s="28">
        <v>0</v>
      </c>
      <c r="Z66" s="28"/>
      <c r="AA66" s="28">
        <v>46538.66</v>
      </c>
      <c r="AB66" s="28">
        <v>35000</v>
      </c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1"/>
        <v>93077.31</v>
      </c>
      <c r="AM66" s="27">
        <f t="shared" si="12"/>
        <v>70000</v>
      </c>
      <c r="AN66" s="28"/>
      <c r="AO66" s="20">
        <v>70000</v>
      </c>
    </row>
    <row r="67" spans="1:44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</row>
    <row r="68" spans="1:44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46613.65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6736.8600000000006</v>
      </c>
      <c r="P68" s="29">
        <f>SUM(P60:P67)</f>
        <v>83</v>
      </c>
      <c r="Q68" s="34"/>
      <c r="R68" s="29">
        <f>SUM(R60:R67)</f>
        <v>28345.33</v>
      </c>
      <c r="S68" s="29">
        <f>SUM(S60:S67)</f>
        <v>5083</v>
      </c>
      <c r="T68" s="34"/>
      <c r="U68" s="29">
        <f>SUM(U60:U67)</f>
        <v>5859.71</v>
      </c>
      <c r="V68" s="29">
        <f>SUM(V60:V67)</f>
        <v>84</v>
      </c>
      <c r="W68" s="34"/>
      <c r="X68" s="29">
        <f>SUM(X60:X67)</f>
        <v>14929.23</v>
      </c>
      <c r="Y68" s="29">
        <f>SUM(Y60:Y67)</f>
        <v>83</v>
      </c>
      <c r="Z68" s="34"/>
      <c r="AA68" s="29">
        <f>SUM(AA60:AA67)</f>
        <v>137333.74</v>
      </c>
      <c r="AB68" s="29">
        <f>SUM(AB60:AB67)</f>
        <v>35084</v>
      </c>
      <c r="AC68" s="34"/>
      <c r="AD68" s="29">
        <f>SUM(AD60:AD67)</f>
        <v>2428.02</v>
      </c>
      <c r="AE68" s="29">
        <f>SUM(AE60:AE67)</f>
        <v>83</v>
      </c>
      <c r="AF68" s="34"/>
      <c r="AG68" s="29">
        <f>SUM(AG60:AG67)</f>
        <v>4313.6000000000004</v>
      </c>
      <c r="AH68" s="29">
        <f>SUM(AH60:AH67)</f>
        <v>83</v>
      </c>
      <c r="AI68" s="34"/>
      <c r="AJ68" s="29">
        <f>SUM(AJ60:AJ67)</f>
        <v>0</v>
      </c>
      <c r="AK68" s="29">
        <f>SUM(AK60:AK67)</f>
        <v>0</v>
      </c>
      <c r="AL68" s="29">
        <f>SUM(AL60:AL67)</f>
        <v>203498.44</v>
      </c>
      <c r="AM68" s="29">
        <f>SUM(AM60:AM67)</f>
        <v>85917</v>
      </c>
      <c r="AN68" s="34"/>
      <c r="AO68" s="29">
        <f>SUM(AO60:AO67)</f>
        <v>86000</v>
      </c>
    </row>
    <row r="69" spans="1:44" x14ac:dyDescent="0.2">
      <c r="C69" s="35"/>
      <c r="D69" s="35"/>
      <c r="E69" s="35"/>
      <c r="F69" s="35"/>
      <c r="G69" s="35"/>
      <c r="H69" s="35"/>
      <c r="I69" s="35"/>
      <c r="J69" s="35"/>
      <c r="K69" s="35"/>
      <c r="L69" s="48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48"/>
      <c r="AH69" s="48"/>
      <c r="AI69" s="48"/>
      <c r="AJ69" s="48"/>
      <c r="AK69" s="48"/>
      <c r="AL69" s="48"/>
      <c r="AM69" s="48"/>
      <c r="AN69" s="48"/>
      <c r="AO69" s="48"/>
    </row>
    <row r="70" spans="1:44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49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49"/>
      <c r="AH70" s="49"/>
      <c r="AI70" s="49"/>
      <c r="AJ70" s="49"/>
      <c r="AK70" s="49"/>
      <c r="AL70" s="49"/>
      <c r="AM70" s="49"/>
      <c r="AN70" s="49"/>
      <c r="AO70" s="48"/>
    </row>
    <row r="71" spans="1:44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>
        <v>0</v>
      </c>
      <c r="P71" s="28"/>
      <c r="Q71" s="28"/>
      <c r="R71" s="28">
        <v>5250</v>
      </c>
      <c r="S71" s="28"/>
      <c r="T71" s="28"/>
      <c r="U71" s="28">
        <v>500</v>
      </c>
      <c r="V71" s="28">
        <v>0</v>
      </c>
      <c r="W71" s="28"/>
      <c r="X71" s="28">
        <v>1779.29</v>
      </c>
      <c r="Y71" s="28">
        <v>0</v>
      </c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121">
        <f t="shared" ref="AL71:AL73" si="15">+C71+F71+I71+L71+O71+R71+U71+X71+AA71+AD71+AG71+AJ71</f>
        <v>8529.2900000000009</v>
      </c>
      <c r="AM71" s="27">
        <f t="shared" ref="AM71:AM73" si="16">+D71+G71+J71+M71+P71+S71+V71+Y71+AB71+AE71+AH71+AK71</f>
        <v>0</v>
      </c>
      <c r="AN71" s="28"/>
      <c r="AO71" s="20">
        <v>0</v>
      </c>
    </row>
    <row r="72" spans="1:44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950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>
        <v>185</v>
      </c>
      <c r="P72" s="28"/>
      <c r="Q72" s="28"/>
      <c r="R72" s="28"/>
      <c r="S72" s="28"/>
      <c r="T72" s="28"/>
      <c r="U72" s="28">
        <v>0</v>
      </c>
      <c r="V72" s="28">
        <v>0</v>
      </c>
      <c r="W72" s="28"/>
      <c r="X72" s="28">
        <v>0</v>
      </c>
      <c r="Y72" s="28">
        <v>0</v>
      </c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121">
        <f t="shared" si="15"/>
        <v>4815</v>
      </c>
      <c r="AM72" s="27">
        <f t="shared" si="16"/>
        <v>0</v>
      </c>
      <c r="AN72" s="28"/>
      <c r="AO72" s="20">
        <v>0</v>
      </c>
    </row>
    <row r="73" spans="1:44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>
        <v>0</v>
      </c>
      <c r="P73" s="28"/>
      <c r="Q73" s="28"/>
      <c r="R73" s="28"/>
      <c r="S73" s="28"/>
      <c r="T73" s="28"/>
      <c r="U73" s="28">
        <v>0</v>
      </c>
      <c r="V73" s="28">
        <v>0</v>
      </c>
      <c r="W73" s="28"/>
      <c r="X73" s="28">
        <v>0</v>
      </c>
      <c r="Y73" s="28">
        <v>0</v>
      </c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121">
        <f t="shared" si="15"/>
        <v>2305</v>
      </c>
      <c r="AM73" s="27">
        <f t="shared" si="16"/>
        <v>0</v>
      </c>
      <c r="AN73" s="28"/>
      <c r="AO73" s="20">
        <v>0</v>
      </c>
    </row>
    <row r="74" spans="1:44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44"/>
      <c r="AM74" s="28"/>
      <c r="AN74" s="28"/>
      <c r="AO74" s="20"/>
    </row>
    <row r="75" spans="1:44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1950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185</v>
      </c>
      <c r="P75" s="29">
        <f>SUM(P71:P74)</f>
        <v>0</v>
      </c>
      <c r="Q75" s="34"/>
      <c r="R75" s="29">
        <f>SUM(R71:R74)</f>
        <v>5250</v>
      </c>
      <c r="S75" s="29">
        <f>SUM(S71:S74)</f>
        <v>0</v>
      </c>
      <c r="T75" s="34"/>
      <c r="U75" s="29">
        <f>SUM(U71:U74)</f>
        <v>500</v>
      </c>
      <c r="V75" s="29">
        <f>SUM(V71:V74)</f>
        <v>0</v>
      </c>
      <c r="W75" s="34"/>
      <c r="X75" s="29">
        <f>SUM(X71:X74)</f>
        <v>1779.29</v>
      </c>
      <c r="Y75" s="29">
        <f>SUM(Y71:Y74)</f>
        <v>0</v>
      </c>
      <c r="Z75" s="34"/>
      <c r="AA75" s="41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15649.29</v>
      </c>
      <c r="AM75" s="29">
        <f>SUM(AM71:AM74)</f>
        <v>0</v>
      </c>
      <c r="AN75" s="34"/>
      <c r="AO75" s="29">
        <f>SUM(AO71:AO74)</f>
        <v>0</v>
      </c>
    </row>
    <row r="76" spans="1:44" x14ac:dyDescent="0.2">
      <c r="C76" s="35"/>
      <c r="D76" s="35"/>
      <c r="E76" s="35"/>
      <c r="F76" s="35"/>
      <c r="G76" s="35"/>
      <c r="H76" s="35"/>
      <c r="I76" s="35"/>
      <c r="J76" s="35"/>
      <c r="K76" s="35"/>
      <c r="L76" s="48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48"/>
      <c r="AH76" s="48"/>
      <c r="AI76" s="48"/>
      <c r="AJ76" s="48"/>
      <c r="AK76" s="48"/>
      <c r="AL76" s="48"/>
      <c r="AM76" s="48"/>
      <c r="AN76" s="48"/>
      <c r="AO76" s="48"/>
    </row>
    <row r="77" spans="1:44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49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49"/>
      <c r="AH77" s="49"/>
      <c r="AI77" s="49"/>
      <c r="AJ77" s="49"/>
      <c r="AK77" s="49"/>
      <c r="AL77" s="49"/>
      <c r="AM77" s="49"/>
      <c r="AN77" s="49"/>
      <c r="AO77" s="48"/>
    </row>
    <row r="78" spans="1:44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40817.78</v>
      </c>
      <c r="M78" s="28">
        <v>20833</v>
      </c>
      <c r="N78" s="28"/>
      <c r="O78" s="28">
        <v>41267.660000000003</v>
      </c>
      <c r="P78" s="28">
        <v>20834</v>
      </c>
      <c r="Q78" s="28"/>
      <c r="R78" s="28">
        <v>38394.089999999997</v>
      </c>
      <c r="S78" s="28">
        <v>20833</v>
      </c>
      <c r="T78" s="28"/>
      <c r="U78" s="28">
        <v>38112.9</v>
      </c>
      <c r="V78" s="28">
        <v>20833</v>
      </c>
      <c r="W78" s="28"/>
      <c r="X78" s="28">
        <v>35285.440000000002</v>
      </c>
      <c r="Y78" s="28">
        <v>20834</v>
      </c>
      <c r="Z78" s="28"/>
      <c r="AA78" s="150">
        <v>31919.200000000001</v>
      </c>
      <c r="AB78" s="28">
        <v>20833</v>
      </c>
      <c r="AC78" s="28"/>
      <c r="AD78" s="28">
        <v>31778.42</v>
      </c>
      <c r="AE78" s="28">
        <v>20833</v>
      </c>
      <c r="AF78" s="28"/>
      <c r="AG78" s="28">
        <v>24585.59</v>
      </c>
      <c r="AH78" s="28">
        <v>20834</v>
      </c>
      <c r="AI78" s="28"/>
      <c r="AJ78" s="28"/>
      <c r="AK78" s="28"/>
      <c r="AL78" s="27">
        <f>+C78+F78+I78+L78+O78+R78+U78+X78+AA78+AD78+AG78+AJ78+1129.99</f>
        <v>393962.02</v>
      </c>
      <c r="AM78" s="27">
        <f t="shared" ref="AM78:AM79" si="17">+D78+G78+J78+M78+P78+S78+V78+Y78+AB78+AE78+AH78+AK78</f>
        <v>229167</v>
      </c>
      <c r="AN78" s="28"/>
      <c r="AO78" s="20">
        <v>250000</v>
      </c>
      <c r="AR78" s="154"/>
    </row>
    <row r="79" spans="1:44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>
        <v>0</v>
      </c>
      <c r="S79" s="28">
        <v>0</v>
      </c>
      <c r="T79" s="28"/>
      <c r="U79" s="28"/>
      <c r="V79" s="28"/>
      <c r="W79" s="28"/>
      <c r="X79" s="28">
        <v>0</v>
      </c>
      <c r="Y79" s="28">
        <v>0</v>
      </c>
      <c r="Z79" s="28"/>
      <c r="AA79" s="44">
        <v>0</v>
      </c>
      <c r="AB79" s="28">
        <v>0</v>
      </c>
      <c r="AC79" s="28"/>
      <c r="AD79" s="44"/>
      <c r="AE79" s="28"/>
      <c r="AF79" s="28"/>
      <c r="AG79" s="44"/>
      <c r="AH79" s="28"/>
      <c r="AI79" s="28"/>
      <c r="AJ79" s="44"/>
      <c r="AK79" s="28"/>
      <c r="AL79" s="27">
        <f t="shared" ref="AL79" si="18">+C79+F79+I79+L79+O79+R79+U79+X79+AA79+AD79+AG79+AJ79</f>
        <v>17701.72</v>
      </c>
      <c r="AM79" s="27">
        <f t="shared" si="17"/>
        <v>0</v>
      </c>
      <c r="AN79" s="28"/>
      <c r="AO79" s="20">
        <v>0</v>
      </c>
    </row>
    <row r="80" spans="1:44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</row>
    <row r="81" spans="1:41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42868.69</v>
      </c>
      <c r="M81" s="29">
        <f>SUM(M78:M80)</f>
        <v>20833</v>
      </c>
      <c r="N81" s="34"/>
      <c r="O81" s="29">
        <f>SUM(O78:O80)</f>
        <v>41267.660000000003</v>
      </c>
      <c r="P81" s="29">
        <f>SUM(P78:P80)</f>
        <v>20834</v>
      </c>
      <c r="Q81" s="34"/>
      <c r="R81" s="29">
        <f>SUM(R78:R80)</f>
        <v>38394.089999999997</v>
      </c>
      <c r="S81" s="29">
        <f>SUM(S78:S80)</f>
        <v>20833</v>
      </c>
      <c r="T81" s="34"/>
      <c r="U81" s="29">
        <f>SUM(U78:U80)</f>
        <v>38112.9</v>
      </c>
      <c r="V81" s="29">
        <f>SUM(V78:V80)</f>
        <v>20833</v>
      </c>
      <c r="W81" s="34"/>
      <c r="X81" s="29">
        <f>SUM(X78:X80)</f>
        <v>35285.440000000002</v>
      </c>
      <c r="Y81" s="29">
        <f>SUM(Y78:Y80)</f>
        <v>20834</v>
      </c>
      <c r="Z81" s="34"/>
      <c r="AA81" s="29">
        <f>SUM(AA78:AA80)</f>
        <v>31919.200000000001</v>
      </c>
      <c r="AB81" s="29">
        <f>SUM(AB78:AB80)</f>
        <v>20833</v>
      </c>
      <c r="AC81" s="34"/>
      <c r="AD81" s="29">
        <f>SUM(AD78:AD80)</f>
        <v>31778.42</v>
      </c>
      <c r="AE81" s="29">
        <f>SUM(AE78:AE80)</f>
        <v>20833</v>
      </c>
      <c r="AF81" s="34"/>
      <c r="AG81" s="29">
        <f>SUM(AG78:AG80)</f>
        <v>24585.59</v>
      </c>
      <c r="AH81" s="29">
        <f>SUM(AH78:AH80)</f>
        <v>20834</v>
      </c>
      <c r="AI81" s="34"/>
      <c r="AJ81" s="29">
        <f>SUM(AJ78:AJ80)</f>
        <v>0</v>
      </c>
      <c r="AK81" s="29">
        <f>SUM(AK78:AK80)</f>
        <v>0</v>
      </c>
      <c r="AL81" s="29">
        <f>SUM(AL78:AL80)</f>
        <v>411663.74</v>
      </c>
      <c r="AM81" s="29">
        <f>SUM(AM78:AM80)</f>
        <v>229167</v>
      </c>
      <c r="AN81" s="34"/>
      <c r="AO81" s="29">
        <f>SUM(AO78:AO80)</f>
        <v>250000</v>
      </c>
    </row>
    <row r="82" spans="1:41" x14ac:dyDescent="0.2">
      <c r="C82" s="35"/>
      <c r="D82" s="35"/>
      <c r="E82" s="35"/>
      <c r="F82" s="35"/>
      <c r="G82" s="35"/>
      <c r="H82" s="35"/>
      <c r="I82" s="35"/>
      <c r="J82" s="35"/>
      <c r="K82" s="35"/>
      <c r="L82" s="48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48"/>
      <c r="AH82" s="48"/>
      <c r="AI82" s="48"/>
      <c r="AJ82" s="48"/>
      <c r="AK82" s="48"/>
      <c r="AL82" s="48"/>
      <c r="AM82" s="48"/>
      <c r="AN82" s="48"/>
      <c r="AO82" s="48"/>
    </row>
    <row r="83" spans="1:41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49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49"/>
      <c r="AH83" s="49"/>
      <c r="AI83" s="49"/>
      <c r="AJ83" s="49"/>
      <c r="AK83" s="49"/>
      <c r="AL83" s="49"/>
      <c r="AM83" s="49"/>
      <c r="AN83" s="49"/>
      <c r="AO83" s="48"/>
    </row>
    <row r="84" spans="1:41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>
        <v>0</v>
      </c>
      <c r="AB84" s="28">
        <v>0</v>
      </c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19">+C84+F84+I84+L84+O84+R84+U84+X84+AA84+AD84+AG84+AJ84</f>
        <v>19563.82</v>
      </c>
      <c r="AM84" s="27">
        <f t="shared" ref="AM84:AM85" si="20">+D84+G84+J84+M84+P84+S84+V84+Y84+AB84+AE84+AH84+AK84</f>
        <v>0</v>
      </c>
      <c r="AN84" s="28"/>
      <c r="AO84" s="20">
        <v>0</v>
      </c>
    </row>
    <row r="85" spans="1:41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>
        <v>0</v>
      </c>
      <c r="AB85" s="28">
        <v>0</v>
      </c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19"/>
        <v>-27539.119999999999</v>
      </c>
      <c r="AM85" s="27">
        <f t="shared" si="20"/>
        <v>0</v>
      </c>
      <c r="AN85" s="28"/>
      <c r="AO85" s="20">
        <v>0</v>
      </c>
    </row>
    <row r="86" spans="1:41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</row>
    <row r="87" spans="1:41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1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</row>
    <row r="88" spans="1:41" x14ac:dyDescent="0.2">
      <c r="C88" s="35"/>
      <c r="D88" s="35"/>
      <c r="E88" s="35"/>
      <c r="F88" s="35"/>
      <c r="G88" s="35"/>
      <c r="H88" s="35"/>
      <c r="I88" s="35"/>
      <c r="J88" s="35"/>
      <c r="K88" s="35"/>
      <c r="L88" s="48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48"/>
      <c r="AH88" s="48"/>
      <c r="AI88" s="48"/>
      <c r="AJ88" s="48"/>
      <c r="AK88" s="48"/>
      <c r="AL88" s="48"/>
      <c r="AM88" s="48"/>
      <c r="AN88" s="48"/>
      <c r="AO88" s="48"/>
    </row>
    <row r="89" spans="1:41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49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49"/>
      <c r="AH89" s="49"/>
      <c r="AI89" s="49"/>
      <c r="AJ89" s="49"/>
      <c r="AK89" s="49"/>
      <c r="AL89" s="49"/>
      <c r="AM89" s="49"/>
      <c r="AN89" s="49"/>
      <c r="AO89" s="48"/>
    </row>
    <row r="90" spans="1:41" x14ac:dyDescent="0.2">
      <c r="A90" s="14" t="s">
        <v>250</v>
      </c>
      <c r="B90" s="13" t="s">
        <v>249</v>
      </c>
      <c r="C90" s="44">
        <v>2250</v>
      </c>
      <c r="D90" s="44">
        <v>125</v>
      </c>
      <c r="E90" s="44"/>
      <c r="F90" s="44"/>
      <c r="G90" s="44">
        <v>125</v>
      </c>
      <c r="H90" s="44"/>
      <c r="I90" s="44"/>
      <c r="J90" s="44">
        <v>125</v>
      </c>
      <c r="K90" s="44"/>
      <c r="L90" s="44">
        <v>500</v>
      </c>
      <c r="M90" s="44">
        <v>125</v>
      </c>
      <c r="N90" s="44"/>
      <c r="O90" s="44">
        <v>1000</v>
      </c>
      <c r="P90" s="44">
        <v>125</v>
      </c>
      <c r="Q90" s="44"/>
      <c r="R90" s="44">
        <v>1000</v>
      </c>
      <c r="S90" s="44">
        <v>125</v>
      </c>
      <c r="T90" s="44"/>
      <c r="U90" s="44">
        <v>1000</v>
      </c>
      <c r="V90" s="44">
        <v>125</v>
      </c>
      <c r="W90" s="44"/>
      <c r="X90" s="44">
        <v>2000</v>
      </c>
      <c r="Y90" s="44">
        <v>125</v>
      </c>
      <c r="Z90" s="44"/>
      <c r="AA90" s="44">
        <v>0</v>
      </c>
      <c r="AB90" s="44">
        <v>125</v>
      </c>
      <c r="AC90" s="44"/>
      <c r="AD90" s="44">
        <v>2000</v>
      </c>
      <c r="AE90" s="44">
        <v>125</v>
      </c>
      <c r="AF90" s="44"/>
      <c r="AG90" s="44">
        <v>1000</v>
      </c>
      <c r="AH90" s="44">
        <v>125</v>
      </c>
      <c r="AI90" s="44"/>
      <c r="AJ90" s="44"/>
      <c r="AK90" s="44"/>
      <c r="AL90" s="27">
        <f t="shared" ref="AL90:AL93" si="21">+C90+F90+I90+L90+O90+R90+U90+X90+AA90+AD90+AG90+AJ90</f>
        <v>10750</v>
      </c>
      <c r="AM90" s="27">
        <f t="shared" ref="AM90:AM93" si="22">+D90+G90+J90+M90+P90+S90+V90+Y90+AB90+AE90+AH90+AK90</f>
        <v>1375</v>
      </c>
      <c r="AN90" s="28"/>
      <c r="AO90" s="20">
        <v>1500</v>
      </c>
    </row>
    <row r="91" spans="1:41" x14ac:dyDescent="0.2">
      <c r="A91" s="14" t="s">
        <v>248</v>
      </c>
      <c r="B91" s="13" t="s">
        <v>9</v>
      </c>
      <c r="C91" s="44">
        <v>1324.01</v>
      </c>
      <c r="D91" s="44">
        <v>1042</v>
      </c>
      <c r="E91" s="44"/>
      <c r="F91" s="44">
        <v>3731.39</v>
      </c>
      <c r="G91" s="44">
        <v>1041</v>
      </c>
      <c r="H91" s="44"/>
      <c r="I91" s="44">
        <v>6140.68</v>
      </c>
      <c r="J91" s="44">
        <v>1042</v>
      </c>
      <c r="K91" s="44"/>
      <c r="L91" s="44">
        <v>3654.51</v>
      </c>
      <c r="M91" s="44">
        <v>1042</v>
      </c>
      <c r="N91" s="44"/>
      <c r="O91" s="44">
        <v>787</v>
      </c>
      <c r="P91" s="44">
        <v>1041</v>
      </c>
      <c r="Q91" s="44"/>
      <c r="R91" s="44">
        <v>7650.68</v>
      </c>
      <c r="S91" s="44">
        <v>1042</v>
      </c>
      <c r="T91" s="44"/>
      <c r="U91" s="44">
        <v>4693.58</v>
      </c>
      <c r="V91" s="44">
        <v>1042</v>
      </c>
      <c r="W91" s="44"/>
      <c r="X91" s="44">
        <v>3832.89</v>
      </c>
      <c r="Y91" s="44">
        <v>1041</v>
      </c>
      <c r="Z91" s="44"/>
      <c r="AA91" s="44">
        <v>1641.92</v>
      </c>
      <c r="AB91" s="44">
        <v>1042</v>
      </c>
      <c r="AC91" s="44"/>
      <c r="AD91" s="44">
        <v>2119.5</v>
      </c>
      <c r="AE91" s="44">
        <v>1042</v>
      </c>
      <c r="AF91" s="44"/>
      <c r="AG91" s="44">
        <v>1415.8</v>
      </c>
      <c r="AH91" s="44">
        <v>1041</v>
      </c>
      <c r="AI91" s="44"/>
      <c r="AJ91" s="44"/>
      <c r="AK91" s="44"/>
      <c r="AL91" s="27">
        <f t="shared" si="21"/>
        <v>36991.96</v>
      </c>
      <c r="AM91" s="27">
        <f t="shared" si="22"/>
        <v>11458</v>
      </c>
      <c r="AN91" s="28"/>
      <c r="AO91" s="20">
        <v>12500</v>
      </c>
    </row>
    <row r="92" spans="1:41" x14ac:dyDescent="0.2">
      <c r="A92" s="14" t="s">
        <v>247</v>
      </c>
      <c r="B92" s="13" t="s">
        <v>246</v>
      </c>
      <c r="C92" s="44">
        <v>0</v>
      </c>
      <c r="D92" s="44">
        <v>0</v>
      </c>
      <c r="E92" s="44"/>
      <c r="F92" s="44"/>
      <c r="G92" s="44">
        <v>0</v>
      </c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  <c r="T92" s="44"/>
      <c r="U92" s="44"/>
      <c r="V92" s="44"/>
      <c r="W92" s="44"/>
      <c r="X92" s="44"/>
      <c r="Y92" s="44"/>
      <c r="Z92" s="44"/>
      <c r="AA92" s="44">
        <v>2861444.45</v>
      </c>
      <c r="AB92" s="44"/>
      <c r="AC92" s="44"/>
      <c r="AD92" s="44"/>
      <c r="AE92" s="44"/>
      <c r="AF92" s="44"/>
      <c r="AG92" s="44"/>
      <c r="AH92" s="44"/>
      <c r="AI92" s="44"/>
      <c r="AJ92" s="44"/>
      <c r="AK92" s="44"/>
      <c r="AL92" s="121">
        <f t="shared" si="21"/>
        <v>2861444.45</v>
      </c>
      <c r="AM92" s="27">
        <f t="shared" si="22"/>
        <v>0</v>
      </c>
      <c r="AN92" s="28"/>
      <c r="AO92" s="20">
        <v>0</v>
      </c>
    </row>
    <row r="93" spans="1:41" x14ac:dyDescent="0.2">
      <c r="A93" s="14" t="s">
        <v>245</v>
      </c>
      <c r="B93" s="13" t="s">
        <v>244</v>
      </c>
      <c r="C93" s="44">
        <v>0</v>
      </c>
      <c r="D93" s="44">
        <v>0</v>
      </c>
      <c r="E93" s="44"/>
      <c r="F93" s="44"/>
      <c r="G93" s="44">
        <v>0</v>
      </c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  <c r="T93" s="44"/>
      <c r="U93" s="44"/>
      <c r="V93" s="44"/>
      <c r="W93" s="44"/>
      <c r="X93" s="44"/>
      <c r="Y93" s="44"/>
      <c r="Z93" s="44"/>
      <c r="AA93" s="44">
        <v>50000</v>
      </c>
      <c r="AB93" s="44">
        <v>0</v>
      </c>
      <c r="AC93" s="44"/>
      <c r="AD93" s="44"/>
      <c r="AE93" s="44">
        <v>50000</v>
      </c>
      <c r="AF93" s="44"/>
      <c r="AG93" s="44"/>
      <c r="AH93" s="44"/>
      <c r="AI93" s="44"/>
      <c r="AJ93" s="44"/>
      <c r="AK93" s="44"/>
      <c r="AL93" s="27">
        <f t="shared" si="21"/>
        <v>50000</v>
      </c>
      <c r="AM93" s="27">
        <f t="shared" si="22"/>
        <v>50000</v>
      </c>
      <c r="AN93" s="28"/>
      <c r="AO93" s="20">
        <v>50000</v>
      </c>
    </row>
    <row r="94" spans="1:41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</row>
    <row r="95" spans="1:41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1787</v>
      </c>
      <c r="P95" s="29">
        <f>SUM(P90:P94)</f>
        <v>1166</v>
      </c>
      <c r="Q95" s="34"/>
      <c r="R95" s="29">
        <f>SUM(R90:R94)</f>
        <v>8650.68</v>
      </c>
      <c r="S95" s="29">
        <f>SUM(S90:S94)</f>
        <v>1167</v>
      </c>
      <c r="T95" s="34"/>
      <c r="U95" s="29">
        <f>SUM(U90:U94)</f>
        <v>5693.58</v>
      </c>
      <c r="V95" s="29">
        <f>SUM(V90:V94)</f>
        <v>1167</v>
      </c>
      <c r="W95" s="34"/>
      <c r="X95" s="29">
        <f>SUM(X90:X94)</f>
        <v>5832.8899999999994</v>
      </c>
      <c r="Y95" s="29">
        <f>SUM(Y90:Y94)</f>
        <v>1166</v>
      </c>
      <c r="Z95" s="34"/>
      <c r="AA95" s="29">
        <f>SUM(AA90:AA94)</f>
        <v>2913086.37</v>
      </c>
      <c r="AB95" s="29">
        <f>SUM(AB90:AB94)</f>
        <v>1167</v>
      </c>
      <c r="AC95" s="34"/>
      <c r="AD95" s="29">
        <f>SUM(AD90:AD94)</f>
        <v>4119.5</v>
      </c>
      <c r="AE95" s="29">
        <f>SUM(AE90:AE94)</f>
        <v>51167</v>
      </c>
      <c r="AF95" s="34"/>
      <c r="AG95" s="29">
        <f>SUM(AG90:AG94)</f>
        <v>2415.8000000000002</v>
      </c>
      <c r="AH95" s="29">
        <f>SUM(AH90:AH94)</f>
        <v>1166</v>
      </c>
      <c r="AI95" s="34"/>
      <c r="AJ95" s="29">
        <f>SUM(AJ90:AJ94)</f>
        <v>0</v>
      </c>
      <c r="AK95" s="29">
        <f>SUM(AK90:AK94)</f>
        <v>0</v>
      </c>
      <c r="AL95" s="41">
        <f>SUM(AL90:AL94)</f>
        <v>2959186.41</v>
      </c>
      <c r="AM95" s="29">
        <f>SUM(AM90:AM94)</f>
        <v>62833</v>
      </c>
      <c r="AN95" s="34"/>
      <c r="AO95" s="29">
        <f>SUM(AO90:AO94)</f>
        <v>64000</v>
      </c>
    </row>
    <row r="96" spans="1:41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48"/>
      <c r="AH96" s="48"/>
      <c r="AI96" s="48"/>
      <c r="AJ96" s="48"/>
      <c r="AK96" s="48"/>
      <c r="AL96" s="48"/>
      <c r="AM96" s="48"/>
      <c r="AN96" s="48"/>
      <c r="AO96" s="48"/>
    </row>
    <row r="97" spans="1:44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1090960.3099999998</v>
      </c>
      <c r="J97" s="30">
        <f>+J95+J87+J81+J75+J68+J57+J44+J34+J19</f>
        <v>737966</v>
      </c>
      <c r="K97" s="34"/>
      <c r="L97" s="30">
        <f>+L95+L87+L81+L75+L68+L57+L44+L34+L19</f>
        <v>1137630.1000000001</v>
      </c>
      <c r="M97" s="30">
        <f>+M95+M87+M81+M75+M68+M57+M44+M34+M19</f>
        <v>714904</v>
      </c>
      <c r="N97" s="34"/>
      <c r="O97" s="30">
        <f>+O95+O87+O81+O75+O68+O57+O44+O34+O19</f>
        <v>954295.35000000009</v>
      </c>
      <c r="P97" s="30">
        <f>+P95+P87+P81+P75+P68+P57+P44+P34+P19</f>
        <v>795561</v>
      </c>
      <c r="Q97" s="34"/>
      <c r="R97" s="30">
        <f>+R95+R87+R81+R75+R68+R57+R44+R34+R19</f>
        <v>645340.15999999992</v>
      </c>
      <c r="S97" s="30">
        <f>+S95+S87+S81+S75+S68+S57+S44+S34+S19</f>
        <v>622363</v>
      </c>
      <c r="T97" s="34"/>
      <c r="U97" s="30">
        <f>+U95+U87+U81+U75+U68+U57+U44+U34+U19</f>
        <v>952711.59</v>
      </c>
      <c r="V97" s="30">
        <f>+V95+V87+V81+V75+V68+V57+V44+V34+V19</f>
        <v>983005</v>
      </c>
      <c r="W97" s="34"/>
      <c r="X97" s="30">
        <f>+X95+X87+X81+X75+X68+X57+X44+X34+X19</f>
        <v>303619.37</v>
      </c>
      <c r="Y97" s="30">
        <f>+Y95+Y87+Y81+Y75+Y68+Y57+Y44+Y34+Y19</f>
        <v>303418</v>
      </c>
      <c r="Z97" s="34"/>
      <c r="AA97" s="30">
        <f>+AA95+AA87+AA81+AA75+AA68+AA57+AA44+AA34+AA19</f>
        <v>3360214.5500000007</v>
      </c>
      <c r="AB97" s="30">
        <f>+AB95+AB87+AB81+AB75+AB68+AB57+AB44+AB34+AB19</f>
        <v>286377</v>
      </c>
      <c r="AC97" s="34"/>
      <c r="AD97" s="30">
        <f>+AD95+AD87+AD81+AD75+AD68+AD57+AD44+AD34+AD19</f>
        <v>265343.39</v>
      </c>
      <c r="AE97" s="30">
        <f>+AE95+AE87+AE81+AE75+AE68+AE57+AE44+AE34+AE19</f>
        <v>243238</v>
      </c>
      <c r="AF97" s="34"/>
      <c r="AG97" s="30">
        <f>+AG95+AG87+AG81+AG75+AG68+AG57+AG44+AG34+AG19</f>
        <v>282998.58</v>
      </c>
      <c r="AH97" s="30">
        <f>+AH95+AH87+AH81+AH75+AH68+AH57+AH44+AH34+AH19</f>
        <v>189601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10238920.68</v>
      </c>
      <c r="AM97" s="30">
        <f>+AM95+AM87+AM81+AM75+AM68+AM57+AM44+AM34+AM19</f>
        <v>5994862</v>
      </c>
      <c r="AN97" s="34"/>
      <c r="AO97" s="30">
        <f>+AO95+AO87+AO81+AO75+AO68+AO57+AO44+AO34+AO19</f>
        <v>6192000</v>
      </c>
      <c r="AQ97" s="152"/>
      <c r="AR97" s="152"/>
    </row>
    <row r="98" spans="1:44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48"/>
      <c r="AH98" s="48"/>
      <c r="AI98" s="48"/>
      <c r="AJ98" s="48"/>
      <c r="AK98" s="48"/>
      <c r="AL98" s="48">
        <f>+AL92+AL73+AL72+AL71+AL61+AL55+AL53+AL52+AL51</f>
        <v>3159788.4600000004</v>
      </c>
      <c r="AM98" s="48">
        <f>+AL98-AL97</f>
        <v>-7079132.2199999988</v>
      </c>
      <c r="AN98" s="48"/>
      <c r="AO98" s="48">
        <f>+AM98+6534587</f>
        <v>-544545.21999999881</v>
      </c>
    </row>
    <row r="99" spans="1:44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0"/>
      <c r="AH99" s="50"/>
      <c r="AI99" s="50"/>
      <c r="AJ99" s="50"/>
      <c r="AK99" s="50"/>
      <c r="AL99" s="50"/>
      <c r="AM99" s="50"/>
      <c r="AN99" s="50"/>
      <c r="AO99" s="48"/>
    </row>
    <row r="100" spans="1:44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49"/>
      <c r="AH100" s="49"/>
      <c r="AI100" s="49"/>
      <c r="AJ100" s="49"/>
      <c r="AK100" s="49"/>
      <c r="AL100" s="49"/>
      <c r="AM100" s="49"/>
      <c r="AN100" s="49"/>
      <c r="AO100" s="48"/>
    </row>
    <row r="101" spans="1:44" x14ac:dyDescent="0.2">
      <c r="A101" s="14" t="s">
        <v>237</v>
      </c>
      <c r="B101" s="13" t="s">
        <v>236</v>
      </c>
      <c r="C101" s="44">
        <v>1370.38</v>
      </c>
      <c r="D101" s="44">
        <v>1250</v>
      </c>
      <c r="E101" s="44"/>
      <c r="F101" s="44">
        <v>3162.4</v>
      </c>
      <c r="G101" s="44">
        <v>1250</v>
      </c>
      <c r="H101" s="44"/>
      <c r="I101" s="44">
        <v>3698.49</v>
      </c>
      <c r="J101" s="44">
        <v>1250</v>
      </c>
      <c r="K101" s="44"/>
      <c r="L101" s="44">
        <f>3978.13</f>
        <v>3978.13</v>
      </c>
      <c r="M101" s="44">
        <v>1250</v>
      </c>
      <c r="N101" s="44"/>
      <c r="O101" s="44">
        <v>4034.99</v>
      </c>
      <c r="P101" s="44">
        <v>1250</v>
      </c>
      <c r="Q101" s="44"/>
      <c r="R101" s="44">
        <v>3506.57</v>
      </c>
      <c r="S101" s="44">
        <v>1250</v>
      </c>
      <c r="T101" s="44"/>
      <c r="U101" s="44">
        <v>62242.27</v>
      </c>
      <c r="V101" s="44">
        <v>1250</v>
      </c>
      <c r="W101" s="44"/>
      <c r="X101" s="44">
        <v>2548.1999999999998</v>
      </c>
      <c r="Y101" s="44">
        <v>1250</v>
      </c>
      <c r="Z101" s="44"/>
      <c r="AA101" s="44">
        <v>737.25</v>
      </c>
      <c r="AB101" s="44">
        <v>1250</v>
      </c>
      <c r="AC101" s="44"/>
      <c r="AD101" s="44">
        <v>1146.26</v>
      </c>
      <c r="AE101" s="44">
        <v>1250</v>
      </c>
      <c r="AF101" s="44"/>
      <c r="AG101" s="44">
        <v>949.42</v>
      </c>
      <c r="AH101" s="44">
        <v>1250</v>
      </c>
      <c r="AI101" s="44"/>
      <c r="AJ101" s="44"/>
      <c r="AK101" s="44"/>
      <c r="AL101" s="27">
        <f>+C101+F101+I101+L101+O101+R101+U101+X101+AA101+AD101+AG101+AJ101+0.1+489.56</f>
        <v>87864.01999999999</v>
      </c>
      <c r="AM101" s="27">
        <f t="shared" ref="AM101:AM121" si="23">+D101+G101+J101+M101+P101+S101+V101+Y101+AB101+AE101+AH101+AK101</f>
        <v>13750</v>
      </c>
      <c r="AN101" s="28"/>
      <c r="AO101" s="20">
        <v>15000</v>
      </c>
      <c r="AP101" s="1">
        <v>86914.6</v>
      </c>
      <c r="AQ101" s="154"/>
    </row>
    <row r="102" spans="1:44" x14ac:dyDescent="0.2">
      <c r="A102" s="14" t="s">
        <v>235</v>
      </c>
      <c r="B102" s="13" t="s">
        <v>234</v>
      </c>
      <c r="C102" s="44">
        <v>0</v>
      </c>
      <c r="D102" s="44">
        <v>0</v>
      </c>
      <c r="E102" s="44"/>
      <c r="F102" s="44">
        <v>917.25</v>
      </c>
      <c r="G102" s="44">
        <v>700</v>
      </c>
      <c r="H102" s="44"/>
      <c r="I102" s="44">
        <v>2034.68</v>
      </c>
      <c r="J102" s="44">
        <v>840</v>
      </c>
      <c r="K102" s="44"/>
      <c r="L102" s="44">
        <v>627.77</v>
      </c>
      <c r="M102" s="44">
        <v>630</v>
      </c>
      <c r="N102" s="44"/>
      <c r="O102" s="44">
        <v>845.7</v>
      </c>
      <c r="P102" s="44">
        <v>630</v>
      </c>
      <c r="Q102" s="44"/>
      <c r="R102" s="44">
        <v>0</v>
      </c>
      <c r="S102" s="44">
        <v>280</v>
      </c>
      <c r="T102" s="44"/>
      <c r="U102" s="44">
        <v>792.45</v>
      </c>
      <c r="V102" s="44">
        <v>700</v>
      </c>
      <c r="W102" s="44"/>
      <c r="X102" s="44">
        <v>89.07</v>
      </c>
      <c r="Y102" s="44">
        <v>630</v>
      </c>
      <c r="Z102" s="44"/>
      <c r="AA102" s="44">
        <v>1571.99</v>
      </c>
      <c r="AB102" s="44">
        <v>560</v>
      </c>
      <c r="AC102" s="44"/>
      <c r="AD102" s="44">
        <v>1000.6</v>
      </c>
      <c r="AE102" s="44">
        <v>770</v>
      </c>
      <c r="AF102" s="44"/>
      <c r="AG102" s="44">
        <v>1507.5</v>
      </c>
      <c r="AH102" s="44">
        <v>630</v>
      </c>
      <c r="AI102" s="44"/>
      <c r="AJ102" s="44"/>
      <c r="AK102" s="44"/>
      <c r="AL102" s="27">
        <f t="shared" ref="AL102:AL121" si="24">+C102+F102+I102+L102+O102+R102+U102+X102+AA102+AD102+AG102+AJ102</f>
        <v>9387.01</v>
      </c>
      <c r="AM102" s="27">
        <f t="shared" si="23"/>
        <v>6370</v>
      </c>
      <c r="AN102" s="28"/>
      <c r="AO102" s="20">
        <f>+AO13*0.01</f>
        <v>7000</v>
      </c>
    </row>
    <row r="103" spans="1:44" x14ac:dyDescent="0.2">
      <c r="A103" s="14" t="s">
        <v>233</v>
      </c>
      <c r="B103" s="13" t="s">
        <v>232</v>
      </c>
      <c r="C103" s="44">
        <v>1031.73</v>
      </c>
      <c r="D103" s="44">
        <v>0</v>
      </c>
      <c r="E103" s="44"/>
      <c r="F103" s="44"/>
      <c r="G103" s="44">
        <v>0</v>
      </c>
      <c r="H103" s="44"/>
      <c r="I103" s="44">
        <v>764.31</v>
      </c>
      <c r="J103" s="44">
        <v>0</v>
      </c>
      <c r="K103" s="44"/>
      <c r="L103" s="44"/>
      <c r="M103" s="44"/>
      <c r="N103" s="44"/>
      <c r="O103" s="44">
        <v>0</v>
      </c>
      <c r="P103" s="44">
        <v>0</v>
      </c>
      <c r="Q103" s="44"/>
      <c r="R103" s="44">
        <v>0</v>
      </c>
      <c r="S103" s="44">
        <v>0</v>
      </c>
      <c r="T103" s="44"/>
      <c r="U103" s="44">
        <v>0</v>
      </c>
      <c r="V103" s="44">
        <v>0</v>
      </c>
      <c r="W103" s="44"/>
      <c r="X103" s="44">
        <v>0</v>
      </c>
      <c r="Y103" s="44">
        <v>0</v>
      </c>
      <c r="Z103" s="44"/>
      <c r="AA103" s="44">
        <v>0</v>
      </c>
      <c r="AB103" s="44">
        <v>0</v>
      </c>
      <c r="AC103" s="44"/>
      <c r="AD103" s="44"/>
      <c r="AE103" s="44">
        <v>0</v>
      </c>
      <c r="AF103" s="44"/>
      <c r="AG103" s="44">
        <v>0</v>
      </c>
      <c r="AH103" s="44">
        <v>0</v>
      </c>
      <c r="AI103" s="44"/>
      <c r="AJ103" s="44"/>
      <c r="AK103" s="44"/>
      <c r="AL103" s="27">
        <f t="shared" si="24"/>
        <v>1796.04</v>
      </c>
      <c r="AM103" s="27">
        <f t="shared" si="23"/>
        <v>0</v>
      </c>
      <c r="AN103" s="28"/>
      <c r="AO103" s="20">
        <v>0</v>
      </c>
    </row>
    <row r="104" spans="1:44" x14ac:dyDescent="0.2">
      <c r="A104" s="14" t="s">
        <v>231</v>
      </c>
      <c r="B104" s="13" t="s">
        <v>230</v>
      </c>
      <c r="C104" s="44">
        <v>70</v>
      </c>
      <c r="D104" s="44">
        <v>0</v>
      </c>
      <c r="E104" s="44"/>
      <c r="F104" s="44">
        <v>202.33</v>
      </c>
      <c r="G104" s="44">
        <v>0</v>
      </c>
      <c r="H104" s="44"/>
      <c r="I104" s="44">
        <v>367.5</v>
      </c>
      <c r="J104" s="44">
        <v>0</v>
      </c>
      <c r="K104" s="44"/>
      <c r="L104" s="44">
        <v>685.25</v>
      </c>
      <c r="M104" s="44"/>
      <c r="N104" s="44"/>
      <c r="O104" s="44">
        <v>0</v>
      </c>
      <c r="P104" s="44">
        <v>0</v>
      </c>
      <c r="Q104" s="44"/>
      <c r="R104" s="44">
        <v>210</v>
      </c>
      <c r="S104" s="44">
        <v>0</v>
      </c>
      <c r="T104" s="44"/>
      <c r="U104" s="44">
        <v>260.5</v>
      </c>
      <c r="V104" s="44">
        <v>0</v>
      </c>
      <c r="W104" s="44"/>
      <c r="X104" s="44">
        <v>1247.25</v>
      </c>
      <c r="Y104" s="44">
        <v>0</v>
      </c>
      <c r="Z104" s="44"/>
      <c r="AA104" s="44">
        <v>64.75</v>
      </c>
      <c r="AB104" s="44">
        <v>0</v>
      </c>
      <c r="AC104" s="44"/>
      <c r="AD104" s="44">
        <v>217</v>
      </c>
      <c r="AE104" s="44">
        <v>0</v>
      </c>
      <c r="AF104" s="44"/>
      <c r="AG104" s="44">
        <v>140</v>
      </c>
      <c r="AH104" s="44">
        <v>0</v>
      </c>
      <c r="AI104" s="44"/>
      <c r="AJ104" s="44"/>
      <c r="AK104" s="44"/>
      <c r="AL104" s="27">
        <f t="shared" si="24"/>
        <v>3464.58</v>
      </c>
      <c r="AM104" s="27">
        <f t="shared" si="23"/>
        <v>0</v>
      </c>
      <c r="AN104" s="28"/>
      <c r="AO104" s="20">
        <v>0</v>
      </c>
    </row>
    <row r="105" spans="1:44" x14ac:dyDescent="0.2">
      <c r="A105" s="14" t="s">
        <v>229</v>
      </c>
      <c r="B105" s="13" t="s">
        <v>228</v>
      </c>
      <c r="C105" s="44">
        <v>147</v>
      </c>
      <c r="D105" s="44">
        <v>250</v>
      </c>
      <c r="E105" s="44"/>
      <c r="F105" s="44">
        <v>130</v>
      </c>
      <c r="G105" s="44">
        <v>250</v>
      </c>
      <c r="H105" s="44"/>
      <c r="I105" s="44">
        <v>166.4</v>
      </c>
      <c r="J105" s="44">
        <v>250</v>
      </c>
      <c r="K105" s="44"/>
      <c r="L105" s="44">
        <v>40</v>
      </c>
      <c r="M105" s="44">
        <v>250</v>
      </c>
      <c r="N105" s="44"/>
      <c r="O105" s="44">
        <v>125.1</v>
      </c>
      <c r="P105" s="44">
        <v>250</v>
      </c>
      <c r="Q105" s="44"/>
      <c r="R105" s="44">
        <v>86</v>
      </c>
      <c r="S105" s="44">
        <v>250</v>
      </c>
      <c r="T105" s="44"/>
      <c r="U105" s="44">
        <v>190</v>
      </c>
      <c r="V105" s="44">
        <v>250</v>
      </c>
      <c r="W105" s="44"/>
      <c r="X105" s="44">
        <v>80</v>
      </c>
      <c r="Y105" s="44">
        <v>250</v>
      </c>
      <c r="Z105" s="44"/>
      <c r="AA105" s="44">
        <v>220</v>
      </c>
      <c r="AB105" s="44">
        <v>250</v>
      </c>
      <c r="AC105" s="44"/>
      <c r="AD105" s="44">
        <v>152</v>
      </c>
      <c r="AE105" s="44">
        <v>250</v>
      </c>
      <c r="AF105" s="44"/>
      <c r="AG105" s="44">
        <v>80</v>
      </c>
      <c r="AH105" s="44">
        <v>250</v>
      </c>
      <c r="AI105" s="44"/>
      <c r="AJ105" s="44"/>
      <c r="AK105" s="44"/>
      <c r="AL105" s="27">
        <f t="shared" si="24"/>
        <v>1416.5</v>
      </c>
      <c r="AM105" s="27">
        <f t="shared" si="23"/>
        <v>2750</v>
      </c>
      <c r="AN105" s="28"/>
      <c r="AO105" s="20">
        <v>3000</v>
      </c>
    </row>
    <row r="106" spans="1:44" x14ac:dyDescent="0.2">
      <c r="A106" s="14" t="s">
        <v>227</v>
      </c>
      <c r="B106" s="13" t="s">
        <v>226</v>
      </c>
      <c r="C106" s="44">
        <v>0</v>
      </c>
      <c r="D106" s="44">
        <v>0</v>
      </c>
      <c r="E106" s="44"/>
      <c r="F106" s="44">
        <v>0</v>
      </c>
      <c r="G106" s="44">
        <v>0</v>
      </c>
      <c r="H106" s="44"/>
      <c r="I106" s="44">
        <v>0</v>
      </c>
      <c r="J106" s="44">
        <v>0</v>
      </c>
      <c r="K106" s="44"/>
      <c r="L106" s="44"/>
      <c r="M106" s="44">
        <v>500</v>
      </c>
      <c r="N106" s="44"/>
      <c r="O106" s="44">
        <v>478</v>
      </c>
      <c r="P106" s="44">
        <v>2000</v>
      </c>
      <c r="Q106" s="44"/>
      <c r="R106" s="44">
        <v>0</v>
      </c>
      <c r="S106" s="44">
        <v>2500</v>
      </c>
      <c r="T106" s="44"/>
      <c r="U106" s="44">
        <v>0</v>
      </c>
      <c r="V106" s="44">
        <v>0</v>
      </c>
      <c r="W106" s="44"/>
      <c r="X106" s="44">
        <v>0</v>
      </c>
      <c r="Y106" s="44">
        <v>0</v>
      </c>
      <c r="Z106" s="44"/>
      <c r="AA106" s="44">
        <v>0</v>
      </c>
      <c r="AB106" s="44">
        <v>0</v>
      </c>
      <c r="AC106" s="44"/>
      <c r="AD106" s="44"/>
      <c r="AE106" s="44"/>
      <c r="AF106" s="44"/>
      <c r="AG106" s="44">
        <v>0</v>
      </c>
      <c r="AH106" s="44">
        <v>0</v>
      </c>
      <c r="AI106" s="44"/>
      <c r="AJ106" s="44"/>
      <c r="AK106" s="44"/>
      <c r="AL106" s="27">
        <f t="shared" si="24"/>
        <v>478</v>
      </c>
      <c r="AM106" s="27">
        <f t="shared" si="23"/>
        <v>5000</v>
      </c>
      <c r="AN106" s="28"/>
      <c r="AO106" s="20">
        <v>5000</v>
      </c>
    </row>
    <row r="107" spans="1:44" x14ac:dyDescent="0.2">
      <c r="A107" s="14" t="s">
        <v>225</v>
      </c>
      <c r="B107" s="13" t="s">
        <v>224</v>
      </c>
      <c r="C107" s="44">
        <v>0</v>
      </c>
      <c r="D107" s="44">
        <v>0</v>
      </c>
      <c r="E107" s="44"/>
      <c r="F107" s="44">
        <v>0</v>
      </c>
      <c r="G107" s="44">
        <v>0</v>
      </c>
      <c r="H107" s="44"/>
      <c r="I107" s="44">
        <v>0</v>
      </c>
      <c r="J107" s="44">
        <v>0</v>
      </c>
      <c r="K107" s="44"/>
      <c r="L107" s="44"/>
      <c r="M107" s="44"/>
      <c r="N107" s="44"/>
      <c r="O107" s="44">
        <v>0</v>
      </c>
      <c r="P107" s="44">
        <v>0</v>
      </c>
      <c r="Q107" s="44"/>
      <c r="R107" s="44">
        <v>10000</v>
      </c>
      <c r="S107" s="44">
        <v>10000</v>
      </c>
      <c r="T107" s="44"/>
      <c r="U107" s="44">
        <v>0</v>
      </c>
      <c r="V107" s="44">
        <v>0</v>
      </c>
      <c r="W107" s="44"/>
      <c r="X107" s="44">
        <v>0</v>
      </c>
      <c r="Y107" s="44">
        <v>0</v>
      </c>
      <c r="Z107" s="44"/>
      <c r="AA107" s="44">
        <v>0</v>
      </c>
      <c r="AB107" s="44">
        <v>0</v>
      </c>
      <c r="AC107" s="44"/>
      <c r="AD107" s="44"/>
      <c r="AE107" s="44"/>
      <c r="AF107" s="44"/>
      <c r="AG107" s="44">
        <v>0</v>
      </c>
      <c r="AH107" s="44">
        <v>0</v>
      </c>
      <c r="AI107" s="44"/>
      <c r="AJ107" s="44"/>
      <c r="AK107" s="44"/>
      <c r="AL107" s="27">
        <f t="shared" si="24"/>
        <v>10000</v>
      </c>
      <c r="AM107" s="27">
        <f t="shared" si="23"/>
        <v>10000</v>
      </c>
      <c r="AN107" s="28"/>
      <c r="AO107" s="20">
        <v>10000</v>
      </c>
    </row>
    <row r="108" spans="1:44" x14ac:dyDescent="0.2">
      <c r="A108" s="14" t="s">
        <v>223</v>
      </c>
      <c r="B108" s="13" t="s">
        <v>222</v>
      </c>
      <c r="C108" s="44">
        <v>0</v>
      </c>
      <c r="D108" s="44">
        <v>0</v>
      </c>
      <c r="E108" s="44"/>
      <c r="F108" s="44">
        <v>0</v>
      </c>
      <c r="G108" s="44">
        <v>0</v>
      </c>
      <c r="H108" s="44"/>
      <c r="I108" s="44">
        <v>1545</v>
      </c>
      <c r="J108" s="44">
        <v>2500</v>
      </c>
      <c r="K108" s="44"/>
      <c r="L108" s="44"/>
      <c r="M108" s="44"/>
      <c r="N108" s="44"/>
      <c r="O108" s="44">
        <v>4595</v>
      </c>
      <c r="P108" s="44">
        <v>0</v>
      </c>
      <c r="Q108" s="44"/>
      <c r="R108" s="44">
        <v>0</v>
      </c>
      <c r="S108" s="44">
        <v>2500</v>
      </c>
      <c r="T108" s="44"/>
      <c r="U108" s="44">
        <v>0</v>
      </c>
      <c r="V108" s="44">
        <v>0</v>
      </c>
      <c r="W108" s="44"/>
      <c r="X108" s="44">
        <v>0</v>
      </c>
      <c r="Y108" s="44">
        <v>0</v>
      </c>
      <c r="Z108" s="44"/>
      <c r="AA108" s="44">
        <v>0</v>
      </c>
      <c r="AB108" s="44">
        <v>0</v>
      </c>
      <c r="AC108" s="44"/>
      <c r="AD108" s="44"/>
      <c r="AE108" s="44"/>
      <c r="AF108" s="44"/>
      <c r="AG108" s="44">
        <v>0</v>
      </c>
      <c r="AH108" s="44">
        <v>0</v>
      </c>
      <c r="AI108" s="44"/>
      <c r="AJ108" s="44"/>
      <c r="AK108" s="44"/>
      <c r="AL108" s="27">
        <f t="shared" si="24"/>
        <v>6140</v>
      </c>
      <c r="AM108" s="27">
        <f t="shared" si="23"/>
        <v>5000</v>
      </c>
      <c r="AN108" s="28"/>
      <c r="AO108" s="20">
        <v>5000</v>
      </c>
    </row>
    <row r="109" spans="1:44" x14ac:dyDescent="0.2">
      <c r="A109" s="14" t="s">
        <v>221</v>
      </c>
      <c r="B109" s="13" t="s">
        <v>220</v>
      </c>
      <c r="C109" s="44">
        <v>3322.5</v>
      </c>
      <c r="D109" s="44">
        <v>8333</v>
      </c>
      <c r="E109" s="44"/>
      <c r="F109" s="44">
        <v>1155</v>
      </c>
      <c r="G109" s="44">
        <v>8334</v>
      </c>
      <c r="H109" s="44"/>
      <c r="I109" s="44">
        <v>6366.25</v>
      </c>
      <c r="J109" s="44">
        <v>8333</v>
      </c>
      <c r="K109" s="44"/>
      <c r="L109" s="44">
        <v>1265</v>
      </c>
      <c r="M109" s="44">
        <v>8333</v>
      </c>
      <c r="N109" s="44"/>
      <c r="O109" s="44">
        <v>4317.08</v>
      </c>
      <c r="P109" s="44">
        <v>8333</v>
      </c>
      <c r="Q109" s="44"/>
      <c r="R109" s="44">
        <v>1448.33</v>
      </c>
      <c r="S109" s="44">
        <v>8334</v>
      </c>
      <c r="T109" s="44"/>
      <c r="U109" s="44">
        <v>3180.83</v>
      </c>
      <c r="V109" s="44">
        <v>8333</v>
      </c>
      <c r="W109" s="44"/>
      <c r="X109" s="44">
        <v>5495.41</v>
      </c>
      <c r="Y109" s="44">
        <v>8333</v>
      </c>
      <c r="Z109" s="44"/>
      <c r="AA109" s="44">
        <v>3882.5</v>
      </c>
      <c r="AB109" s="44">
        <v>8334</v>
      </c>
      <c r="AC109" s="44"/>
      <c r="AD109" s="44">
        <v>5802.5</v>
      </c>
      <c r="AE109" s="44">
        <v>8333</v>
      </c>
      <c r="AF109" s="44"/>
      <c r="AG109" s="44">
        <v>5005</v>
      </c>
      <c r="AH109" s="44">
        <v>8333</v>
      </c>
      <c r="AI109" s="44"/>
      <c r="AJ109" s="44"/>
      <c r="AK109" s="44"/>
      <c r="AL109" s="27">
        <f t="shared" si="24"/>
        <v>41240.400000000009</v>
      </c>
      <c r="AM109" s="27">
        <f t="shared" si="23"/>
        <v>91666</v>
      </c>
      <c r="AN109" s="28"/>
      <c r="AO109" s="20">
        <v>100000</v>
      </c>
    </row>
    <row r="110" spans="1:44" x14ac:dyDescent="0.2">
      <c r="A110" s="14" t="s">
        <v>219</v>
      </c>
      <c r="B110" s="13" t="s">
        <v>218</v>
      </c>
      <c r="C110" s="44">
        <v>0</v>
      </c>
      <c r="D110" s="44">
        <v>0</v>
      </c>
      <c r="E110" s="44"/>
      <c r="F110" s="44">
        <v>0</v>
      </c>
      <c r="G110" s="44">
        <v>5000</v>
      </c>
      <c r="H110" s="44"/>
      <c r="I110" s="44">
        <v>0</v>
      </c>
      <c r="J110" s="44">
        <v>0</v>
      </c>
      <c r="K110" s="44"/>
      <c r="L110" s="44">
        <v>5590</v>
      </c>
      <c r="M110" s="44">
        <v>30000</v>
      </c>
      <c r="N110" s="44"/>
      <c r="O110" s="44">
        <v>54767</v>
      </c>
      <c r="P110" s="44">
        <v>0</v>
      </c>
      <c r="Q110" s="44"/>
      <c r="R110" s="44">
        <v>0</v>
      </c>
      <c r="S110" s="44">
        <v>30000</v>
      </c>
      <c r="T110" s="44"/>
      <c r="U110" s="44">
        <v>0</v>
      </c>
      <c r="V110" s="44">
        <v>0</v>
      </c>
      <c r="W110" s="44"/>
      <c r="X110" s="44">
        <v>0</v>
      </c>
      <c r="Y110" s="44">
        <v>0</v>
      </c>
      <c r="Z110" s="44"/>
      <c r="AA110" s="44">
        <v>0</v>
      </c>
      <c r="AB110" s="44">
        <v>0</v>
      </c>
      <c r="AC110" s="44"/>
      <c r="AD110" s="44"/>
      <c r="AE110" s="44"/>
      <c r="AF110" s="44"/>
      <c r="AG110" s="44">
        <v>0</v>
      </c>
      <c r="AH110" s="44">
        <v>0</v>
      </c>
      <c r="AI110" s="44"/>
      <c r="AJ110" s="44"/>
      <c r="AK110" s="44"/>
      <c r="AL110" s="27">
        <f t="shared" si="24"/>
        <v>60357</v>
      </c>
      <c r="AM110" s="27">
        <f t="shared" si="23"/>
        <v>65000</v>
      </c>
      <c r="AN110" s="28"/>
      <c r="AO110" s="20">
        <v>65000</v>
      </c>
    </row>
    <row r="111" spans="1:44" x14ac:dyDescent="0.2">
      <c r="A111" s="14" t="s">
        <v>217</v>
      </c>
      <c r="B111" s="13" t="s">
        <v>216</v>
      </c>
      <c r="C111" s="44">
        <v>0</v>
      </c>
      <c r="D111" s="44">
        <v>0</v>
      </c>
      <c r="E111" s="44"/>
      <c r="F111" s="44">
        <v>0</v>
      </c>
      <c r="G111" s="44">
        <v>0</v>
      </c>
      <c r="H111" s="44"/>
      <c r="I111" s="44">
        <v>0</v>
      </c>
      <c r="J111" s="44">
        <v>0</v>
      </c>
      <c r="K111" s="44"/>
      <c r="L111" s="44"/>
      <c r="M111" s="44"/>
      <c r="N111" s="44"/>
      <c r="O111" s="44">
        <v>0</v>
      </c>
      <c r="P111" s="44">
        <v>0</v>
      </c>
      <c r="Q111" s="44"/>
      <c r="R111" s="44">
        <v>0</v>
      </c>
      <c r="S111" s="44">
        <v>0</v>
      </c>
      <c r="T111" s="44"/>
      <c r="U111" s="44">
        <v>0</v>
      </c>
      <c r="V111" s="44">
        <v>0</v>
      </c>
      <c r="W111" s="44"/>
      <c r="X111" s="44">
        <v>0</v>
      </c>
      <c r="Y111" s="44">
        <v>0</v>
      </c>
      <c r="Z111" s="44"/>
      <c r="AA111" s="44">
        <v>0</v>
      </c>
      <c r="AB111" s="44">
        <v>0</v>
      </c>
      <c r="AC111" s="44"/>
      <c r="AD111" s="44"/>
      <c r="AE111" s="44"/>
      <c r="AF111" s="44"/>
      <c r="AG111" s="44">
        <v>0</v>
      </c>
      <c r="AH111" s="44">
        <v>0</v>
      </c>
      <c r="AI111" s="44"/>
      <c r="AJ111" s="44"/>
      <c r="AK111" s="44"/>
      <c r="AL111" s="27">
        <f t="shared" si="24"/>
        <v>0</v>
      </c>
      <c r="AM111" s="27">
        <f t="shared" si="23"/>
        <v>0</v>
      </c>
      <c r="AN111" s="28"/>
      <c r="AO111" s="20">
        <v>0</v>
      </c>
    </row>
    <row r="112" spans="1:44" x14ac:dyDescent="0.2">
      <c r="A112" s="14" t="s">
        <v>215</v>
      </c>
      <c r="B112" s="13" t="s">
        <v>214</v>
      </c>
      <c r="C112" s="44">
        <v>1361.25</v>
      </c>
      <c r="D112" s="44">
        <v>0</v>
      </c>
      <c r="E112" s="44"/>
      <c r="F112" s="44">
        <v>0</v>
      </c>
      <c r="G112" s="44">
        <v>0</v>
      </c>
      <c r="H112" s="44"/>
      <c r="I112" s="44">
        <v>750</v>
      </c>
      <c r="J112" s="44">
        <v>1000</v>
      </c>
      <c r="K112" s="44"/>
      <c r="L112" s="44">
        <v>119.94</v>
      </c>
      <c r="M112" s="44">
        <v>1000</v>
      </c>
      <c r="N112" s="44"/>
      <c r="O112" s="44">
        <v>257.94</v>
      </c>
      <c r="P112" s="44">
        <v>1000</v>
      </c>
      <c r="Q112" s="44"/>
      <c r="R112" s="44">
        <v>2777.16</v>
      </c>
      <c r="S112" s="44">
        <v>0</v>
      </c>
      <c r="T112" s="44"/>
      <c r="U112" s="44">
        <v>2180.52</v>
      </c>
      <c r="V112" s="44">
        <v>0</v>
      </c>
      <c r="W112" s="44"/>
      <c r="X112" s="44">
        <v>-250.51</v>
      </c>
      <c r="Y112" s="44">
        <v>0</v>
      </c>
      <c r="Z112" s="44"/>
      <c r="AA112" s="44">
        <v>0</v>
      </c>
      <c r="AB112" s="44">
        <v>0</v>
      </c>
      <c r="AC112" s="44"/>
      <c r="AD112" s="44">
        <v>2020</v>
      </c>
      <c r="AE112" s="44"/>
      <c r="AF112" s="44"/>
      <c r="AG112" s="44">
        <v>459.97</v>
      </c>
      <c r="AH112" s="44">
        <v>0</v>
      </c>
      <c r="AI112" s="44"/>
      <c r="AJ112" s="44"/>
      <c r="AK112" s="44"/>
      <c r="AL112" s="27">
        <f t="shared" si="24"/>
        <v>9676.2699999999986</v>
      </c>
      <c r="AM112" s="27">
        <f t="shared" si="23"/>
        <v>3000</v>
      </c>
      <c r="AN112" s="28"/>
      <c r="AO112" s="20">
        <v>3000</v>
      </c>
    </row>
    <row r="113" spans="1:41" x14ac:dyDescent="0.2">
      <c r="A113" s="14">
        <v>6010850</v>
      </c>
      <c r="B113" s="13" t="s">
        <v>213</v>
      </c>
      <c r="C113" s="44">
        <v>788.98</v>
      </c>
      <c r="D113" s="44">
        <v>0</v>
      </c>
      <c r="E113" s="44"/>
      <c r="F113" s="44">
        <v>817</v>
      </c>
      <c r="G113" s="44">
        <v>0</v>
      </c>
      <c r="H113" s="44"/>
      <c r="I113" s="44">
        <v>2313.7199999999998</v>
      </c>
      <c r="J113" s="44">
        <v>0</v>
      </c>
      <c r="K113" s="44"/>
      <c r="L113" s="44">
        <v>11.74</v>
      </c>
      <c r="M113" s="44">
        <v>0</v>
      </c>
      <c r="N113" s="44"/>
      <c r="O113" s="44">
        <v>0</v>
      </c>
      <c r="P113" s="44">
        <v>0</v>
      </c>
      <c r="Q113" s="44"/>
      <c r="R113" s="44">
        <v>1151.01</v>
      </c>
      <c r="S113" s="44">
        <v>0</v>
      </c>
      <c r="T113" s="44"/>
      <c r="U113" s="44">
        <v>13.71</v>
      </c>
      <c r="V113" s="44">
        <v>0</v>
      </c>
      <c r="W113" s="44"/>
      <c r="X113" s="44">
        <v>0</v>
      </c>
      <c r="Y113" s="44">
        <v>0</v>
      </c>
      <c r="Z113" s="44"/>
      <c r="AA113" s="44">
        <v>0</v>
      </c>
      <c r="AB113" s="44">
        <v>0</v>
      </c>
      <c r="AC113" s="44"/>
      <c r="AD113" s="44"/>
      <c r="AE113" s="44"/>
      <c r="AF113" s="44"/>
      <c r="AG113" s="44">
        <v>0</v>
      </c>
      <c r="AH113" s="44">
        <v>0</v>
      </c>
      <c r="AI113" s="44"/>
      <c r="AJ113" s="44"/>
      <c r="AK113" s="44"/>
      <c r="AL113" s="27">
        <f t="shared" si="24"/>
        <v>5096.16</v>
      </c>
      <c r="AM113" s="27">
        <f t="shared" si="23"/>
        <v>0</v>
      </c>
      <c r="AN113" s="28"/>
      <c r="AO113" s="20">
        <f>+AO62</f>
        <v>0</v>
      </c>
    </row>
    <row r="114" spans="1:41" x14ac:dyDescent="0.2">
      <c r="A114" s="14" t="s">
        <v>212</v>
      </c>
      <c r="B114" s="13" t="s">
        <v>211</v>
      </c>
      <c r="C114" s="44">
        <v>25003.29</v>
      </c>
      <c r="D114" s="44">
        <v>9167</v>
      </c>
      <c r="E114" s="44"/>
      <c r="F114" s="44">
        <v>9163.83</v>
      </c>
      <c r="G114" s="44">
        <v>9167</v>
      </c>
      <c r="H114" s="44"/>
      <c r="I114" s="44">
        <v>8790.59</v>
      </c>
      <c r="J114" s="44">
        <v>9166</v>
      </c>
      <c r="K114" s="44"/>
      <c r="L114" s="44">
        <v>4516.18</v>
      </c>
      <c r="M114" s="44">
        <v>9167</v>
      </c>
      <c r="N114" s="44"/>
      <c r="O114" s="44">
        <v>5836.69</v>
      </c>
      <c r="P114" s="44">
        <v>9167</v>
      </c>
      <c r="Q114" s="44"/>
      <c r="R114" s="44">
        <v>19348.66</v>
      </c>
      <c r="S114" s="44">
        <v>9166</v>
      </c>
      <c r="T114" s="44"/>
      <c r="U114" s="44">
        <v>18725.63</v>
      </c>
      <c r="V114" s="44">
        <v>9167</v>
      </c>
      <c r="W114" s="44"/>
      <c r="X114" s="44">
        <v>7794.14</v>
      </c>
      <c r="Y114" s="44">
        <v>9167</v>
      </c>
      <c r="Z114" s="44"/>
      <c r="AA114" s="44">
        <v>4207.29</v>
      </c>
      <c r="AB114" s="44">
        <v>9166</v>
      </c>
      <c r="AC114" s="44"/>
      <c r="AD114" s="44">
        <v>10717.35</v>
      </c>
      <c r="AE114" s="44">
        <v>9167</v>
      </c>
      <c r="AF114" s="44"/>
      <c r="AG114" s="44">
        <v>4009.39</v>
      </c>
      <c r="AH114" s="44">
        <v>9167</v>
      </c>
      <c r="AI114" s="44"/>
      <c r="AJ114" s="44"/>
      <c r="AK114" s="44"/>
      <c r="AL114" s="27">
        <f t="shared" si="24"/>
        <v>118113.04000000001</v>
      </c>
      <c r="AM114" s="27">
        <f t="shared" si="23"/>
        <v>100834</v>
      </c>
      <c r="AN114" s="28"/>
      <c r="AO114" s="20">
        <v>110000</v>
      </c>
    </row>
    <row r="115" spans="1:41" x14ac:dyDescent="0.2">
      <c r="A115" s="14">
        <v>6010950</v>
      </c>
      <c r="B115" s="13" t="s">
        <v>210</v>
      </c>
      <c r="C115" s="44">
        <v>1764.31</v>
      </c>
      <c r="D115" s="44">
        <v>416</v>
      </c>
      <c r="E115" s="44"/>
      <c r="F115" s="44">
        <v>1398.69</v>
      </c>
      <c r="G115" s="44">
        <v>417</v>
      </c>
      <c r="H115" s="44"/>
      <c r="I115" s="44">
        <v>4140.58</v>
      </c>
      <c r="J115" s="44">
        <v>417</v>
      </c>
      <c r="K115" s="44"/>
      <c r="L115" s="44">
        <v>-105.75</v>
      </c>
      <c r="M115" s="44">
        <v>416</v>
      </c>
      <c r="N115" s="44"/>
      <c r="O115" s="44">
        <v>0</v>
      </c>
      <c r="P115" s="44">
        <v>417</v>
      </c>
      <c r="Q115" s="44"/>
      <c r="R115" s="44">
        <v>0</v>
      </c>
      <c r="S115" s="44">
        <v>417</v>
      </c>
      <c r="T115" s="44"/>
      <c r="U115" s="44">
        <v>0</v>
      </c>
      <c r="V115" s="44">
        <v>416</v>
      </c>
      <c r="W115" s="44"/>
      <c r="X115" s="44">
        <v>0</v>
      </c>
      <c r="Y115" s="44">
        <v>417</v>
      </c>
      <c r="Z115" s="44"/>
      <c r="AA115" s="44">
        <v>0</v>
      </c>
      <c r="AB115" s="44">
        <v>417</v>
      </c>
      <c r="AC115" s="44"/>
      <c r="AD115" s="44"/>
      <c r="AE115" s="44">
        <v>416</v>
      </c>
      <c r="AF115" s="44"/>
      <c r="AG115" s="44">
        <v>408.49</v>
      </c>
      <c r="AH115" s="44">
        <v>417</v>
      </c>
      <c r="AI115" s="44"/>
      <c r="AJ115" s="44"/>
      <c r="AK115" s="44"/>
      <c r="AL115" s="27">
        <f t="shared" si="24"/>
        <v>7606.32</v>
      </c>
      <c r="AM115" s="27">
        <f t="shared" si="23"/>
        <v>4583</v>
      </c>
      <c r="AN115" s="28"/>
      <c r="AO115" s="20">
        <v>5000</v>
      </c>
    </row>
    <row r="116" spans="1:41" x14ac:dyDescent="0.2">
      <c r="A116" s="14" t="s">
        <v>209</v>
      </c>
      <c r="B116" s="13" t="s">
        <v>208</v>
      </c>
      <c r="C116" s="44">
        <v>0</v>
      </c>
      <c r="D116" s="44">
        <v>0</v>
      </c>
      <c r="E116" s="44"/>
      <c r="F116" s="44">
        <v>0</v>
      </c>
      <c r="G116" s="44">
        <v>0</v>
      </c>
      <c r="H116" s="44"/>
      <c r="I116" s="44"/>
      <c r="J116" s="44"/>
      <c r="K116" s="44"/>
      <c r="L116" s="44">
        <v>0</v>
      </c>
      <c r="M116" s="44">
        <v>0</v>
      </c>
      <c r="N116" s="44"/>
      <c r="O116" s="44">
        <v>0</v>
      </c>
      <c r="P116" s="44">
        <v>6667</v>
      </c>
      <c r="Q116" s="44"/>
      <c r="R116" s="44">
        <v>0</v>
      </c>
      <c r="S116" s="44">
        <v>0</v>
      </c>
      <c r="T116" s="44"/>
      <c r="U116" s="44">
        <v>3500</v>
      </c>
      <c r="V116" s="44">
        <v>0</v>
      </c>
      <c r="W116" s="44"/>
      <c r="X116" s="44">
        <v>0</v>
      </c>
      <c r="Y116" s="44">
        <v>0</v>
      </c>
      <c r="Z116" s="44"/>
      <c r="AA116" s="44">
        <v>16250</v>
      </c>
      <c r="AB116" s="44">
        <v>13333</v>
      </c>
      <c r="AC116" s="44"/>
      <c r="AD116" s="44"/>
      <c r="AE116" s="44"/>
      <c r="AF116" s="44"/>
      <c r="AG116" s="44">
        <v>250</v>
      </c>
      <c r="AH116" s="44">
        <v>0</v>
      </c>
      <c r="AI116" s="44"/>
      <c r="AJ116" s="44"/>
      <c r="AK116" s="44"/>
      <c r="AL116" s="27">
        <f t="shared" si="24"/>
        <v>20000</v>
      </c>
      <c r="AM116" s="27">
        <f t="shared" si="23"/>
        <v>20000</v>
      </c>
      <c r="AN116" s="28"/>
      <c r="AO116" s="20">
        <v>20000</v>
      </c>
    </row>
    <row r="117" spans="1:41" x14ac:dyDescent="0.2">
      <c r="A117" s="14" t="s">
        <v>207</v>
      </c>
      <c r="B117" s="13" t="s">
        <v>134</v>
      </c>
      <c r="C117" s="44">
        <v>1006.51</v>
      </c>
      <c r="D117" s="44">
        <v>1154</v>
      </c>
      <c r="E117" s="44"/>
      <c r="F117" s="44">
        <v>1951.61</v>
      </c>
      <c r="G117" s="44">
        <v>1154</v>
      </c>
      <c r="H117" s="44"/>
      <c r="I117" s="44">
        <v>1956.73</v>
      </c>
      <c r="J117" s="44">
        <v>1154</v>
      </c>
      <c r="K117" s="44"/>
      <c r="L117" s="44">
        <v>21012.6</v>
      </c>
      <c r="M117" s="44">
        <v>1731</v>
      </c>
      <c r="N117" s="44"/>
      <c r="O117" s="44">
        <f>2917.4+1305.06</f>
        <v>4222.46</v>
      </c>
      <c r="P117" s="44">
        <v>1154</v>
      </c>
      <c r="Q117" s="44"/>
      <c r="R117" s="44">
        <v>569.92999999999995</v>
      </c>
      <c r="S117" s="44">
        <v>1154</v>
      </c>
      <c r="T117" s="44"/>
      <c r="U117" s="44">
        <v>324.92</v>
      </c>
      <c r="V117" s="44">
        <v>1154</v>
      </c>
      <c r="W117" s="44"/>
      <c r="X117" s="44">
        <v>7655.6</v>
      </c>
      <c r="Y117" s="44">
        <v>1154</v>
      </c>
      <c r="Z117" s="44"/>
      <c r="AA117" s="44">
        <v>962.56</v>
      </c>
      <c r="AB117" s="44">
        <v>1154</v>
      </c>
      <c r="AC117" s="44"/>
      <c r="AD117" s="44">
        <v>4079.45</v>
      </c>
      <c r="AE117" s="44">
        <v>1731</v>
      </c>
      <c r="AF117" s="44"/>
      <c r="AG117" s="44">
        <v>621.41</v>
      </c>
      <c r="AH117" s="44">
        <v>1153</v>
      </c>
      <c r="AI117" s="44"/>
      <c r="AJ117" s="44"/>
      <c r="AK117" s="44"/>
      <c r="AL117" s="27">
        <f t="shared" si="24"/>
        <v>44363.779999999992</v>
      </c>
      <c r="AM117" s="27">
        <f t="shared" si="23"/>
        <v>13847</v>
      </c>
      <c r="AN117" s="28"/>
      <c r="AO117" s="20">
        <v>15000</v>
      </c>
    </row>
    <row r="118" spans="1:41" x14ac:dyDescent="0.2">
      <c r="A118" s="14" t="s">
        <v>206</v>
      </c>
      <c r="B118" s="13" t="s">
        <v>205</v>
      </c>
      <c r="C118" s="44">
        <v>233.11</v>
      </c>
      <c r="D118" s="44">
        <v>0</v>
      </c>
      <c r="E118" s="44"/>
      <c r="F118" s="44">
        <v>0</v>
      </c>
      <c r="G118" s="44">
        <v>0</v>
      </c>
      <c r="H118" s="44"/>
      <c r="I118" s="44">
        <v>322.88</v>
      </c>
      <c r="J118" s="44">
        <v>250</v>
      </c>
      <c r="K118" s="44"/>
      <c r="L118" s="44">
        <v>50</v>
      </c>
      <c r="M118" s="44">
        <v>0</v>
      </c>
      <c r="N118" s="44"/>
      <c r="O118" s="44">
        <v>650</v>
      </c>
      <c r="P118" s="44">
        <v>250</v>
      </c>
      <c r="Q118" s="44"/>
      <c r="R118" s="44">
        <v>0</v>
      </c>
      <c r="S118" s="44">
        <v>1750</v>
      </c>
      <c r="T118" s="44"/>
      <c r="U118" s="44">
        <v>0</v>
      </c>
      <c r="V118" s="44">
        <v>0</v>
      </c>
      <c r="W118" s="44"/>
      <c r="X118" s="44">
        <v>1575</v>
      </c>
      <c r="Y118" s="44">
        <v>0</v>
      </c>
      <c r="Z118" s="44"/>
      <c r="AA118" s="44">
        <v>0</v>
      </c>
      <c r="AB118" s="44">
        <v>250</v>
      </c>
      <c r="AC118" s="44"/>
      <c r="AD118" s="44"/>
      <c r="AE118" s="44"/>
      <c r="AF118" s="44"/>
      <c r="AG118" s="44">
        <v>0</v>
      </c>
      <c r="AH118" s="44">
        <v>0</v>
      </c>
      <c r="AI118" s="44"/>
      <c r="AJ118" s="44"/>
      <c r="AK118" s="44"/>
      <c r="AL118" s="27">
        <f t="shared" si="24"/>
        <v>2830.99</v>
      </c>
      <c r="AM118" s="27">
        <f t="shared" si="23"/>
        <v>2500</v>
      </c>
      <c r="AN118" s="28"/>
      <c r="AO118" s="20">
        <v>2500</v>
      </c>
    </row>
    <row r="119" spans="1:41" x14ac:dyDescent="0.2">
      <c r="A119" s="14" t="s">
        <v>204</v>
      </c>
      <c r="B119" s="13" t="s">
        <v>203</v>
      </c>
      <c r="C119" s="44">
        <v>1145.8900000000001</v>
      </c>
      <c r="D119" s="44">
        <v>625</v>
      </c>
      <c r="E119" s="44"/>
      <c r="F119" s="44">
        <v>0</v>
      </c>
      <c r="G119" s="44">
        <v>625</v>
      </c>
      <c r="H119" s="44"/>
      <c r="I119" s="44">
        <v>272.16000000000003</v>
      </c>
      <c r="J119" s="44">
        <v>625</v>
      </c>
      <c r="K119" s="44"/>
      <c r="L119" s="44">
        <v>0</v>
      </c>
      <c r="M119" s="44">
        <v>625</v>
      </c>
      <c r="N119" s="44"/>
      <c r="O119" s="44">
        <v>0</v>
      </c>
      <c r="P119" s="44">
        <v>625</v>
      </c>
      <c r="Q119" s="44"/>
      <c r="R119" s="44">
        <v>0</v>
      </c>
      <c r="S119" s="44">
        <v>625</v>
      </c>
      <c r="T119" s="44"/>
      <c r="U119" s="44">
        <v>129.22</v>
      </c>
      <c r="V119" s="44">
        <v>625</v>
      </c>
      <c r="W119" s="44"/>
      <c r="X119" s="44">
        <v>274.77999999999997</v>
      </c>
      <c r="Y119" s="44">
        <v>625</v>
      </c>
      <c r="Z119" s="44"/>
      <c r="AA119" s="44">
        <v>231.69</v>
      </c>
      <c r="AB119" s="44">
        <v>625</v>
      </c>
      <c r="AC119" s="44"/>
      <c r="AD119" s="44">
        <v>666.62</v>
      </c>
      <c r="AE119" s="44">
        <v>625</v>
      </c>
      <c r="AF119" s="44"/>
      <c r="AG119" s="44">
        <v>609.46</v>
      </c>
      <c r="AH119" s="44">
        <v>625</v>
      </c>
      <c r="AI119" s="44"/>
      <c r="AJ119" s="44"/>
      <c r="AK119" s="44"/>
      <c r="AL119" s="27">
        <f t="shared" si="24"/>
        <v>3329.82</v>
      </c>
      <c r="AM119" s="27">
        <f t="shared" si="23"/>
        <v>6875</v>
      </c>
      <c r="AN119" s="28"/>
      <c r="AO119" s="20">
        <v>7500</v>
      </c>
    </row>
    <row r="120" spans="1:41" x14ac:dyDescent="0.2">
      <c r="A120" s="14" t="s">
        <v>202</v>
      </c>
      <c r="B120" s="13" t="s">
        <v>201</v>
      </c>
      <c r="C120" s="44">
        <v>-5266.98</v>
      </c>
      <c r="D120" s="44">
        <v>0</v>
      </c>
      <c r="E120" s="44"/>
      <c r="F120" s="44">
        <v>-15584.53</v>
      </c>
      <c r="G120" s="44"/>
      <c r="H120" s="44"/>
      <c r="I120" s="44">
        <v>-4345.8500000000004</v>
      </c>
      <c r="J120" s="44">
        <v>0</v>
      </c>
      <c r="K120" s="44"/>
      <c r="L120" s="44">
        <v>-3328.31</v>
      </c>
      <c r="M120" s="44"/>
      <c r="N120" s="44"/>
      <c r="O120" s="44">
        <v>2103.42</v>
      </c>
      <c r="P120" s="44">
        <v>0</v>
      </c>
      <c r="Q120" s="44"/>
      <c r="R120" s="44">
        <v>-5936.98</v>
      </c>
      <c r="S120" s="44"/>
      <c r="T120" s="44"/>
      <c r="U120" s="44">
        <v>-1916.64</v>
      </c>
      <c r="V120" s="44"/>
      <c r="W120" s="44"/>
      <c r="X120" s="44">
        <v>-5575.52</v>
      </c>
      <c r="Y120" s="44">
        <v>0</v>
      </c>
      <c r="Z120" s="44"/>
      <c r="AA120" s="44">
        <v>35829.69</v>
      </c>
      <c r="AB120" s="44">
        <v>0</v>
      </c>
      <c r="AC120" s="44"/>
      <c r="AD120" s="44">
        <v>-18990.14</v>
      </c>
      <c r="AE120" s="44"/>
      <c r="AF120" s="44"/>
      <c r="AG120" s="44">
        <v>-3805.39</v>
      </c>
      <c r="AH120" s="44">
        <v>0</v>
      </c>
      <c r="AI120" s="44"/>
      <c r="AJ120" s="44"/>
      <c r="AK120" s="44"/>
      <c r="AL120" s="27">
        <f t="shared" si="24"/>
        <v>-26817.229999999996</v>
      </c>
      <c r="AM120" s="27">
        <f t="shared" si="23"/>
        <v>0</v>
      </c>
      <c r="AN120" s="28"/>
      <c r="AO120" s="20">
        <v>0</v>
      </c>
    </row>
    <row r="121" spans="1:41" x14ac:dyDescent="0.2">
      <c r="A121" s="14" t="s">
        <v>200</v>
      </c>
      <c r="B121" s="13" t="s">
        <v>199</v>
      </c>
      <c r="C121" s="44">
        <v>4801.67</v>
      </c>
      <c r="D121" s="44">
        <v>834</v>
      </c>
      <c r="E121" s="44"/>
      <c r="F121" s="44">
        <v>6.52</v>
      </c>
      <c r="G121" s="44">
        <v>833</v>
      </c>
      <c r="H121" s="44"/>
      <c r="I121" s="44">
        <v>112.82</v>
      </c>
      <c r="J121" s="44">
        <v>833</v>
      </c>
      <c r="K121" s="44"/>
      <c r="L121" s="44">
        <v>940.76</v>
      </c>
      <c r="M121" s="44">
        <v>834</v>
      </c>
      <c r="N121" s="44"/>
      <c r="O121" s="44">
        <v>0</v>
      </c>
      <c r="P121" s="44">
        <v>833</v>
      </c>
      <c r="Q121" s="44"/>
      <c r="R121" s="44">
        <v>7894.28</v>
      </c>
      <c r="S121" s="44">
        <v>833</v>
      </c>
      <c r="T121" s="44"/>
      <c r="U121" s="44">
        <v>66.400000000000006</v>
      </c>
      <c r="V121" s="44">
        <v>834</v>
      </c>
      <c r="W121" s="44"/>
      <c r="X121" s="44">
        <v>0</v>
      </c>
      <c r="Y121" s="44">
        <v>833</v>
      </c>
      <c r="Z121" s="44"/>
      <c r="AA121" s="44">
        <v>768.3</v>
      </c>
      <c r="AB121" s="44">
        <v>833</v>
      </c>
      <c r="AC121" s="44"/>
      <c r="AD121" s="44"/>
      <c r="AE121" s="44">
        <v>834</v>
      </c>
      <c r="AF121" s="44"/>
      <c r="AG121" s="44">
        <v>0</v>
      </c>
      <c r="AH121" s="44">
        <v>833</v>
      </c>
      <c r="AI121" s="44"/>
      <c r="AJ121" s="44"/>
      <c r="AK121" s="44"/>
      <c r="AL121" s="27">
        <f t="shared" si="24"/>
        <v>14590.749999999998</v>
      </c>
      <c r="AM121" s="27">
        <f t="shared" si="23"/>
        <v>9167</v>
      </c>
      <c r="AN121" s="28"/>
      <c r="AO121" s="20">
        <v>10000</v>
      </c>
    </row>
    <row r="122" spans="1:41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</row>
    <row r="123" spans="1:41" s="19" customFormat="1" x14ac:dyDescent="0.2">
      <c r="A123" s="18"/>
      <c r="B123" s="17" t="s">
        <v>198</v>
      </c>
      <c r="C123" s="31">
        <f>SUM(C101:C121)</f>
        <v>36779.640000000007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35403.310000000005</v>
      </c>
      <c r="M123" s="31">
        <f>SUM(M101:M121)</f>
        <v>54736</v>
      </c>
      <c r="N123" s="34"/>
      <c r="O123" s="31">
        <f>SUM(O101:O121)</f>
        <v>82233.38</v>
      </c>
      <c r="P123" s="31">
        <f>SUM(P101:P121)</f>
        <v>32576</v>
      </c>
      <c r="Q123" s="34"/>
      <c r="R123" s="31">
        <f>SUM(R101:R121)</f>
        <v>41054.959999999992</v>
      </c>
      <c r="S123" s="31">
        <f>SUM(S101:S121)</f>
        <v>69059</v>
      </c>
      <c r="T123" s="34"/>
      <c r="U123" s="31">
        <f>SUM(U101:U121)</f>
        <v>89689.81</v>
      </c>
      <c r="V123" s="31">
        <f>SUM(V101:V121)</f>
        <v>22729</v>
      </c>
      <c r="W123" s="34"/>
      <c r="X123" s="31">
        <f>SUM(X101:X121)</f>
        <v>20933.420000000002</v>
      </c>
      <c r="Y123" s="31">
        <f>SUM(Y101:Y121)</f>
        <v>22659</v>
      </c>
      <c r="Z123" s="34"/>
      <c r="AA123" s="31">
        <f>SUM(AA101:AA121)</f>
        <v>64726.020000000004</v>
      </c>
      <c r="AB123" s="31">
        <f>SUM(AB101:AB121)</f>
        <v>36172</v>
      </c>
      <c r="AC123" s="34"/>
      <c r="AD123" s="31">
        <f>SUM(AD101:AD121)</f>
        <v>6811.6399999999994</v>
      </c>
      <c r="AE123" s="31">
        <f>SUM(AE101:AE121)</f>
        <v>23376</v>
      </c>
      <c r="AF123" s="34"/>
      <c r="AG123" s="31">
        <f>SUM(AG101:AG121)</f>
        <v>10235.25</v>
      </c>
      <c r="AH123" s="31">
        <f>SUM(AH101:AH121)</f>
        <v>22658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420933.45</v>
      </c>
      <c r="AM123" s="31">
        <f>SUM(AM101:AM121)</f>
        <v>360342</v>
      </c>
      <c r="AN123" s="34"/>
      <c r="AO123" s="31">
        <f>SUM(AO101:AO121)</f>
        <v>383000</v>
      </c>
    </row>
    <row r="124" spans="1:41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4"/>
      <c r="AM124" s="34"/>
      <c r="AN124" s="34"/>
      <c r="AO124" s="32"/>
    </row>
    <row r="125" spans="1:41" x14ac:dyDescent="0.2">
      <c r="A125" s="14" t="s">
        <v>197</v>
      </c>
      <c r="B125" s="13" t="s">
        <v>41</v>
      </c>
      <c r="C125" s="28">
        <v>30578.79</v>
      </c>
      <c r="D125" s="44">
        <v>29285</v>
      </c>
      <c r="E125" s="44"/>
      <c r="F125" s="44">
        <v>33027.22</v>
      </c>
      <c r="G125" s="44">
        <v>29285</v>
      </c>
      <c r="H125" s="44"/>
      <c r="I125" s="44">
        <v>33592.49</v>
      </c>
      <c r="J125" s="44">
        <v>29285</v>
      </c>
      <c r="K125" s="44"/>
      <c r="L125" s="44">
        <v>47338.48</v>
      </c>
      <c r="M125" s="44">
        <v>44750</v>
      </c>
      <c r="N125" s="44"/>
      <c r="O125" s="44">
        <v>33256.07</v>
      </c>
      <c r="P125" s="44">
        <v>30529</v>
      </c>
      <c r="Q125" s="44"/>
      <c r="R125" s="44">
        <v>31560.39</v>
      </c>
      <c r="S125" s="44">
        <v>30529</v>
      </c>
      <c r="T125" s="44"/>
      <c r="U125" s="44">
        <v>33803.620000000003</v>
      </c>
      <c r="V125" s="44">
        <v>30529</v>
      </c>
      <c r="W125" s="44"/>
      <c r="X125" s="44">
        <v>32162.09</v>
      </c>
      <c r="Y125" s="44">
        <v>30529</v>
      </c>
      <c r="Z125" s="44"/>
      <c r="AA125" s="44">
        <v>46602.83</v>
      </c>
      <c r="AB125" s="44">
        <v>45993</v>
      </c>
      <c r="AC125" s="44"/>
      <c r="AD125" s="44">
        <v>36618.47</v>
      </c>
      <c r="AE125" s="44">
        <v>30528</v>
      </c>
      <c r="AF125" s="44"/>
      <c r="AG125" s="44">
        <v>32368.77</v>
      </c>
      <c r="AH125" s="44">
        <v>30528</v>
      </c>
      <c r="AI125" s="44"/>
      <c r="AJ125" s="44"/>
      <c r="AK125" s="44"/>
      <c r="AL125" s="27">
        <f t="shared" ref="AL125:AL148" si="25">+C125+F125+I125+L125+O125+R125+U125+X125+AA125+AD125+AG125+AJ125</f>
        <v>390909.22000000009</v>
      </c>
      <c r="AM125" s="27">
        <f t="shared" ref="AM125:AM148" si="26">+D125+G125+J125+M125+P125+S125+V125+Y125+AB125+AE125+AH125+AK125</f>
        <v>361770</v>
      </c>
      <c r="AN125" s="28"/>
      <c r="AO125" s="20">
        <v>402098</v>
      </c>
    </row>
    <row r="126" spans="1:41" x14ac:dyDescent="0.2">
      <c r="A126" s="14">
        <v>6020105</v>
      </c>
      <c r="B126" s="13" t="s">
        <v>387</v>
      </c>
      <c r="C126" s="28">
        <v>220.99</v>
      </c>
      <c r="D126" s="44">
        <v>1646</v>
      </c>
      <c r="E126" s="44"/>
      <c r="F126" s="44">
        <v>1299.5899999999999</v>
      </c>
      <c r="G126" s="44">
        <v>1646</v>
      </c>
      <c r="H126" s="44"/>
      <c r="I126" s="44">
        <v>586.91</v>
      </c>
      <c r="J126" s="44">
        <v>1646</v>
      </c>
      <c r="K126" s="44"/>
      <c r="L126" s="44">
        <v>546.12</v>
      </c>
      <c r="M126" s="44">
        <v>1646</v>
      </c>
      <c r="N126" s="44"/>
      <c r="O126" s="44">
        <v>604.05999999999995</v>
      </c>
      <c r="P126" s="44">
        <v>402</v>
      </c>
      <c r="Q126" s="44"/>
      <c r="R126" s="44">
        <v>432.2</v>
      </c>
      <c r="S126" s="44">
        <v>402</v>
      </c>
      <c r="T126" s="44"/>
      <c r="U126" s="44">
        <v>289.74</v>
      </c>
      <c r="V126" s="44">
        <v>402</v>
      </c>
      <c r="W126" s="44"/>
      <c r="X126" s="44">
        <v>869.67</v>
      </c>
      <c r="Y126" s="44">
        <v>402</v>
      </c>
      <c r="Z126" s="44"/>
      <c r="AA126" s="44">
        <v>510.59</v>
      </c>
      <c r="AB126" s="44">
        <v>402</v>
      </c>
      <c r="AC126" s="44"/>
      <c r="AD126" s="44">
        <v>78.92</v>
      </c>
      <c r="AE126" s="44">
        <v>402</v>
      </c>
      <c r="AF126" s="44"/>
      <c r="AG126" s="44">
        <v>768.25</v>
      </c>
      <c r="AH126" s="44">
        <v>402</v>
      </c>
      <c r="AI126" s="44"/>
      <c r="AJ126" s="44"/>
      <c r="AK126" s="44"/>
      <c r="AL126" s="27">
        <f t="shared" si="25"/>
        <v>6207.04</v>
      </c>
      <c r="AM126" s="27">
        <f t="shared" si="26"/>
        <v>9398</v>
      </c>
      <c r="AN126" s="28"/>
      <c r="AO126" s="20">
        <v>0</v>
      </c>
    </row>
    <row r="127" spans="1:41" x14ac:dyDescent="0.2">
      <c r="A127" s="14" t="s">
        <v>196</v>
      </c>
      <c r="B127" s="13" t="s">
        <v>39</v>
      </c>
      <c r="C127" s="28">
        <v>2294.5</v>
      </c>
      <c r="D127" s="44">
        <v>2474</v>
      </c>
      <c r="E127" s="44"/>
      <c r="F127" s="44">
        <v>2426.8000000000002</v>
      </c>
      <c r="G127" s="44">
        <v>2475</v>
      </c>
      <c r="H127" s="44"/>
      <c r="I127" s="44">
        <v>5434.74</v>
      </c>
      <c r="J127" s="44">
        <v>2475</v>
      </c>
      <c r="K127" s="44"/>
      <c r="L127" s="44">
        <v>3530.49</v>
      </c>
      <c r="M127" s="44">
        <v>3713</v>
      </c>
      <c r="N127" s="44"/>
      <c r="O127" s="44">
        <v>1415.52</v>
      </c>
      <c r="P127" s="44">
        <v>2475</v>
      </c>
      <c r="Q127" s="44"/>
      <c r="R127" s="44">
        <v>2395.61</v>
      </c>
      <c r="S127" s="44">
        <v>2474</v>
      </c>
      <c r="T127" s="44"/>
      <c r="U127" s="44">
        <v>2427.0300000000002</v>
      </c>
      <c r="V127" s="44">
        <v>2474</v>
      </c>
      <c r="W127" s="44"/>
      <c r="X127" s="44">
        <v>2444.75</v>
      </c>
      <c r="Y127" s="44">
        <v>2474</v>
      </c>
      <c r="Z127" s="44"/>
      <c r="AA127" s="44">
        <v>4858.16</v>
      </c>
      <c r="AB127" s="44">
        <v>3712</v>
      </c>
      <c r="AC127" s="44"/>
      <c r="AD127" s="44">
        <v>3254.72</v>
      </c>
      <c r="AE127" s="44">
        <v>2474</v>
      </c>
      <c r="AF127" s="44"/>
      <c r="AG127" s="44">
        <v>2877.45</v>
      </c>
      <c r="AH127" s="44">
        <v>2474</v>
      </c>
      <c r="AI127" s="44"/>
      <c r="AJ127" s="44"/>
      <c r="AK127" s="44"/>
      <c r="AL127" s="27">
        <f t="shared" si="25"/>
        <v>33359.769999999997</v>
      </c>
      <c r="AM127" s="27">
        <f t="shared" si="26"/>
        <v>29694</v>
      </c>
      <c r="AN127" s="28"/>
      <c r="AO127" s="20">
        <v>32168</v>
      </c>
    </row>
    <row r="128" spans="1:41" x14ac:dyDescent="0.2">
      <c r="A128" s="14" t="s">
        <v>195</v>
      </c>
      <c r="B128" s="13" t="s">
        <v>37</v>
      </c>
      <c r="C128" s="28">
        <v>6964.74</v>
      </c>
      <c r="D128" s="44">
        <v>7461</v>
      </c>
      <c r="E128" s="44"/>
      <c r="F128" s="44">
        <v>6964.74</v>
      </c>
      <c r="G128" s="44">
        <v>7460</v>
      </c>
      <c r="H128" s="44"/>
      <c r="I128" s="44">
        <v>7111.94</v>
      </c>
      <c r="J128" s="44">
        <v>7461</v>
      </c>
      <c r="K128" s="44"/>
      <c r="L128" s="44">
        <v>7153.48</v>
      </c>
      <c r="M128" s="44">
        <v>7460</v>
      </c>
      <c r="N128" s="44"/>
      <c r="O128" s="44">
        <v>7242.32</v>
      </c>
      <c r="P128" s="44">
        <v>7461</v>
      </c>
      <c r="Q128" s="44"/>
      <c r="R128" s="44">
        <v>7242.32</v>
      </c>
      <c r="S128" s="44">
        <v>7460</v>
      </c>
      <c r="T128" s="44"/>
      <c r="U128" s="44">
        <v>7242.32</v>
      </c>
      <c r="V128" s="44">
        <v>7461</v>
      </c>
      <c r="W128" s="44"/>
      <c r="X128" s="44">
        <v>7242.32</v>
      </c>
      <c r="Y128" s="44">
        <v>7460</v>
      </c>
      <c r="Z128" s="44"/>
      <c r="AA128" s="44">
        <v>7242.32</v>
      </c>
      <c r="AB128" s="44">
        <v>7461</v>
      </c>
      <c r="AC128" s="44"/>
      <c r="AD128" s="44">
        <v>7242.32</v>
      </c>
      <c r="AE128" s="44">
        <v>7460</v>
      </c>
      <c r="AF128" s="44"/>
      <c r="AG128" s="44">
        <v>7242.32</v>
      </c>
      <c r="AH128" s="44">
        <v>7461</v>
      </c>
      <c r="AI128" s="44"/>
      <c r="AJ128" s="44"/>
      <c r="AK128" s="44"/>
      <c r="AL128" s="27">
        <f t="shared" si="25"/>
        <v>78891.140000000014</v>
      </c>
      <c r="AM128" s="27">
        <f t="shared" si="26"/>
        <v>82066</v>
      </c>
      <c r="AN128" s="28"/>
      <c r="AO128" s="20">
        <v>89526</v>
      </c>
    </row>
    <row r="129" spans="1:41" x14ac:dyDescent="0.2">
      <c r="A129" s="14" t="s">
        <v>194</v>
      </c>
      <c r="B129" s="13" t="s">
        <v>59</v>
      </c>
      <c r="C129" s="28">
        <v>331.31</v>
      </c>
      <c r="D129" s="44">
        <v>334</v>
      </c>
      <c r="E129" s="44"/>
      <c r="F129" s="44">
        <v>336.51</v>
      </c>
      <c r="G129" s="44">
        <v>334</v>
      </c>
      <c r="H129" s="44"/>
      <c r="I129" s="44">
        <v>331.44</v>
      </c>
      <c r="J129" s="44">
        <v>334</v>
      </c>
      <c r="K129" s="44"/>
      <c r="L129" s="44">
        <v>1227.56</v>
      </c>
      <c r="M129" s="44">
        <v>501</v>
      </c>
      <c r="N129" s="44"/>
      <c r="O129" s="44">
        <v>326</v>
      </c>
      <c r="P129" s="44">
        <v>334</v>
      </c>
      <c r="Q129" s="44"/>
      <c r="R129" s="44">
        <v>330.96</v>
      </c>
      <c r="S129" s="44">
        <v>334</v>
      </c>
      <c r="T129" s="44"/>
      <c r="U129" s="44">
        <v>332.71</v>
      </c>
      <c r="V129" s="44">
        <v>334</v>
      </c>
      <c r="W129" s="44"/>
      <c r="X129" s="44">
        <v>341.12</v>
      </c>
      <c r="Y129" s="44">
        <v>334</v>
      </c>
      <c r="Z129" s="44"/>
      <c r="AA129" s="44">
        <v>510.26</v>
      </c>
      <c r="AB129" s="44">
        <v>501</v>
      </c>
      <c r="AC129" s="44"/>
      <c r="AD129" s="44">
        <v>483.45</v>
      </c>
      <c r="AE129" s="44">
        <v>334</v>
      </c>
      <c r="AF129" s="44"/>
      <c r="AG129" s="44">
        <v>338.29</v>
      </c>
      <c r="AH129" s="44">
        <v>334</v>
      </c>
      <c r="AI129" s="44"/>
      <c r="AJ129" s="44"/>
      <c r="AK129" s="44"/>
      <c r="AL129" s="27">
        <f t="shared" si="25"/>
        <v>4889.6099999999997</v>
      </c>
      <c r="AM129" s="27">
        <f t="shared" si="26"/>
        <v>4008</v>
      </c>
      <c r="AN129" s="28"/>
      <c r="AO129" s="20">
        <v>4342</v>
      </c>
    </row>
    <row r="130" spans="1:41" x14ac:dyDescent="0.2">
      <c r="A130" s="14">
        <v>6020150</v>
      </c>
      <c r="B130" s="13" t="s">
        <v>57</v>
      </c>
      <c r="C130" s="28">
        <v>0</v>
      </c>
      <c r="D130" s="44">
        <v>0</v>
      </c>
      <c r="E130" s="44"/>
      <c r="F130" s="44">
        <v>162.31</v>
      </c>
      <c r="G130" s="44">
        <v>0</v>
      </c>
      <c r="H130" s="44"/>
      <c r="I130" s="44">
        <v>0</v>
      </c>
      <c r="J130" s="44">
        <v>0</v>
      </c>
      <c r="K130" s="44"/>
      <c r="L130" s="44"/>
      <c r="M130" s="44"/>
      <c r="N130" s="44"/>
      <c r="O130" s="44">
        <v>0</v>
      </c>
      <c r="P130" s="44">
        <v>0</v>
      </c>
      <c r="Q130" s="44"/>
      <c r="R130" s="44">
        <v>0</v>
      </c>
      <c r="S130" s="44">
        <v>0</v>
      </c>
      <c r="T130" s="44"/>
      <c r="U130" s="44">
        <v>400</v>
      </c>
      <c r="V130" s="44">
        <v>0</v>
      </c>
      <c r="W130" s="44"/>
      <c r="X130" s="44">
        <v>0</v>
      </c>
      <c r="Y130" s="44">
        <v>0</v>
      </c>
      <c r="Z130" s="44"/>
      <c r="AA130" s="44">
        <v>0</v>
      </c>
      <c r="AB130" s="44">
        <v>0</v>
      </c>
      <c r="AC130" s="44"/>
      <c r="AD130" s="44"/>
      <c r="AE130" s="44"/>
      <c r="AF130" s="44"/>
      <c r="AG130" s="44"/>
      <c r="AH130" s="44"/>
      <c r="AI130" s="44"/>
      <c r="AJ130" s="44"/>
      <c r="AK130" s="44"/>
      <c r="AL130" s="27">
        <f t="shared" ref="AL130" si="27">+C130+F130+I130+L130+O130+R130+U130+X130+AA130+AD130+AG130+AJ130</f>
        <v>562.30999999999995</v>
      </c>
      <c r="AM130" s="27">
        <f t="shared" ref="AM130" si="28">+D130+G130+J130+M130+P130+S130+V130+Y130+AB130+AE130+AH130+AK130</f>
        <v>0</v>
      </c>
      <c r="AN130" s="28"/>
      <c r="AO130" s="20">
        <v>0</v>
      </c>
    </row>
    <row r="131" spans="1:41" x14ac:dyDescent="0.2">
      <c r="A131" s="14" t="s">
        <v>193</v>
      </c>
      <c r="B131" s="13" t="s">
        <v>35</v>
      </c>
      <c r="C131" s="28">
        <v>40.71</v>
      </c>
      <c r="D131" s="44">
        <v>40</v>
      </c>
      <c r="E131" s="44"/>
      <c r="F131" s="44">
        <v>40.71</v>
      </c>
      <c r="G131" s="44">
        <v>40</v>
      </c>
      <c r="H131" s="44"/>
      <c r="I131" s="44">
        <v>40.71</v>
      </c>
      <c r="J131" s="44">
        <v>40</v>
      </c>
      <c r="K131" s="44"/>
      <c r="L131" s="44">
        <v>40.71</v>
      </c>
      <c r="M131" s="44">
        <v>60</v>
      </c>
      <c r="N131" s="44"/>
      <c r="O131" s="44">
        <v>40.71</v>
      </c>
      <c r="P131" s="44">
        <v>40</v>
      </c>
      <c r="Q131" s="44"/>
      <c r="R131" s="44">
        <v>36.04</v>
      </c>
      <c r="S131" s="44">
        <v>41</v>
      </c>
      <c r="T131" s="44"/>
      <c r="U131" s="44">
        <v>36.04</v>
      </c>
      <c r="V131" s="44">
        <v>41</v>
      </c>
      <c r="W131" s="44"/>
      <c r="X131" s="44">
        <v>130.1</v>
      </c>
      <c r="Y131" s="44">
        <v>41</v>
      </c>
      <c r="Z131" s="44"/>
      <c r="AA131" s="44">
        <v>36.04</v>
      </c>
      <c r="AB131" s="44">
        <v>41</v>
      </c>
      <c r="AC131" s="44"/>
      <c r="AD131" s="44">
        <v>36.04</v>
      </c>
      <c r="AE131" s="44">
        <v>60</v>
      </c>
      <c r="AF131" s="44"/>
      <c r="AG131" s="44">
        <v>36.040999999999997</v>
      </c>
      <c r="AH131" s="44">
        <v>40</v>
      </c>
      <c r="AI131" s="44"/>
      <c r="AJ131" s="44"/>
      <c r="AK131" s="44"/>
      <c r="AL131" s="27">
        <f t="shared" si="25"/>
        <v>513.85100000000011</v>
      </c>
      <c r="AM131" s="27">
        <f t="shared" si="26"/>
        <v>484</v>
      </c>
      <c r="AN131" s="28"/>
      <c r="AO131" s="20">
        <v>524</v>
      </c>
    </row>
    <row r="132" spans="1:41" x14ac:dyDescent="0.2">
      <c r="A132" s="14" t="s">
        <v>192</v>
      </c>
      <c r="B132" s="13" t="s">
        <v>34</v>
      </c>
      <c r="C132" s="28">
        <v>0</v>
      </c>
      <c r="D132" s="44">
        <v>0</v>
      </c>
      <c r="E132" s="44"/>
      <c r="F132" s="44">
        <v>654.5</v>
      </c>
      <c r="G132" s="44">
        <v>909</v>
      </c>
      <c r="H132" s="44"/>
      <c r="I132" s="44">
        <v>933.3</v>
      </c>
      <c r="J132" s="44">
        <v>909</v>
      </c>
      <c r="K132" s="44"/>
      <c r="L132" s="44">
        <v>1856.8</v>
      </c>
      <c r="M132" s="44">
        <v>1364</v>
      </c>
      <c r="N132" s="44"/>
      <c r="O132" s="44">
        <v>645.21</v>
      </c>
      <c r="P132" s="44">
        <v>909</v>
      </c>
      <c r="Q132" s="44"/>
      <c r="R132" s="44">
        <v>731.23</v>
      </c>
      <c r="S132" s="44">
        <v>909</v>
      </c>
      <c r="T132" s="44"/>
      <c r="U132" s="44">
        <v>0</v>
      </c>
      <c r="V132" s="44">
        <v>0</v>
      </c>
      <c r="W132" s="44"/>
      <c r="X132" s="44">
        <v>0</v>
      </c>
      <c r="Y132" s="44">
        <v>0</v>
      </c>
      <c r="Z132" s="44"/>
      <c r="AA132" s="44">
        <v>0</v>
      </c>
      <c r="AB132" s="44">
        <v>0</v>
      </c>
      <c r="AC132" s="44"/>
      <c r="AD132" s="44"/>
      <c r="AE132" s="44"/>
      <c r="AF132" s="44"/>
      <c r="AG132" s="44"/>
      <c r="AH132" s="44"/>
      <c r="AI132" s="44"/>
      <c r="AJ132" s="44"/>
      <c r="AK132" s="44"/>
      <c r="AL132" s="27">
        <f t="shared" si="25"/>
        <v>4821.04</v>
      </c>
      <c r="AM132" s="27">
        <f t="shared" si="26"/>
        <v>5000</v>
      </c>
      <c r="AN132" s="28"/>
      <c r="AO132" s="20">
        <v>5000</v>
      </c>
    </row>
    <row r="133" spans="1:41" x14ac:dyDescent="0.2">
      <c r="A133" s="14" t="s">
        <v>191</v>
      </c>
      <c r="B133" s="13" t="s">
        <v>33</v>
      </c>
      <c r="C133" s="28">
        <v>0</v>
      </c>
      <c r="D133" s="44">
        <v>0</v>
      </c>
      <c r="E133" s="44"/>
      <c r="F133" s="44">
        <v>50.15</v>
      </c>
      <c r="G133" s="44">
        <v>82</v>
      </c>
      <c r="H133" s="44"/>
      <c r="I133" s="44">
        <v>71.5</v>
      </c>
      <c r="J133" s="44">
        <v>82</v>
      </c>
      <c r="K133" s="44"/>
      <c r="L133" s="44">
        <v>142.28</v>
      </c>
      <c r="M133" s="44">
        <v>123</v>
      </c>
      <c r="N133" s="44"/>
      <c r="O133" s="44">
        <v>18.86</v>
      </c>
      <c r="P133" s="44">
        <v>82</v>
      </c>
      <c r="Q133" s="44"/>
      <c r="R133" s="44">
        <v>56.03</v>
      </c>
      <c r="S133" s="44">
        <v>81</v>
      </c>
      <c r="T133" s="44"/>
      <c r="U133" s="44">
        <v>0</v>
      </c>
      <c r="V133" s="44">
        <v>0</v>
      </c>
      <c r="W133" s="44"/>
      <c r="X133" s="44">
        <v>0</v>
      </c>
      <c r="Y133" s="44">
        <v>0</v>
      </c>
      <c r="Z133" s="44"/>
      <c r="AA133" s="44">
        <v>0</v>
      </c>
      <c r="AB133" s="44">
        <v>0</v>
      </c>
      <c r="AC133" s="44"/>
      <c r="AD133" s="44"/>
      <c r="AE133" s="44"/>
      <c r="AF133" s="44"/>
      <c r="AG133" s="44"/>
      <c r="AH133" s="44"/>
      <c r="AI133" s="44"/>
      <c r="AJ133" s="44"/>
      <c r="AK133" s="44"/>
      <c r="AL133" s="27">
        <f t="shared" si="25"/>
        <v>338.82000000000005</v>
      </c>
      <c r="AM133" s="27">
        <f t="shared" si="26"/>
        <v>450</v>
      </c>
      <c r="AN133" s="28"/>
      <c r="AO133" s="20">
        <v>450</v>
      </c>
    </row>
    <row r="134" spans="1:41" x14ac:dyDescent="0.2">
      <c r="A134" s="14" t="s">
        <v>190</v>
      </c>
      <c r="B134" s="13" t="s">
        <v>31</v>
      </c>
      <c r="C134" s="28">
        <v>1.22</v>
      </c>
      <c r="D134" s="44">
        <v>1</v>
      </c>
      <c r="E134" s="44"/>
      <c r="F134" s="44">
        <v>1.22</v>
      </c>
      <c r="G134" s="44">
        <v>1</v>
      </c>
      <c r="H134" s="44"/>
      <c r="I134" s="44">
        <v>1.22</v>
      </c>
      <c r="J134" s="44">
        <v>2</v>
      </c>
      <c r="K134" s="44"/>
      <c r="L134" s="44">
        <v>1.22</v>
      </c>
      <c r="M134" s="44">
        <v>2</v>
      </c>
      <c r="N134" s="44"/>
      <c r="O134" s="44">
        <v>1.22</v>
      </c>
      <c r="P134" s="44">
        <v>1</v>
      </c>
      <c r="Q134" s="44"/>
      <c r="R134" s="44">
        <v>0.45</v>
      </c>
      <c r="S134" s="44">
        <v>1</v>
      </c>
      <c r="T134" s="44"/>
      <c r="U134" s="44">
        <v>0.45</v>
      </c>
      <c r="V134" s="44">
        <v>1</v>
      </c>
      <c r="W134" s="44"/>
      <c r="X134" s="44">
        <v>3.27</v>
      </c>
      <c r="Y134" s="44">
        <v>1</v>
      </c>
      <c r="Z134" s="44"/>
      <c r="AA134" s="44">
        <v>0.45</v>
      </c>
      <c r="AB134" s="44">
        <v>0</v>
      </c>
      <c r="AC134" s="44"/>
      <c r="AD134" s="44">
        <v>0.45</v>
      </c>
      <c r="AE134" s="44">
        <v>2</v>
      </c>
      <c r="AF134" s="44"/>
      <c r="AG134" s="44">
        <v>0.45</v>
      </c>
      <c r="AH134" s="44">
        <v>1</v>
      </c>
      <c r="AI134" s="44"/>
      <c r="AJ134" s="44"/>
      <c r="AK134" s="44"/>
      <c r="AL134" s="27">
        <f t="shared" si="25"/>
        <v>11.619999999999997</v>
      </c>
      <c r="AM134" s="27">
        <f t="shared" si="26"/>
        <v>13</v>
      </c>
      <c r="AN134" s="28"/>
      <c r="AO134" s="20">
        <v>15</v>
      </c>
    </row>
    <row r="135" spans="1:41" x14ac:dyDescent="0.2">
      <c r="A135" s="14" t="s">
        <v>189</v>
      </c>
      <c r="B135" s="13" t="s">
        <v>29</v>
      </c>
      <c r="C135" s="28">
        <v>2154.0300000000002</v>
      </c>
      <c r="D135" s="44">
        <v>2500</v>
      </c>
      <c r="E135" s="44"/>
      <c r="F135" s="44">
        <v>2286.19</v>
      </c>
      <c r="G135" s="44">
        <v>2500</v>
      </c>
      <c r="H135" s="44"/>
      <c r="I135" s="44">
        <v>2194.46</v>
      </c>
      <c r="J135" s="44">
        <v>2500</v>
      </c>
      <c r="K135" s="44"/>
      <c r="L135" s="44">
        <v>2346.08</v>
      </c>
      <c r="M135" s="44">
        <v>2500</v>
      </c>
      <c r="N135" s="44"/>
      <c r="O135" s="44">
        <v>3711.73</v>
      </c>
      <c r="P135" s="44">
        <v>2500</v>
      </c>
      <c r="Q135" s="44"/>
      <c r="R135" s="44">
        <v>2327.66</v>
      </c>
      <c r="S135" s="44">
        <v>2500</v>
      </c>
      <c r="T135" s="44"/>
      <c r="U135" s="44">
        <v>2350.6999999999998</v>
      </c>
      <c r="V135" s="44">
        <v>2500</v>
      </c>
      <c r="W135" s="44"/>
      <c r="X135" s="44">
        <v>3521.28</v>
      </c>
      <c r="Y135" s="44">
        <v>2500</v>
      </c>
      <c r="Z135" s="44"/>
      <c r="AA135" s="44">
        <v>1882.14</v>
      </c>
      <c r="AB135" s="44">
        <v>2500</v>
      </c>
      <c r="AC135" s="44"/>
      <c r="AD135" s="44">
        <v>2891.5</v>
      </c>
      <c r="AE135" s="44">
        <v>2500</v>
      </c>
      <c r="AF135" s="44"/>
      <c r="AG135" s="44">
        <v>3152.72</v>
      </c>
      <c r="AH135" s="44">
        <v>2500</v>
      </c>
      <c r="AI135" s="44"/>
      <c r="AJ135" s="44"/>
      <c r="AK135" s="44"/>
      <c r="AL135" s="27">
        <f t="shared" si="25"/>
        <v>28818.489999999998</v>
      </c>
      <c r="AM135" s="27">
        <f t="shared" si="26"/>
        <v>27500</v>
      </c>
      <c r="AN135" s="28"/>
      <c r="AO135" s="20">
        <v>30000</v>
      </c>
    </row>
    <row r="136" spans="1:41" x14ac:dyDescent="0.2">
      <c r="A136" s="14" t="s">
        <v>188</v>
      </c>
      <c r="B136" s="13" t="s">
        <v>27</v>
      </c>
      <c r="C136" s="28">
        <v>1125</v>
      </c>
      <c r="D136" s="44">
        <v>792</v>
      </c>
      <c r="E136" s="44"/>
      <c r="F136" s="44">
        <v>0</v>
      </c>
      <c r="G136" s="44">
        <v>792</v>
      </c>
      <c r="H136" s="44"/>
      <c r="I136" s="44">
        <v>750</v>
      </c>
      <c r="J136" s="44">
        <v>792</v>
      </c>
      <c r="K136" s="44"/>
      <c r="L136" s="44">
        <v>900</v>
      </c>
      <c r="M136" s="44">
        <v>792</v>
      </c>
      <c r="N136" s="44"/>
      <c r="O136" s="44">
        <v>1800</v>
      </c>
      <c r="P136" s="44">
        <v>792</v>
      </c>
      <c r="Q136" s="44"/>
      <c r="R136" s="44">
        <v>0</v>
      </c>
      <c r="S136" s="44">
        <v>791</v>
      </c>
      <c r="T136" s="44"/>
      <c r="U136" s="44">
        <v>875</v>
      </c>
      <c r="V136" s="44">
        <v>792</v>
      </c>
      <c r="W136" s="44"/>
      <c r="X136" s="44">
        <v>1225</v>
      </c>
      <c r="Y136" s="44">
        <v>791</v>
      </c>
      <c r="Z136" s="44"/>
      <c r="AA136" s="44">
        <v>875</v>
      </c>
      <c r="AB136" s="44">
        <v>792</v>
      </c>
      <c r="AC136" s="44"/>
      <c r="AD136" s="44"/>
      <c r="AE136" s="44">
        <v>791</v>
      </c>
      <c r="AF136" s="44"/>
      <c r="AG136" s="44">
        <v>525</v>
      </c>
      <c r="AH136" s="44">
        <v>792</v>
      </c>
      <c r="AI136" s="44"/>
      <c r="AJ136" s="44"/>
      <c r="AK136" s="44"/>
      <c r="AL136" s="27">
        <f t="shared" si="25"/>
        <v>8075</v>
      </c>
      <c r="AM136" s="27">
        <f t="shared" si="26"/>
        <v>8709</v>
      </c>
      <c r="AN136" s="28"/>
      <c r="AO136" s="20">
        <v>9500</v>
      </c>
    </row>
    <row r="137" spans="1:41" x14ac:dyDescent="0.2">
      <c r="A137" s="14" t="s">
        <v>187</v>
      </c>
      <c r="B137" s="13" t="s">
        <v>101</v>
      </c>
      <c r="C137" s="28">
        <v>444</v>
      </c>
      <c r="D137" s="44">
        <v>500</v>
      </c>
      <c r="E137" s="44"/>
      <c r="F137" s="44">
        <v>0</v>
      </c>
      <c r="G137" s="44">
        <v>0</v>
      </c>
      <c r="H137" s="44"/>
      <c r="I137" s="44">
        <v>0</v>
      </c>
      <c r="J137" s="44">
        <v>0</v>
      </c>
      <c r="K137" s="44"/>
      <c r="L137" s="44">
        <v>0</v>
      </c>
      <c r="M137" s="44">
        <v>0</v>
      </c>
      <c r="N137" s="44"/>
      <c r="O137" s="44">
        <v>0</v>
      </c>
      <c r="P137" s="44">
        <v>0</v>
      </c>
      <c r="Q137" s="44"/>
      <c r="R137" s="44">
        <v>0</v>
      </c>
      <c r="S137" s="44">
        <v>0</v>
      </c>
      <c r="T137" s="44"/>
      <c r="U137" s="44">
        <v>450</v>
      </c>
      <c r="V137" s="44">
        <v>0</v>
      </c>
      <c r="W137" s="44"/>
      <c r="X137" s="44">
        <v>0</v>
      </c>
      <c r="Y137" s="44">
        <v>0</v>
      </c>
      <c r="Z137" s="44"/>
      <c r="AA137" s="44">
        <v>0</v>
      </c>
      <c r="AB137" s="44">
        <v>0</v>
      </c>
      <c r="AC137" s="44"/>
      <c r="AD137" s="44"/>
      <c r="AE137" s="44"/>
      <c r="AF137" s="44"/>
      <c r="AG137" s="44">
        <v>0</v>
      </c>
      <c r="AH137" s="44">
        <v>0</v>
      </c>
      <c r="AI137" s="44"/>
      <c r="AJ137" s="44"/>
      <c r="AK137" s="44"/>
      <c r="AL137" s="27">
        <f t="shared" si="25"/>
        <v>894</v>
      </c>
      <c r="AM137" s="27">
        <f t="shared" si="26"/>
        <v>500</v>
      </c>
      <c r="AN137" s="28"/>
      <c r="AO137" s="20">
        <v>500</v>
      </c>
    </row>
    <row r="138" spans="1:41" x14ac:dyDescent="0.2">
      <c r="A138" s="14" t="s">
        <v>186</v>
      </c>
      <c r="B138" s="13" t="s">
        <v>25</v>
      </c>
      <c r="C138" s="28">
        <v>0</v>
      </c>
      <c r="D138" s="44">
        <v>333</v>
      </c>
      <c r="E138" s="44"/>
      <c r="F138" s="44">
        <v>1819.98</v>
      </c>
      <c r="G138" s="44">
        <v>333</v>
      </c>
      <c r="H138" s="44"/>
      <c r="I138" s="44">
        <v>1070.19</v>
      </c>
      <c r="J138" s="44">
        <v>334</v>
      </c>
      <c r="K138" s="44"/>
      <c r="L138" s="44">
        <v>-49.48</v>
      </c>
      <c r="M138" s="44">
        <v>333</v>
      </c>
      <c r="N138" s="44"/>
      <c r="O138" s="44">
        <f>979.99+53.66</f>
        <v>1033.6500000000001</v>
      </c>
      <c r="P138" s="44">
        <v>334</v>
      </c>
      <c r="Q138" s="44"/>
      <c r="R138" s="44">
        <v>6565.46</v>
      </c>
      <c r="S138" s="44">
        <v>333</v>
      </c>
      <c r="T138" s="44"/>
      <c r="U138" s="44">
        <v>2753.44</v>
      </c>
      <c r="V138" s="44">
        <v>334</v>
      </c>
      <c r="W138" s="44"/>
      <c r="X138" s="44">
        <v>1139.9100000000001</v>
      </c>
      <c r="Y138" s="44">
        <v>333</v>
      </c>
      <c r="Z138" s="44"/>
      <c r="AA138" s="44">
        <v>525</v>
      </c>
      <c r="AB138" s="44">
        <v>334</v>
      </c>
      <c r="AC138" s="44"/>
      <c r="AD138" s="44"/>
      <c r="AE138" s="44">
        <v>333</v>
      </c>
      <c r="AF138" s="44"/>
      <c r="AG138" s="44">
        <v>0</v>
      </c>
      <c r="AH138" s="44">
        <v>333</v>
      </c>
      <c r="AI138" s="44"/>
      <c r="AJ138" s="44"/>
      <c r="AK138" s="44"/>
      <c r="AL138" s="27">
        <f t="shared" si="25"/>
        <v>14858.15</v>
      </c>
      <c r="AM138" s="27">
        <f t="shared" si="26"/>
        <v>3667</v>
      </c>
      <c r="AN138" s="28"/>
      <c r="AO138" s="20">
        <v>4000</v>
      </c>
    </row>
    <row r="139" spans="1:41" x14ac:dyDescent="0.2">
      <c r="A139" s="14">
        <v>6020600</v>
      </c>
      <c r="B139" s="13" t="s">
        <v>23</v>
      </c>
      <c r="C139" s="28"/>
      <c r="D139" s="44"/>
      <c r="E139" s="44"/>
      <c r="F139" s="44">
        <v>0</v>
      </c>
      <c r="G139" s="44">
        <v>0</v>
      </c>
      <c r="H139" s="44"/>
      <c r="I139" s="44">
        <v>0</v>
      </c>
      <c r="J139" s="44">
        <v>0</v>
      </c>
      <c r="K139" s="44"/>
      <c r="L139" s="44">
        <v>37.11</v>
      </c>
      <c r="M139" s="44">
        <v>0</v>
      </c>
      <c r="N139" s="44"/>
      <c r="O139" s="44">
        <v>0</v>
      </c>
      <c r="P139" s="44">
        <v>0</v>
      </c>
      <c r="Q139" s="44"/>
      <c r="R139" s="44">
        <v>0</v>
      </c>
      <c r="S139" s="44">
        <v>0</v>
      </c>
      <c r="T139" s="44"/>
      <c r="U139" s="44">
        <v>0</v>
      </c>
      <c r="V139" s="44">
        <v>0</v>
      </c>
      <c r="W139" s="44"/>
      <c r="X139" s="44">
        <v>0</v>
      </c>
      <c r="Y139" s="44">
        <v>0</v>
      </c>
      <c r="Z139" s="44"/>
      <c r="AA139" s="44">
        <v>0</v>
      </c>
      <c r="AB139" s="44">
        <v>0</v>
      </c>
      <c r="AC139" s="44"/>
      <c r="AD139" s="44"/>
      <c r="AE139" s="44"/>
      <c r="AF139" s="44"/>
      <c r="AG139" s="44">
        <v>0</v>
      </c>
      <c r="AH139" s="44">
        <v>0</v>
      </c>
      <c r="AI139" s="44"/>
      <c r="AJ139" s="44"/>
      <c r="AK139" s="44"/>
      <c r="AL139" s="27">
        <f t="shared" ref="AL139" si="29">+C139+F139+I139+L139+O139+R139+U139+X139+AA139+AD139+AG139+AJ139</f>
        <v>37.11</v>
      </c>
      <c r="AM139" s="27">
        <f t="shared" ref="AM139" si="30">+D139+G139+J139+M139+P139+S139+V139+Y139+AB139+AE139+AH139+AK139</f>
        <v>0</v>
      </c>
      <c r="AN139" s="28"/>
      <c r="AO139" s="20">
        <v>0</v>
      </c>
    </row>
    <row r="140" spans="1:41" x14ac:dyDescent="0.2">
      <c r="A140" s="14" t="s">
        <v>185</v>
      </c>
      <c r="B140" s="13" t="s">
        <v>184</v>
      </c>
      <c r="C140" s="28">
        <v>415</v>
      </c>
      <c r="D140" s="44">
        <v>583</v>
      </c>
      <c r="E140" s="44"/>
      <c r="F140" s="44">
        <v>415</v>
      </c>
      <c r="G140" s="44">
        <v>583</v>
      </c>
      <c r="H140" s="44"/>
      <c r="I140" s="44">
        <v>415</v>
      </c>
      <c r="J140" s="44">
        <v>583</v>
      </c>
      <c r="K140" s="44"/>
      <c r="L140" s="44">
        <v>622.5</v>
      </c>
      <c r="M140" s="44">
        <v>583</v>
      </c>
      <c r="N140" s="44"/>
      <c r="O140" s="44">
        <v>415</v>
      </c>
      <c r="P140" s="44">
        <v>583</v>
      </c>
      <c r="Q140" s="44"/>
      <c r="R140" s="44">
        <v>415</v>
      </c>
      <c r="S140" s="44">
        <v>584</v>
      </c>
      <c r="T140" s="44"/>
      <c r="U140" s="44">
        <v>415</v>
      </c>
      <c r="V140" s="44">
        <v>583</v>
      </c>
      <c r="W140" s="44"/>
      <c r="X140" s="44">
        <v>560.29999999999995</v>
      </c>
      <c r="Y140" s="44">
        <v>584</v>
      </c>
      <c r="Z140" s="44"/>
      <c r="AA140" s="44">
        <v>622.5</v>
      </c>
      <c r="AB140" s="44">
        <v>583</v>
      </c>
      <c r="AC140" s="44"/>
      <c r="AD140" s="44">
        <v>415</v>
      </c>
      <c r="AE140" s="44">
        <v>584</v>
      </c>
      <c r="AF140" s="44"/>
      <c r="AG140" s="44">
        <v>415</v>
      </c>
      <c r="AH140" s="44">
        <v>583</v>
      </c>
      <c r="AI140" s="44"/>
      <c r="AJ140" s="44"/>
      <c r="AK140" s="44"/>
      <c r="AL140" s="27">
        <f t="shared" si="25"/>
        <v>5125.3</v>
      </c>
      <c r="AM140" s="27">
        <f t="shared" si="26"/>
        <v>6416</v>
      </c>
      <c r="AN140" s="28"/>
      <c r="AO140" s="20">
        <v>7000</v>
      </c>
    </row>
    <row r="141" spans="1:41" x14ac:dyDescent="0.2">
      <c r="A141" s="14" t="s">
        <v>183</v>
      </c>
      <c r="B141" s="13" t="s">
        <v>182</v>
      </c>
      <c r="C141" s="28">
        <v>107.01</v>
      </c>
      <c r="D141" s="44">
        <v>833</v>
      </c>
      <c r="E141" s="44"/>
      <c r="F141" s="44">
        <v>2219.75</v>
      </c>
      <c r="G141" s="44">
        <v>834</v>
      </c>
      <c r="H141" s="44"/>
      <c r="I141" s="44">
        <v>2192.48</v>
      </c>
      <c r="J141" s="44">
        <v>833</v>
      </c>
      <c r="K141" s="44"/>
      <c r="L141" s="44">
        <v>243.64</v>
      </c>
      <c r="M141" s="44">
        <v>834</v>
      </c>
      <c r="N141" s="44"/>
      <c r="O141" s="44">
        <v>2260.31</v>
      </c>
      <c r="P141" s="44">
        <v>833</v>
      </c>
      <c r="Q141" s="44"/>
      <c r="R141" s="44">
        <v>2207.33</v>
      </c>
      <c r="S141" s="44">
        <v>834</v>
      </c>
      <c r="T141" s="44"/>
      <c r="U141" s="44">
        <v>2065.86</v>
      </c>
      <c r="V141" s="44">
        <v>833</v>
      </c>
      <c r="W141" s="44"/>
      <c r="X141" s="44">
        <v>2327</v>
      </c>
      <c r="Y141" s="44">
        <v>834</v>
      </c>
      <c r="Z141" s="44"/>
      <c r="AA141" s="44">
        <v>2.7</v>
      </c>
      <c r="AB141" s="44">
        <v>833</v>
      </c>
      <c r="AC141" s="44"/>
      <c r="AD141" s="44">
        <v>68.849999999999994</v>
      </c>
      <c r="AE141" s="44">
        <v>833</v>
      </c>
      <c r="AF141" s="44"/>
      <c r="AG141" s="44">
        <v>2219.75</v>
      </c>
      <c r="AH141" s="44">
        <v>833</v>
      </c>
      <c r="AI141" s="44"/>
      <c r="AJ141" s="44"/>
      <c r="AK141" s="44"/>
      <c r="AL141" s="27">
        <f t="shared" si="25"/>
        <v>15914.680000000002</v>
      </c>
      <c r="AM141" s="27">
        <f t="shared" si="26"/>
        <v>9167</v>
      </c>
      <c r="AN141" s="28"/>
      <c r="AO141" s="20">
        <v>10000</v>
      </c>
    </row>
    <row r="142" spans="1:41" x14ac:dyDescent="0.2">
      <c r="A142" s="14" t="s">
        <v>181</v>
      </c>
      <c r="B142" s="13" t="s">
        <v>97</v>
      </c>
      <c r="C142" s="28">
        <v>4398.7700000000004</v>
      </c>
      <c r="D142" s="44">
        <v>4583</v>
      </c>
      <c r="E142" s="44"/>
      <c r="F142" s="44">
        <v>4092.52</v>
      </c>
      <c r="G142" s="44">
        <v>4583</v>
      </c>
      <c r="H142" s="44"/>
      <c r="I142" s="44">
        <v>5032.5200000000004</v>
      </c>
      <c r="J142" s="44">
        <v>4583</v>
      </c>
      <c r="K142" s="44"/>
      <c r="L142" s="44">
        <v>4062.52</v>
      </c>
      <c r="M142" s="44">
        <v>4583</v>
      </c>
      <c r="N142" s="44"/>
      <c r="O142" s="44">
        <v>6089.36</v>
      </c>
      <c r="P142" s="44">
        <v>4583</v>
      </c>
      <c r="Q142" s="44"/>
      <c r="R142" s="44">
        <v>5967.52</v>
      </c>
      <c r="S142" s="44">
        <v>4584</v>
      </c>
      <c r="T142" s="44"/>
      <c r="U142" s="44">
        <v>7252.52</v>
      </c>
      <c r="V142" s="44">
        <v>4583</v>
      </c>
      <c r="W142" s="44"/>
      <c r="X142" s="44">
        <v>3797.52</v>
      </c>
      <c r="Y142" s="44">
        <v>4584</v>
      </c>
      <c r="Z142" s="44"/>
      <c r="AA142" s="44">
        <v>8015.03</v>
      </c>
      <c r="AB142" s="44">
        <v>4583</v>
      </c>
      <c r="AC142" s="44"/>
      <c r="AD142" s="44">
        <v>6086.9</v>
      </c>
      <c r="AE142" s="44">
        <v>4584</v>
      </c>
      <c r="AF142" s="44"/>
      <c r="AG142" s="44">
        <v>9610.65</v>
      </c>
      <c r="AH142" s="44">
        <v>4583</v>
      </c>
      <c r="AI142" s="44"/>
      <c r="AJ142" s="44"/>
      <c r="AK142" s="44"/>
      <c r="AL142" s="27">
        <f t="shared" si="25"/>
        <v>64405.83</v>
      </c>
      <c r="AM142" s="27">
        <f t="shared" si="26"/>
        <v>50416</v>
      </c>
      <c r="AN142" s="28"/>
      <c r="AO142" s="20">
        <v>55000</v>
      </c>
    </row>
    <row r="143" spans="1:41" x14ac:dyDescent="0.2">
      <c r="A143" s="14" t="s">
        <v>180</v>
      </c>
      <c r="B143" s="13" t="s">
        <v>19</v>
      </c>
      <c r="C143" s="28">
        <v>5517.76</v>
      </c>
      <c r="D143" s="44">
        <v>5834</v>
      </c>
      <c r="E143" s="44"/>
      <c r="F143" s="44">
        <v>6479.09</v>
      </c>
      <c r="G143" s="44">
        <v>5833</v>
      </c>
      <c r="H143" s="44"/>
      <c r="I143" s="44">
        <v>6479.09</v>
      </c>
      <c r="J143" s="44">
        <v>5834</v>
      </c>
      <c r="K143" s="44"/>
      <c r="L143" s="44">
        <v>6479.09</v>
      </c>
      <c r="M143" s="44">
        <v>5833</v>
      </c>
      <c r="N143" s="44"/>
      <c r="O143" s="44">
        <v>8749.7900000000009</v>
      </c>
      <c r="P143" s="44">
        <v>5834</v>
      </c>
      <c r="Q143" s="44"/>
      <c r="R143" s="44">
        <v>6479.09</v>
      </c>
      <c r="S143" s="44">
        <v>5833</v>
      </c>
      <c r="T143" s="44"/>
      <c r="U143" s="44">
        <v>6479.09</v>
      </c>
      <c r="V143" s="44">
        <v>5834</v>
      </c>
      <c r="W143" s="44"/>
      <c r="X143" s="44">
        <v>6479.09</v>
      </c>
      <c r="Y143" s="44">
        <v>5833</v>
      </c>
      <c r="Z143" s="44"/>
      <c r="AA143" s="44">
        <v>6479.09</v>
      </c>
      <c r="AB143" s="44">
        <v>5833</v>
      </c>
      <c r="AC143" s="44"/>
      <c r="AD143" s="44">
        <v>6479.09</v>
      </c>
      <c r="AE143" s="44">
        <v>5833</v>
      </c>
      <c r="AF143" s="44"/>
      <c r="AG143" s="44">
        <v>6479.09</v>
      </c>
      <c r="AH143" s="44">
        <v>5833</v>
      </c>
      <c r="AI143" s="44"/>
      <c r="AJ143" s="44"/>
      <c r="AK143" s="44"/>
      <c r="AL143" s="27">
        <f t="shared" si="25"/>
        <v>72579.359999999986</v>
      </c>
      <c r="AM143" s="27">
        <f t="shared" si="26"/>
        <v>64167</v>
      </c>
      <c r="AN143" s="28"/>
      <c r="AO143" s="20">
        <v>70000</v>
      </c>
    </row>
    <row r="144" spans="1:41" x14ac:dyDescent="0.2">
      <c r="A144" s="14" t="s">
        <v>179</v>
      </c>
      <c r="B144" s="13" t="s">
        <v>17</v>
      </c>
      <c r="C144" s="28">
        <v>0</v>
      </c>
      <c r="D144" s="44">
        <v>125</v>
      </c>
      <c r="E144" s="44"/>
      <c r="F144" s="44">
        <v>0</v>
      </c>
      <c r="G144" s="44">
        <v>125</v>
      </c>
      <c r="H144" s="44"/>
      <c r="I144" s="44">
        <v>0</v>
      </c>
      <c r="J144" s="44">
        <v>125</v>
      </c>
      <c r="K144" s="44"/>
      <c r="L144" s="44">
        <v>445.4</v>
      </c>
      <c r="M144" s="44">
        <v>125</v>
      </c>
      <c r="N144" s="44"/>
      <c r="O144" s="44">
        <v>110</v>
      </c>
      <c r="P144" s="44">
        <v>125</v>
      </c>
      <c r="Q144" s="44"/>
      <c r="R144" s="44">
        <v>0</v>
      </c>
      <c r="S144" s="44">
        <v>125</v>
      </c>
      <c r="T144" s="44"/>
      <c r="U144" s="44">
        <v>0</v>
      </c>
      <c r="V144" s="44">
        <v>125</v>
      </c>
      <c r="W144" s="44"/>
      <c r="X144" s="44">
        <v>350</v>
      </c>
      <c r="Y144" s="44">
        <v>125</v>
      </c>
      <c r="Z144" s="44"/>
      <c r="AA144" s="44">
        <v>0</v>
      </c>
      <c r="AB144" s="44">
        <v>125</v>
      </c>
      <c r="AC144" s="44"/>
      <c r="AD144" s="44">
        <v>239</v>
      </c>
      <c r="AE144" s="44">
        <v>125</v>
      </c>
      <c r="AF144" s="44"/>
      <c r="AG144" s="44">
        <v>0</v>
      </c>
      <c r="AH144" s="44">
        <v>125</v>
      </c>
      <c r="AI144" s="44"/>
      <c r="AJ144" s="44"/>
      <c r="AK144" s="44"/>
      <c r="AL144" s="27">
        <f t="shared" si="25"/>
        <v>1144.4000000000001</v>
      </c>
      <c r="AM144" s="27">
        <f t="shared" si="26"/>
        <v>1375</v>
      </c>
      <c r="AN144" s="28"/>
      <c r="AO144" s="20">
        <v>1500</v>
      </c>
    </row>
    <row r="145" spans="1:41" x14ac:dyDescent="0.2">
      <c r="A145" s="14" t="s">
        <v>178</v>
      </c>
      <c r="B145" s="13" t="s">
        <v>15</v>
      </c>
      <c r="C145" s="28">
        <v>625</v>
      </c>
      <c r="D145" s="44">
        <v>625</v>
      </c>
      <c r="E145" s="44"/>
      <c r="F145" s="44">
        <v>300</v>
      </c>
      <c r="G145" s="44">
        <v>625</v>
      </c>
      <c r="H145" s="44"/>
      <c r="I145" s="44">
        <v>1595</v>
      </c>
      <c r="J145" s="44">
        <v>625</v>
      </c>
      <c r="K145" s="44"/>
      <c r="L145" s="44">
        <v>1118.02</v>
      </c>
      <c r="M145" s="44">
        <v>625</v>
      </c>
      <c r="N145" s="44"/>
      <c r="O145" s="44">
        <v>3495.18</v>
      </c>
      <c r="P145" s="44">
        <v>625</v>
      </c>
      <c r="Q145" s="44"/>
      <c r="R145" s="44">
        <v>99</v>
      </c>
      <c r="S145" s="44">
        <v>625</v>
      </c>
      <c r="T145" s="44"/>
      <c r="U145" s="44">
        <v>1633.08</v>
      </c>
      <c r="V145" s="44">
        <v>625</v>
      </c>
      <c r="W145" s="44"/>
      <c r="X145" s="44">
        <v>41.99</v>
      </c>
      <c r="Y145" s="44">
        <v>625</v>
      </c>
      <c r="Z145" s="44"/>
      <c r="AA145" s="44">
        <v>855</v>
      </c>
      <c r="AB145" s="44">
        <v>625</v>
      </c>
      <c r="AC145" s="44"/>
      <c r="AD145" s="44">
        <v>649</v>
      </c>
      <c r="AE145" s="44">
        <v>625</v>
      </c>
      <c r="AF145" s="44"/>
      <c r="AG145" s="44">
        <v>1453</v>
      </c>
      <c r="AH145" s="44">
        <v>625</v>
      </c>
      <c r="AI145" s="44"/>
      <c r="AJ145" s="44"/>
      <c r="AK145" s="44"/>
      <c r="AL145" s="27">
        <f t="shared" si="25"/>
        <v>11864.269999999999</v>
      </c>
      <c r="AM145" s="27">
        <f t="shared" si="26"/>
        <v>6875</v>
      </c>
      <c r="AN145" s="28"/>
      <c r="AO145" s="20">
        <v>7500</v>
      </c>
    </row>
    <row r="146" spans="1:41" x14ac:dyDescent="0.2">
      <c r="A146" s="14" t="s">
        <v>177</v>
      </c>
      <c r="B146" s="13" t="s">
        <v>13</v>
      </c>
      <c r="C146" s="28">
        <v>929.89</v>
      </c>
      <c r="D146" s="44">
        <v>833</v>
      </c>
      <c r="E146" s="44"/>
      <c r="F146" s="44">
        <v>732.22</v>
      </c>
      <c r="G146" s="44">
        <v>833</v>
      </c>
      <c r="H146" s="44"/>
      <c r="I146" s="44">
        <v>1743.18</v>
      </c>
      <c r="J146" s="44">
        <v>833</v>
      </c>
      <c r="K146" s="44"/>
      <c r="L146" s="44">
        <v>1156.8</v>
      </c>
      <c r="M146" s="44">
        <v>833</v>
      </c>
      <c r="N146" s="44"/>
      <c r="O146" s="44">
        <v>836.1</v>
      </c>
      <c r="P146" s="44">
        <v>833</v>
      </c>
      <c r="Q146" s="44"/>
      <c r="R146" s="44">
        <v>888.51</v>
      </c>
      <c r="S146" s="44">
        <v>834</v>
      </c>
      <c r="T146" s="44"/>
      <c r="U146" s="44">
        <v>739.51</v>
      </c>
      <c r="V146" s="44">
        <v>833</v>
      </c>
      <c r="W146" s="44"/>
      <c r="X146" s="44">
        <v>1088.9000000000001</v>
      </c>
      <c r="Y146" s="44">
        <v>834</v>
      </c>
      <c r="Z146" s="44"/>
      <c r="AA146" s="44">
        <v>580.33000000000004</v>
      </c>
      <c r="AB146" s="44">
        <v>833</v>
      </c>
      <c r="AC146" s="44"/>
      <c r="AD146" s="44">
        <v>663.87</v>
      </c>
      <c r="AE146" s="44">
        <v>834</v>
      </c>
      <c r="AF146" s="44"/>
      <c r="AG146" s="44">
        <v>687.3</v>
      </c>
      <c r="AH146" s="44">
        <v>833</v>
      </c>
      <c r="AI146" s="44"/>
      <c r="AJ146" s="44"/>
      <c r="AK146" s="44"/>
      <c r="AL146" s="27">
        <f t="shared" si="25"/>
        <v>10046.61</v>
      </c>
      <c r="AM146" s="27">
        <f t="shared" si="26"/>
        <v>9166</v>
      </c>
      <c r="AN146" s="28"/>
      <c r="AO146" s="20">
        <v>10000</v>
      </c>
    </row>
    <row r="147" spans="1:41" x14ac:dyDescent="0.2">
      <c r="A147" s="14" t="s">
        <v>176</v>
      </c>
      <c r="B147" s="13" t="s">
        <v>9</v>
      </c>
      <c r="C147" s="28">
        <v>314.95</v>
      </c>
      <c r="D147" s="44">
        <v>416</v>
      </c>
      <c r="E147" s="44"/>
      <c r="F147" s="44">
        <v>116.95</v>
      </c>
      <c r="G147" s="44">
        <v>417</v>
      </c>
      <c r="H147" s="44"/>
      <c r="I147" s="44">
        <v>173.77</v>
      </c>
      <c r="J147" s="44">
        <v>416</v>
      </c>
      <c r="K147" s="44"/>
      <c r="L147" s="44">
        <v>167.79</v>
      </c>
      <c r="M147" s="44">
        <v>417</v>
      </c>
      <c r="N147" s="44"/>
      <c r="O147" s="44">
        <v>259</v>
      </c>
      <c r="P147" s="44">
        <v>416</v>
      </c>
      <c r="Q147" s="44"/>
      <c r="R147" s="44">
        <v>279.99</v>
      </c>
      <c r="S147" s="44">
        <v>417</v>
      </c>
      <c r="T147" s="44"/>
      <c r="U147" s="44">
        <v>209.97</v>
      </c>
      <c r="V147" s="44">
        <v>416</v>
      </c>
      <c r="W147" s="44"/>
      <c r="X147" s="44">
        <v>415.52</v>
      </c>
      <c r="Y147" s="44">
        <v>417</v>
      </c>
      <c r="Z147" s="44"/>
      <c r="AA147" s="44">
        <v>1562.43</v>
      </c>
      <c r="AB147" s="44">
        <v>417</v>
      </c>
      <c r="AC147" s="44"/>
      <c r="AD147" s="44"/>
      <c r="AE147" s="44">
        <v>417</v>
      </c>
      <c r="AF147" s="44"/>
      <c r="AG147" s="44">
        <v>358.95</v>
      </c>
      <c r="AH147" s="44">
        <v>417</v>
      </c>
      <c r="AI147" s="44"/>
      <c r="AJ147" s="44"/>
      <c r="AK147" s="44"/>
      <c r="AL147" s="27">
        <f t="shared" si="25"/>
        <v>3859.3199999999997</v>
      </c>
      <c r="AM147" s="27">
        <f t="shared" si="26"/>
        <v>4583</v>
      </c>
      <c r="AN147" s="28"/>
      <c r="AO147" s="20">
        <v>5000</v>
      </c>
    </row>
    <row r="148" spans="1:41" x14ac:dyDescent="0.2">
      <c r="A148" s="14">
        <v>6022050</v>
      </c>
      <c r="B148" s="13" t="s">
        <v>375</v>
      </c>
      <c r="C148" s="28">
        <v>16118.84</v>
      </c>
      <c r="D148" s="44">
        <v>0</v>
      </c>
      <c r="E148" s="44"/>
      <c r="F148" s="44">
        <v>205632.1</v>
      </c>
      <c r="G148" s="44">
        <v>0</v>
      </c>
      <c r="H148" s="44"/>
      <c r="I148" s="44">
        <v>586997.51</v>
      </c>
      <c r="J148" s="44">
        <v>0</v>
      </c>
      <c r="K148" s="44"/>
      <c r="L148" s="44">
        <v>219527.76</v>
      </c>
      <c r="M148" s="44">
        <v>0</v>
      </c>
      <c r="N148" s="44"/>
      <c r="O148" s="44">
        <v>732679.17</v>
      </c>
      <c r="P148" s="44">
        <v>0</v>
      </c>
      <c r="Q148" s="44"/>
      <c r="R148" s="44">
        <v>5355.01</v>
      </c>
      <c r="S148" s="44">
        <v>0</v>
      </c>
      <c r="T148" s="44"/>
      <c r="U148" s="44">
        <v>580612.65</v>
      </c>
      <c r="V148" s="44">
        <v>0</v>
      </c>
      <c r="W148" s="44"/>
      <c r="X148" s="44">
        <v>741089.19</v>
      </c>
      <c r="Y148" s="44">
        <v>0</v>
      </c>
      <c r="Z148" s="44"/>
      <c r="AA148" s="44">
        <v>713576.77</v>
      </c>
      <c r="AB148" s="44">
        <v>0</v>
      </c>
      <c r="AC148" s="44"/>
      <c r="AD148" s="44">
        <v>797404.99</v>
      </c>
      <c r="AE148" s="44"/>
      <c r="AF148" s="44"/>
      <c r="AG148" s="44">
        <v>923316.33</v>
      </c>
      <c r="AH148" s="44">
        <v>0</v>
      </c>
      <c r="AI148" s="44"/>
      <c r="AJ148" s="44"/>
      <c r="AK148" s="44"/>
      <c r="AL148" s="122">
        <f t="shared" si="25"/>
        <v>5522310.3200000003</v>
      </c>
      <c r="AM148" s="27">
        <f t="shared" si="26"/>
        <v>0</v>
      </c>
      <c r="AN148" s="28"/>
      <c r="AO148" s="20">
        <v>0</v>
      </c>
    </row>
    <row r="149" spans="1:41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>
        <v>0</v>
      </c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</row>
    <row r="150" spans="1:41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804989.26</v>
      </c>
      <c r="P150" s="31">
        <f>SUM(P125:P148)</f>
        <v>59691</v>
      </c>
      <c r="Q150" s="34"/>
      <c r="R150" s="31">
        <f>SUM(R125:R149)</f>
        <v>73369.799999999988</v>
      </c>
      <c r="S150" s="31">
        <f>SUM(S125:S149)</f>
        <v>59691</v>
      </c>
      <c r="T150" s="34"/>
      <c r="U150" s="31">
        <f>SUM(U125:U148)</f>
        <v>650368.73</v>
      </c>
      <c r="V150" s="31">
        <f>SUM(V125:V148)</f>
        <v>58700</v>
      </c>
      <c r="W150" s="34"/>
      <c r="X150" s="31">
        <f>SUM(X125:X148)</f>
        <v>805229.0199999999</v>
      </c>
      <c r="Y150" s="31">
        <f>SUM(Y125:Y148)</f>
        <v>58701</v>
      </c>
      <c r="Z150" s="34"/>
      <c r="AA150" s="31">
        <f>SUM(AA125:AA148)</f>
        <v>794736.64000000001</v>
      </c>
      <c r="AB150" s="31">
        <f>SUM(AB125:AB148)</f>
        <v>75568</v>
      </c>
      <c r="AC150" s="34"/>
      <c r="AD150" s="31">
        <f>SUM(AD125:AD148)</f>
        <v>862612.57</v>
      </c>
      <c r="AE150" s="31">
        <f>SUM(AE125:AE148)</f>
        <v>58719</v>
      </c>
      <c r="AF150" s="34"/>
      <c r="AG150" s="31">
        <f>SUM(AG125:AG148)</f>
        <v>991849.36099999992</v>
      </c>
      <c r="AH150" s="31">
        <f>SUM(AH125:AH148)</f>
        <v>58697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6280437.2609999999</v>
      </c>
      <c r="AM150" s="31">
        <f>SUM(AM125:AM148)</f>
        <v>685424</v>
      </c>
      <c r="AN150" s="34"/>
      <c r="AO150" s="31">
        <f>SUM(AO125:AO148)</f>
        <v>744123</v>
      </c>
    </row>
    <row r="151" spans="1:41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</row>
    <row r="152" spans="1:41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>
        <v>6668.24</v>
      </c>
      <c r="P152" s="28">
        <v>4745</v>
      </c>
      <c r="Q152" s="28"/>
      <c r="R152" s="28">
        <v>7205.96</v>
      </c>
      <c r="S152" s="28">
        <v>4745</v>
      </c>
      <c r="T152" s="28"/>
      <c r="U152" s="28">
        <v>6072.77</v>
      </c>
      <c r="V152" s="28">
        <v>4744</v>
      </c>
      <c r="W152" s="28"/>
      <c r="X152" s="28">
        <v>6693.5</v>
      </c>
      <c r="Y152" s="28">
        <v>5913</v>
      </c>
      <c r="Z152" s="28"/>
      <c r="AA152" s="28">
        <v>6929.81</v>
      </c>
      <c r="AB152" s="28">
        <v>8870</v>
      </c>
      <c r="AC152" s="28"/>
      <c r="AD152" s="28">
        <v>5910.13</v>
      </c>
      <c r="AE152" s="28">
        <v>5913</v>
      </c>
      <c r="AF152" s="28"/>
      <c r="AG152" s="28">
        <v>6029.33</v>
      </c>
      <c r="AH152" s="28">
        <v>5913</v>
      </c>
      <c r="AI152" s="28"/>
      <c r="AJ152" s="28"/>
      <c r="AK152" s="28"/>
      <c r="AL152" s="27">
        <f t="shared" ref="AL152:AL174" si="31">+C152+F152+I152+L152+O152+R152+U152+X152+AA152+AD152+AG152+AJ152</f>
        <v>74686.41</v>
      </c>
      <c r="AM152" s="27">
        <f t="shared" ref="AM152:AM174" si="32">+D152+G152+J152+M152+P152+S152+V152+Y152+AB152+AE152+AH152+AK152</f>
        <v>63949</v>
      </c>
      <c r="AN152" s="28"/>
      <c r="AO152" s="20">
        <v>76871</v>
      </c>
    </row>
    <row r="153" spans="1:41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>
        <v>620.55999999999995</v>
      </c>
      <c r="P153" s="28">
        <v>1168</v>
      </c>
      <c r="Q153" s="28"/>
      <c r="R153" s="28">
        <v>1447.98</v>
      </c>
      <c r="S153" s="28">
        <v>1168</v>
      </c>
      <c r="T153" s="28"/>
      <c r="U153" s="28">
        <v>1419.93</v>
      </c>
      <c r="V153" s="28">
        <v>1169</v>
      </c>
      <c r="W153" s="28"/>
      <c r="X153" s="28">
        <v>636.34</v>
      </c>
      <c r="Y153" s="28">
        <v>0</v>
      </c>
      <c r="Z153" s="28"/>
      <c r="AA153" s="28">
        <v>876.5</v>
      </c>
      <c r="AB153" s="28">
        <v>0</v>
      </c>
      <c r="AC153" s="28"/>
      <c r="AD153" s="28">
        <v>52.58</v>
      </c>
      <c r="AE153" s="28">
        <v>0</v>
      </c>
      <c r="AF153" s="28"/>
      <c r="AG153" s="28">
        <v>158.80000000000001</v>
      </c>
      <c r="AH153" s="28">
        <v>0</v>
      </c>
      <c r="AI153" s="28"/>
      <c r="AJ153" s="28"/>
      <c r="AK153" s="28"/>
      <c r="AL153" s="27">
        <f t="shared" ref="AL153" si="33">+C153+F153+I153+L153+O153+R153+U153+X153+AA153+AD153+AG153+AJ153</f>
        <v>8067.7500000000009</v>
      </c>
      <c r="AM153" s="27">
        <f t="shared" ref="AM153" si="34">+D153+G153+J153+M153+P153+S153+V153+Y153+AB153+AE153+AH153+AK153</f>
        <v>7009</v>
      </c>
      <c r="AN153" s="28"/>
      <c r="AO153" s="20">
        <v>0</v>
      </c>
    </row>
    <row r="154" spans="1:41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>
        <v>537.66</v>
      </c>
      <c r="P154" s="28">
        <v>473</v>
      </c>
      <c r="Q154" s="28"/>
      <c r="R154" s="28">
        <v>629.84</v>
      </c>
      <c r="S154" s="28">
        <v>473</v>
      </c>
      <c r="T154" s="28"/>
      <c r="U154" s="28">
        <v>584.91999999999996</v>
      </c>
      <c r="V154" s="28">
        <v>473</v>
      </c>
      <c r="W154" s="28"/>
      <c r="X154" s="28">
        <v>533.91999999999996</v>
      </c>
      <c r="Y154" s="28">
        <v>473</v>
      </c>
      <c r="Z154" s="28"/>
      <c r="AA154" s="28">
        <v>670.11</v>
      </c>
      <c r="AB154" s="28">
        <v>710</v>
      </c>
      <c r="AC154" s="28"/>
      <c r="AD154" s="28">
        <v>637.01</v>
      </c>
      <c r="AE154" s="28">
        <v>473</v>
      </c>
      <c r="AF154" s="28"/>
      <c r="AG154" s="28">
        <v>548.41</v>
      </c>
      <c r="AH154" s="28">
        <v>473</v>
      </c>
      <c r="AI154" s="28"/>
      <c r="AJ154" s="28"/>
      <c r="AK154" s="28"/>
      <c r="AL154" s="27">
        <f t="shared" si="31"/>
        <v>6464.37</v>
      </c>
      <c r="AM154" s="27">
        <f t="shared" si="32"/>
        <v>5677</v>
      </c>
      <c r="AN154" s="28"/>
      <c r="AO154" s="20">
        <v>6150</v>
      </c>
    </row>
    <row r="155" spans="1:41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>
        <v>3603.5</v>
      </c>
      <c r="P155" s="28">
        <v>3789</v>
      </c>
      <c r="Q155" s="28"/>
      <c r="R155" s="28">
        <v>3603.5</v>
      </c>
      <c r="S155" s="28">
        <v>3789</v>
      </c>
      <c r="T155" s="28"/>
      <c r="U155" s="28">
        <v>3603.5</v>
      </c>
      <c r="V155" s="28">
        <v>3789</v>
      </c>
      <c r="W155" s="28"/>
      <c r="X155" s="28">
        <v>3603.5</v>
      </c>
      <c r="Y155" s="28">
        <v>3789</v>
      </c>
      <c r="Z155" s="28"/>
      <c r="AA155" s="28">
        <v>3603.5</v>
      </c>
      <c r="AB155" s="28">
        <v>3789</v>
      </c>
      <c r="AC155" s="28"/>
      <c r="AD155" s="28">
        <v>3631.46</v>
      </c>
      <c r="AE155" s="28">
        <v>3789</v>
      </c>
      <c r="AF155" s="28"/>
      <c r="AG155" s="28">
        <v>3631.46</v>
      </c>
      <c r="AH155" s="28">
        <v>3789</v>
      </c>
      <c r="AI155" s="28"/>
      <c r="AJ155" s="28"/>
      <c r="AK155" s="28"/>
      <c r="AL155" s="27">
        <f t="shared" si="31"/>
        <v>39301.599999999999</v>
      </c>
      <c r="AM155" s="27">
        <f t="shared" si="32"/>
        <v>41681</v>
      </c>
      <c r="AN155" s="28"/>
      <c r="AO155" s="20">
        <v>45470</v>
      </c>
    </row>
    <row r="156" spans="1:41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>
        <v>0</v>
      </c>
      <c r="P156" s="28">
        <v>0</v>
      </c>
      <c r="Q156" s="28"/>
      <c r="R156" s="28">
        <v>0</v>
      </c>
      <c r="S156" s="28">
        <v>0</v>
      </c>
      <c r="T156" s="28"/>
      <c r="U156" s="28">
        <v>0</v>
      </c>
      <c r="V156" s="28">
        <v>0</v>
      </c>
      <c r="W156" s="28"/>
      <c r="X156" s="28">
        <v>0</v>
      </c>
      <c r="Y156" s="28">
        <v>0</v>
      </c>
      <c r="Z156" s="28"/>
      <c r="AA156" s="28">
        <v>0</v>
      </c>
      <c r="AB156" s="28">
        <v>0</v>
      </c>
      <c r="AC156" s="28"/>
      <c r="AD156" s="28">
        <v>0</v>
      </c>
      <c r="AE156" s="28">
        <v>0</v>
      </c>
      <c r="AF156" s="28"/>
      <c r="AG156" s="28">
        <v>0</v>
      </c>
      <c r="AH156" s="28">
        <v>0</v>
      </c>
      <c r="AI156" s="28"/>
      <c r="AJ156" s="28"/>
      <c r="AK156" s="28"/>
      <c r="AL156" s="27">
        <f t="shared" si="31"/>
        <v>0</v>
      </c>
      <c r="AM156" s="27">
        <f t="shared" si="32"/>
        <v>500</v>
      </c>
      <c r="AN156" s="28"/>
      <c r="AO156" s="20">
        <v>500</v>
      </c>
    </row>
    <row r="157" spans="1:41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>
        <v>26.54</v>
      </c>
      <c r="P157" s="28">
        <v>26</v>
      </c>
      <c r="Q157" s="28"/>
      <c r="R157" s="28">
        <v>26.87</v>
      </c>
      <c r="S157" s="28">
        <v>26</v>
      </c>
      <c r="T157" s="28"/>
      <c r="U157" s="28">
        <v>26.87</v>
      </c>
      <c r="V157" s="28">
        <v>26</v>
      </c>
      <c r="W157" s="28"/>
      <c r="X157" s="28">
        <v>88.2</v>
      </c>
      <c r="Y157" s="28">
        <v>26</v>
      </c>
      <c r="Z157" s="28"/>
      <c r="AA157" s="28">
        <v>26.87</v>
      </c>
      <c r="AB157" s="28">
        <v>39</v>
      </c>
      <c r="AC157" s="28"/>
      <c r="AD157" s="28">
        <v>26.87</v>
      </c>
      <c r="AE157" s="28">
        <v>26</v>
      </c>
      <c r="AF157" s="28"/>
      <c r="AG157" s="28">
        <v>26.87</v>
      </c>
      <c r="AH157" s="28">
        <v>26</v>
      </c>
      <c r="AI157" s="28"/>
      <c r="AJ157" s="28"/>
      <c r="AK157" s="28"/>
      <c r="AL157" s="27">
        <f t="shared" si="31"/>
        <v>355.25</v>
      </c>
      <c r="AM157" s="27">
        <f t="shared" si="32"/>
        <v>313</v>
      </c>
      <c r="AN157" s="28"/>
      <c r="AO157" s="20">
        <v>339</v>
      </c>
    </row>
    <row r="158" spans="1:41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>
        <v>25281.97</v>
      </c>
      <c r="P158" s="28">
        <v>21072</v>
      </c>
      <c r="Q158" s="28"/>
      <c r="R158" s="28">
        <v>20380.48</v>
      </c>
      <c r="S158" s="28">
        <v>21073</v>
      </c>
      <c r="T158" s="28"/>
      <c r="U158" s="28">
        <v>99.45</v>
      </c>
      <c r="V158" s="28">
        <v>0</v>
      </c>
      <c r="W158" s="28"/>
      <c r="X158" s="28">
        <v>0</v>
      </c>
      <c r="Y158" s="28">
        <v>0</v>
      </c>
      <c r="Z158" s="28"/>
      <c r="AA158" s="28">
        <v>0</v>
      </c>
      <c r="AB158" s="28">
        <v>0</v>
      </c>
      <c r="AC158" s="28"/>
      <c r="AD158" s="28">
        <v>0</v>
      </c>
      <c r="AE158" s="28">
        <v>0</v>
      </c>
      <c r="AF158" s="28"/>
      <c r="AG158" s="28">
        <v>0</v>
      </c>
      <c r="AH158" s="28">
        <v>0</v>
      </c>
      <c r="AI158" s="28"/>
      <c r="AJ158" s="28"/>
      <c r="AK158" s="28"/>
      <c r="AL158" s="27">
        <f t="shared" si="31"/>
        <v>110285.89</v>
      </c>
      <c r="AM158" s="27">
        <f t="shared" si="32"/>
        <v>94825</v>
      </c>
      <c r="AN158" s="28"/>
      <c r="AO158" s="20">
        <v>94825</v>
      </c>
    </row>
    <row r="159" spans="1:41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>
        <v>118.2</v>
      </c>
      <c r="P159" s="28">
        <v>0</v>
      </c>
      <c r="Q159" s="28"/>
      <c r="R159" s="28">
        <v>144.03</v>
      </c>
      <c r="S159" s="28">
        <v>0</v>
      </c>
      <c r="T159" s="28"/>
      <c r="U159" s="28">
        <v>0</v>
      </c>
      <c r="V159" s="28">
        <v>0</v>
      </c>
      <c r="W159" s="28"/>
      <c r="X159" s="28">
        <v>0</v>
      </c>
      <c r="Y159" s="28">
        <v>0</v>
      </c>
      <c r="Z159" s="28"/>
      <c r="AA159" s="28">
        <v>0</v>
      </c>
      <c r="AB159" s="28">
        <v>0</v>
      </c>
      <c r="AC159" s="28"/>
      <c r="AD159" s="28">
        <v>0</v>
      </c>
      <c r="AE159" s="28">
        <v>0</v>
      </c>
      <c r="AF159" s="28"/>
      <c r="AG159" s="28">
        <v>0</v>
      </c>
      <c r="AH159" s="28">
        <v>0</v>
      </c>
      <c r="AI159" s="28"/>
      <c r="AJ159" s="28"/>
      <c r="AK159" s="28"/>
      <c r="AL159" s="27">
        <f t="shared" ref="AL159" si="35">+C159+F159+I159+L159+O159+R159+U159+X159+AA159+AD159+AG159+AJ159</f>
        <v>614.58000000000004</v>
      </c>
      <c r="AM159" s="27">
        <f t="shared" ref="AM159" si="36">+D159+G159+J159+M159+P159+S159+V159+Y159+AB159+AE159+AH159+AK159</f>
        <v>0</v>
      </c>
      <c r="AN159" s="28"/>
      <c r="AO159" s="20">
        <v>0</v>
      </c>
    </row>
    <row r="160" spans="1:41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>
        <v>1315.26</v>
      </c>
      <c r="P160" s="28">
        <v>2100</v>
      </c>
      <c r="Q160" s="28"/>
      <c r="R160" s="28">
        <v>712.69</v>
      </c>
      <c r="S160" s="28">
        <v>2100</v>
      </c>
      <c r="T160" s="28"/>
      <c r="U160" s="28">
        <v>7.62</v>
      </c>
      <c r="V160" s="28">
        <v>0</v>
      </c>
      <c r="W160" s="28"/>
      <c r="X160" s="28">
        <v>0</v>
      </c>
      <c r="Y160" s="28">
        <v>0</v>
      </c>
      <c r="Z160" s="28"/>
      <c r="AA160" s="28">
        <v>0</v>
      </c>
      <c r="AB160" s="28">
        <v>0</v>
      </c>
      <c r="AC160" s="28"/>
      <c r="AD160" s="28">
        <v>0</v>
      </c>
      <c r="AE160" s="28">
        <v>0</v>
      </c>
      <c r="AF160" s="28"/>
      <c r="AG160" s="28">
        <v>0</v>
      </c>
      <c r="AH160" s="28">
        <v>0</v>
      </c>
      <c r="AI160" s="28"/>
      <c r="AJ160" s="28"/>
      <c r="AK160" s="28"/>
      <c r="AL160" s="27">
        <f t="shared" si="31"/>
        <v>5790.28</v>
      </c>
      <c r="AM160" s="27">
        <f t="shared" si="32"/>
        <v>9450</v>
      </c>
      <c r="AN160" s="28"/>
      <c r="AO160" s="20">
        <v>9450</v>
      </c>
    </row>
    <row r="161" spans="1:41" x14ac:dyDescent="0.2">
      <c r="A161" s="14" t="s">
        <v>167</v>
      </c>
      <c r="B161" s="13" t="s">
        <v>32</v>
      </c>
      <c r="C161" s="28">
        <v>3102.32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>
        <v>0</v>
      </c>
      <c r="P161" s="28">
        <v>0</v>
      </c>
      <c r="Q161" s="28"/>
      <c r="R161" s="28">
        <v>0</v>
      </c>
      <c r="S161" s="28">
        <v>0</v>
      </c>
      <c r="T161" s="28"/>
      <c r="U161" s="28">
        <v>0</v>
      </c>
      <c r="V161" s="28">
        <v>0</v>
      </c>
      <c r="W161" s="28"/>
      <c r="X161" s="28">
        <v>0</v>
      </c>
      <c r="Y161" s="28">
        <v>0</v>
      </c>
      <c r="Z161" s="28"/>
      <c r="AA161" s="28">
        <v>0</v>
      </c>
      <c r="AB161" s="28">
        <v>0</v>
      </c>
      <c r="AC161" s="28"/>
      <c r="AD161" s="28">
        <v>0</v>
      </c>
      <c r="AE161" s="28">
        <v>0</v>
      </c>
      <c r="AF161" s="28"/>
      <c r="AG161" s="28">
        <v>0</v>
      </c>
      <c r="AH161" s="28">
        <v>0</v>
      </c>
      <c r="AI161" s="28"/>
      <c r="AJ161" s="28"/>
      <c r="AK161" s="28"/>
      <c r="AL161" s="27">
        <f t="shared" si="31"/>
        <v>3102.32</v>
      </c>
      <c r="AM161" s="27">
        <f t="shared" si="32"/>
        <v>3000</v>
      </c>
      <c r="AN161" s="28"/>
      <c r="AO161" s="20">
        <v>3000</v>
      </c>
    </row>
    <row r="162" spans="1:41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>
        <v>29.83</v>
      </c>
      <c r="P162" s="28">
        <v>33</v>
      </c>
      <c r="Q162" s="28"/>
      <c r="R162" s="28">
        <v>33.14</v>
      </c>
      <c r="S162" s="28">
        <v>33</v>
      </c>
      <c r="T162" s="28"/>
      <c r="U162" s="28">
        <v>33.14</v>
      </c>
      <c r="V162" s="28">
        <v>32</v>
      </c>
      <c r="W162" s="28"/>
      <c r="X162" s="28">
        <v>102.05</v>
      </c>
      <c r="Y162" s="28">
        <v>32</v>
      </c>
      <c r="Z162" s="28"/>
      <c r="AA162" s="28">
        <v>33.14</v>
      </c>
      <c r="AB162" s="28">
        <v>32</v>
      </c>
      <c r="AC162" s="28"/>
      <c r="AD162" s="28">
        <v>33.14</v>
      </c>
      <c r="AE162" s="28">
        <v>48</v>
      </c>
      <c r="AF162" s="28"/>
      <c r="AG162" s="28">
        <v>33.14</v>
      </c>
      <c r="AH162" s="28">
        <v>32</v>
      </c>
      <c r="AI162" s="28"/>
      <c r="AJ162" s="28"/>
      <c r="AK162" s="28"/>
      <c r="AL162" s="27">
        <f t="shared" si="31"/>
        <v>416.89999999999992</v>
      </c>
      <c r="AM162" s="27">
        <f t="shared" si="32"/>
        <v>388</v>
      </c>
      <c r="AN162" s="28"/>
      <c r="AO162" s="20">
        <v>420</v>
      </c>
    </row>
    <row r="163" spans="1:41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650.6</v>
      </c>
      <c r="M163" s="28">
        <v>834</v>
      </c>
      <c r="N163" s="28"/>
      <c r="O163" s="28">
        <v>883.7</v>
      </c>
      <c r="P163" s="28">
        <v>833</v>
      </c>
      <c r="Q163" s="28"/>
      <c r="R163" s="28">
        <v>604.5</v>
      </c>
      <c r="S163" s="28">
        <v>833</v>
      </c>
      <c r="T163" s="28"/>
      <c r="U163" s="28">
        <v>604.58000000000004</v>
      </c>
      <c r="V163" s="28">
        <v>833</v>
      </c>
      <c r="W163" s="28"/>
      <c r="X163" s="28">
        <v>279.27999999999997</v>
      </c>
      <c r="Y163" s="28">
        <v>834</v>
      </c>
      <c r="Z163" s="28"/>
      <c r="AA163" s="28">
        <v>937.94</v>
      </c>
      <c r="AB163" s="28">
        <v>833</v>
      </c>
      <c r="AC163" s="28"/>
      <c r="AD163" s="28">
        <v>612.64</v>
      </c>
      <c r="AE163" s="28">
        <v>833</v>
      </c>
      <c r="AF163" s="28"/>
      <c r="AG163" s="28">
        <v>333.36</v>
      </c>
      <c r="AH163" s="28">
        <v>833</v>
      </c>
      <c r="AI163" s="28"/>
      <c r="AJ163" s="28"/>
      <c r="AK163" s="28"/>
      <c r="AL163" s="27">
        <f t="shared" si="31"/>
        <v>10683.490000000002</v>
      </c>
      <c r="AM163" s="27">
        <f t="shared" si="32"/>
        <v>9166</v>
      </c>
      <c r="AN163" s="28"/>
      <c r="AO163" s="20">
        <v>10000</v>
      </c>
    </row>
    <row r="164" spans="1:41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>
        <v>320</v>
      </c>
      <c r="P164" s="28">
        <v>283</v>
      </c>
      <c r="Q164" s="28"/>
      <c r="R164" s="28">
        <v>0</v>
      </c>
      <c r="S164" s="28">
        <v>284</v>
      </c>
      <c r="T164" s="28"/>
      <c r="U164" s="28">
        <v>200</v>
      </c>
      <c r="V164" s="28">
        <v>283</v>
      </c>
      <c r="W164" s="28"/>
      <c r="X164" s="28">
        <v>280</v>
      </c>
      <c r="Y164" s="28">
        <v>284</v>
      </c>
      <c r="Z164" s="28"/>
      <c r="AA164" s="28">
        <v>200</v>
      </c>
      <c r="AB164" s="28">
        <v>283</v>
      </c>
      <c r="AC164" s="28"/>
      <c r="AD164" s="28"/>
      <c r="AE164" s="28">
        <v>283</v>
      </c>
      <c r="AF164" s="28"/>
      <c r="AG164" s="28">
        <v>120</v>
      </c>
      <c r="AH164" s="28">
        <v>283</v>
      </c>
      <c r="AI164" s="28"/>
      <c r="AJ164" s="28"/>
      <c r="AK164" s="28"/>
      <c r="AL164" s="27">
        <f t="shared" si="31"/>
        <v>1640</v>
      </c>
      <c r="AM164" s="27">
        <f t="shared" si="32"/>
        <v>3117</v>
      </c>
      <c r="AN164" s="28"/>
      <c r="AO164" s="20">
        <v>3400</v>
      </c>
    </row>
    <row r="165" spans="1:41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>
        <v>0</v>
      </c>
      <c r="P165" s="28">
        <v>0</v>
      </c>
      <c r="Q165" s="28"/>
      <c r="R165" s="28">
        <v>246</v>
      </c>
      <c r="S165" s="28">
        <v>0</v>
      </c>
      <c r="T165" s="28"/>
      <c r="U165" s="28">
        <v>24.97</v>
      </c>
      <c r="V165" s="28">
        <v>0</v>
      </c>
      <c r="W165" s="28"/>
      <c r="X165" s="28">
        <v>0</v>
      </c>
      <c r="Y165" s="28">
        <v>0</v>
      </c>
      <c r="Z165" s="28"/>
      <c r="AA165" s="28">
        <v>0</v>
      </c>
      <c r="AB165" s="28">
        <v>0</v>
      </c>
      <c r="AC165" s="28"/>
      <c r="AD165" s="28"/>
      <c r="AE165" s="28">
        <v>0</v>
      </c>
      <c r="AF165" s="28"/>
      <c r="AG165" s="28">
        <v>0</v>
      </c>
      <c r="AH165" s="28">
        <v>0</v>
      </c>
      <c r="AI165" s="28"/>
      <c r="AJ165" s="28"/>
      <c r="AK165" s="28"/>
      <c r="AL165" s="27">
        <f t="shared" si="31"/>
        <v>336.97</v>
      </c>
      <c r="AM165" s="27">
        <f t="shared" si="32"/>
        <v>0</v>
      </c>
      <c r="AN165" s="28"/>
      <c r="AO165" s="20">
        <v>0</v>
      </c>
    </row>
    <row r="166" spans="1:41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>
        <v>26.34</v>
      </c>
      <c r="P166" s="28">
        <v>25</v>
      </c>
      <c r="Q166" s="28"/>
      <c r="R166" s="28">
        <v>0</v>
      </c>
      <c r="S166" s="28">
        <v>25</v>
      </c>
      <c r="T166" s="28"/>
      <c r="U166" s="28">
        <v>0</v>
      </c>
      <c r="V166" s="28">
        <v>0</v>
      </c>
      <c r="W166" s="28"/>
      <c r="X166" s="28">
        <v>0</v>
      </c>
      <c r="Y166" s="28">
        <v>0</v>
      </c>
      <c r="Z166" s="28"/>
      <c r="AA166" s="28">
        <v>0</v>
      </c>
      <c r="AB166" s="28">
        <v>0</v>
      </c>
      <c r="AC166" s="28"/>
      <c r="AD166" s="28"/>
      <c r="AE166" s="28">
        <v>0</v>
      </c>
      <c r="AF166" s="28"/>
      <c r="AG166" s="28">
        <v>0</v>
      </c>
      <c r="AH166" s="28">
        <v>0</v>
      </c>
      <c r="AI166" s="28"/>
      <c r="AJ166" s="28"/>
      <c r="AK166" s="28"/>
      <c r="AL166" s="27">
        <f t="shared" si="31"/>
        <v>46.269999999999996</v>
      </c>
      <c r="AM166" s="27">
        <f t="shared" si="32"/>
        <v>100</v>
      </c>
      <c r="AN166" s="28"/>
      <c r="AO166" s="20">
        <v>100</v>
      </c>
    </row>
    <row r="167" spans="1:41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>
        <v>0</v>
      </c>
      <c r="P167" s="28">
        <v>84</v>
      </c>
      <c r="Q167" s="28"/>
      <c r="R167" s="28">
        <v>192</v>
      </c>
      <c r="S167" s="28">
        <v>83</v>
      </c>
      <c r="T167" s="28"/>
      <c r="U167" s="28">
        <v>106.88</v>
      </c>
      <c r="V167" s="28">
        <v>84</v>
      </c>
      <c r="W167" s="28"/>
      <c r="X167" s="28">
        <v>0</v>
      </c>
      <c r="Y167" s="28">
        <v>83</v>
      </c>
      <c r="Z167" s="28"/>
      <c r="AA167" s="28">
        <v>0</v>
      </c>
      <c r="AB167" s="28">
        <v>84</v>
      </c>
      <c r="AC167" s="28"/>
      <c r="AD167" s="28"/>
      <c r="AE167" s="28">
        <v>83</v>
      </c>
      <c r="AF167" s="28"/>
      <c r="AG167" s="28">
        <v>0</v>
      </c>
      <c r="AH167" s="28">
        <v>84</v>
      </c>
      <c r="AI167" s="28"/>
      <c r="AJ167" s="28"/>
      <c r="AK167" s="28"/>
      <c r="AL167" s="27">
        <f t="shared" si="31"/>
        <v>513.88</v>
      </c>
      <c r="AM167" s="27">
        <f t="shared" si="32"/>
        <v>917</v>
      </c>
      <c r="AN167" s="28"/>
      <c r="AO167" s="20">
        <v>1000</v>
      </c>
    </row>
    <row r="168" spans="1:41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>
        <v>26.89</v>
      </c>
      <c r="P168" s="28">
        <v>41</v>
      </c>
      <c r="Q168" s="28"/>
      <c r="R168" s="28">
        <v>26.89</v>
      </c>
      <c r="S168" s="28">
        <v>42</v>
      </c>
      <c r="T168" s="28"/>
      <c r="U168" s="28">
        <v>26.89</v>
      </c>
      <c r="V168" s="28">
        <v>41</v>
      </c>
      <c r="W168" s="28"/>
      <c r="X168" s="28">
        <v>26.89</v>
      </c>
      <c r="Y168" s="28">
        <v>42</v>
      </c>
      <c r="Z168" s="28"/>
      <c r="AA168" s="28">
        <v>26.89</v>
      </c>
      <c r="AB168" s="28">
        <v>42</v>
      </c>
      <c r="AC168" s="28"/>
      <c r="AD168" s="28">
        <v>26.89</v>
      </c>
      <c r="AE168" s="28">
        <v>42</v>
      </c>
      <c r="AF168" s="28"/>
      <c r="AG168" s="28">
        <v>26.89</v>
      </c>
      <c r="AH168" s="28">
        <v>42</v>
      </c>
      <c r="AI168" s="28"/>
      <c r="AJ168" s="28"/>
      <c r="AK168" s="28"/>
      <c r="AL168" s="27">
        <f t="shared" si="31"/>
        <v>268.89999999999992</v>
      </c>
      <c r="AM168" s="27">
        <f t="shared" si="32"/>
        <v>458</v>
      </c>
      <c r="AN168" s="28"/>
      <c r="AO168" s="20">
        <v>500</v>
      </c>
    </row>
    <row r="169" spans="1:41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>
        <v>0</v>
      </c>
      <c r="P169" s="28">
        <v>84</v>
      </c>
      <c r="Q169" s="28"/>
      <c r="R169" s="28">
        <v>0</v>
      </c>
      <c r="S169" s="28">
        <v>83</v>
      </c>
      <c r="T169" s="28"/>
      <c r="U169" s="28">
        <v>0</v>
      </c>
      <c r="V169" s="28">
        <v>84</v>
      </c>
      <c r="W169" s="28"/>
      <c r="X169" s="28">
        <v>0</v>
      </c>
      <c r="Y169" s="28">
        <v>83</v>
      </c>
      <c r="Z169" s="28"/>
      <c r="AA169" s="28">
        <v>0</v>
      </c>
      <c r="AB169" s="28">
        <v>83</v>
      </c>
      <c r="AC169" s="28"/>
      <c r="AD169" s="28"/>
      <c r="AE169" s="28">
        <v>83</v>
      </c>
      <c r="AF169" s="28"/>
      <c r="AG169" s="28">
        <v>0</v>
      </c>
      <c r="AH169" s="28">
        <v>83</v>
      </c>
      <c r="AI169" s="28"/>
      <c r="AJ169" s="28"/>
      <c r="AK169" s="28"/>
      <c r="AL169" s="27">
        <f t="shared" si="31"/>
        <v>0</v>
      </c>
      <c r="AM169" s="27">
        <f t="shared" si="32"/>
        <v>917</v>
      </c>
      <c r="AN169" s="28"/>
      <c r="AO169" s="20">
        <v>1000</v>
      </c>
    </row>
    <row r="170" spans="1:41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>
        <v>413.14</v>
      </c>
      <c r="P170" s="28">
        <v>208</v>
      </c>
      <c r="Q170" s="28"/>
      <c r="R170" s="28">
        <v>325.58</v>
      </c>
      <c r="S170" s="28">
        <v>209</v>
      </c>
      <c r="T170" s="28"/>
      <c r="U170" s="28">
        <v>361.79</v>
      </c>
      <c r="V170" s="28">
        <v>208</v>
      </c>
      <c r="W170" s="28"/>
      <c r="X170" s="28">
        <v>6.29</v>
      </c>
      <c r="Y170" s="28">
        <v>209</v>
      </c>
      <c r="Z170" s="28"/>
      <c r="AA170" s="28">
        <v>2</v>
      </c>
      <c r="AB170" s="28">
        <v>208</v>
      </c>
      <c r="AC170" s="28"/>
      <c r="AD170" s="28">
        <v>185.7</v>
      </c>
      <c r="AE170" s="28">
        <v>209</v>
      </c>
      <c r="AF170" s="28"/>
      <c r="AG170" s="28">
        <v>6.29</v>
      </c>
      <c r="AH170" s="28">
        <v>208</v>
      </c>
      <c r="AI170" s="28"/>
      <c r="AJ170" s="28"/>
      <c r="AK170" s="28"/>
      <c r="AL170" s="27">
        <f t="shared" si="31"/>
        <v>1966.8799999999999</v>
      </c>
      <c r="AM170" s="27">
        <f t="shared" si="32"/>
        <v>2291</v>
      </c>
      <c r="AN170" s="28"/>
      <c r="AO170" s="20">
        <v>2500</v>
      </c>
    </row>
    <row r="171" spans="1:41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>
        <v>75.36</v>
      </c>
      <c r="P171" s="28">
        <v>84</v>
      </c>
      <c r="Q171" s="28"/>
      <c r="R171" s="28">
        <v>29.95</v>
      </c>
      <c r="S171" s="28">
        <v>83</v>
      </c>
      <c r="T171" s="28"/>
      <c r="U171" s="28">
        <v>0</v>
      </c>
      <c r="V171" s="28">
        <v>84</v>
      </c>
      <c r="W171" s="28"/>
      <c r="X171" s="28">
        <v>0</v>
      </c>
      <c r="Y171" s="28">
        <v>83</v>
      </c>
      <c r="Z171" s="28"/>
      <c r="AA171" s="28">
        <v>0</v>
      </c>
      <c r="AB171" s="28">
        <v>83</v>
      </c>
      <c r="AC171" s="28"/>
      <c r="AD171" s="28"/>
      <c r="AE171" s="28">
        <v>83</v>
      </c>
      <c r="AF171" s="28"/>
      <c r="AG171" s="28">
        <v>0</v>
      </c>
      <c r="AH171" s="28">
        <v>83</v>
      </c>
      <c r="AI171" s="28"/>
      <c r="AJ171" s="28"/>
      <c r="AK171" s="28"/>
      <c r="AL171" s="27">
        <f t="shared" si="31"/>
        <v>297.75</v>
      </c>
      <c r="AM171" s="27">
        <f t="shared" si="32"/>
        <v>917</v>
      </c>
      <c r="AN171" s="28"/>
      <c r="AO171" s="20">
        <v>1000</v>
      </c>
    </row>
    <row r="172" spans="1:41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>
        <v>0</v>
      </c>
      <c r="P172" s="28">
        <v>0</v>
      </c>
      <c r="Q172" s="28"/>
      <c r="R172" s="28">
        <v>0</v>
      </c>
      <c r="S172" s="28">
        <v>0</v>
      </c>
      <c r="T172" s="28"/>
      <c r="U172" s="28">
        <v>0</v>
      </c>
      <c r="V172" s="28">
        <v>0</v>
      </c>
      <c r="W172" s="28"/>
      <c r="X172" s="28">
        <v>0</v>
      </c>
      <c r="Y172" s="28">
        <v>0</v>
      </c>
      <c r="Z172" s="28"/>
      <c r="AA172" s="28">
        <v>0</v>
      </c>
      <c r="AB172" s="28">
        <v>0</v>
      </c>
      <c r="AC172" s="28"/>
      <c r="AD172" s="28"/>
      <c r="AE172" s="28"/>
      <c r="AF172" s="28"/>
      <c r="AG172" s="28">
        <v>0</v>
      </c>
      <c r="AH172" s="28">
        <v>0</v>
      </c>
      <c r="AI172" s="28"/>
      <c r="AJ172" s="28"/>
      <c r="AK172" s="28"/>
      <c r="AL172" s="27">
        <f t="shared" si="31"/>
        <v>32.909999999999997</v>
      </c>
      <c r="AM172" s="27">
        <f t="shared" si="32"/>
        <v>1500</v>
      </c>
      <c r="AN172" s="28"/>
      <c r="AO172" s="20">
        <v>1500</v>
      </c>
    </row>
    <row r="173" spans="1:41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>
        <v>0</v>
      </c>
      <c r="P173" s="28">
        <v>0</v>
      </c>
      <c r="Q173" s="28"/>
      <c r="R173" s="28">
        <v>0</v>
      </c>
      <c r="S173" s="28">
        <v>0</v>
      </c>
      <c r="T173" s="28"/>
      <c r="U173" s="28">
        <v>0</v>
      </c>
      <c r="V173" s="28">
        <v>0</v>
      </c>
      <c r="W173" s="28"/>
      <c r="X173" s="28">
        <v>0</v>
      </c>
      <c r="Y173" s="28">
        <v>0</v>
      </c>
      <c r="Z173" s="28"/>
      <c r="AA173" s="28">
        <v>0</v>
      </c>
      <c r="AB173" s="28">
        <v>0</v>
      </c>
      <c r="AC173" s="28"/>
      <c r="AD173" s="28"/>
      <c r="AE173" s="28"/>
      <c r="AF173" s="28"/>
      <c r="AG173" s="28">
        <v>0</v>
      </c>
      <c r="AH173" s="28">
        <v>0</v>
      </c>
      <c r="AI173" s="28"/>
      <c r="AJ173" s="28"/>
      <c r="AK173" s="28"/>
      <c r="AL173" s="27">
        <f t="shared" si="31"/>
        <v>0</v>
      </c>
      <c r="AM173" s="27">
        <f t="shared" si="32"/>
        <v>0</v>
      </c>
      <c r="AN173" s="28"/>
      <c r="AO173" s="20">
        <v>0</v>
      </c>
    </row>
    <row r="174" spans="1:41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>
        <v>0</v>
      </c>
      <c r="P174" s="28">
        <v>0</v>
      </c>
      <c r="Q174" s="28"/>
      <c r="R174" s="28">
        <v>0</v>
      </c>
      <c r="S174" s="28">
        <v>0</v>
      </c>
      <c r="T174" s="28"/>
      <c r="U174" s="28">
        <v>0</v>
      </c>
      <c r="V174" s="28">
        <v>0</v>
      </c>
      <c r="W174" s="28"/>
      <c r="X174" s="28">
        <v>0</v>
      </c>
      <c r="Y174" s="28">
        <v>0</v>
      </c>
      <c r="Z174" s="28"/>
      <c r="AA174" s="28">
        <v>0</v>
      </c>
      <c r="AB174" s="28">
        <v>0</v>
      </c>
      <c r="AC174" s="28"/>
      <c r="AD174" s="28"/>
      <c r="AE174" s="28"/>
      <c r="AF174" s="28"/>
      <c r="AG174" s="28">
        <v>0</v>
      </c>
      <c r="AH174" s="28">
        <v>0</v>
      </c>
      <c r="AI174" s="28"/>
      <c r="AJ174" s="28"/>
      <c r="AK174" s="28"/>
      <c r="AL174" s="122">
        <f t="shared" si="31"/>
        <v>0</v>
      </c>
      <c r="AM174" s="27">
        <f t="shared" si="32"/>
        <v>0</v>
      </c>
      <c r="AN174" s="28"/>
      <c r="AO174" s="20">
        <v>0</v>
      </c>
    </row>
    <row r="175" spans="1:41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</row>
    <row r="176" spans="1:41" x14ac:dyDescent="0.2">
      <c r="A176" s="18"/>
      <c r="B176" s="17" t="s">
        <v>155</v>
      </c>
      <c r="C176" s="31">
        <f>SUM(C152:C174)</f>
        <v>13778.970000000001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61007.78</v>
      </c>
      <c r="M176" s="31">
        <f>SUM(M152:M174)</f>
        <v>49858</v>
      </c>
      <c r="N176" s="34"/>
      <c r="O176" s="31">
        <f>SUM(O152:O174)</f>
        <v>39947.189999999995</v>
      </c>
      <c r="P176" s="31">
        <f>SUM(P152:P174)</f>
        <v>35048</v>
      </c>
      <c r="Q176" s="34"/>
      <c r="R176" s="31">
        <f>SUM(R152:R174)</f>
        <v>35609.410000000003</v>
      </c>
      <c r="S176" s="31">
        <f>SUM(S152:S174)</f>
        <v>35049</v>
      </c>
      <c r="T176" s="34"/>
      <c r="U176" s="31">
        <f>SUM(U152:U174)</f>
        <v>13173.310000000001</v>
      </c>
      <c r="V176" s="31">
        <f>SUM(V152:V174)</f>
        <v>11850</v>
      </c>
      <c r="W176" s="34"/>
      <c r="X176" s="31">
        <f>SUM(X152:X174)</f>
        <v>12249.970000000001</v>
      </c>
      <c r="Y176" s="31">
        <f>SUM(Y152:Y174)</f>
        <v>11851</v>
      </c>
      <c r="Z176" s="34"/>
      <c r="AA176" s="31">
        <f>SUM(AA152:AA174)</f>
        <v>13306.76</v>
      </c>
      <c r="AB176" s="31">
        <f>SUM(AB152:AB174)</f>
        <v>15056</v>
      </c>
      <c r="AC176" s="34"/>
      <c r="AD176" s="31">
        <f>SUM(AD152:AD174)</f>
        <v>11116.42</v>
      </c>
      <c r="AE176" s="31">
        <f>SUM(AE152:AE174)</f>
        <v>11865</v>
      </c>
      <c r="AF176" s="34"/>
      <c r="AG176" s="31">
        <f>SUM(AG152:AG174)</f>
        <v>10914.550000000001</v>
      </c>
      <c r="AH176" s="31">
        <f>SUM(AH152:AH174)</f>
        <v>11849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264872.39999999997</v>
      </c>
      <c r="AM176" s="31">
        <f>SUM(AM152:AM174)</f>
        <v>246175</v>
      </c>
      <c r="AN176" s="34"/>
      <c r="AO176" s="31">
        <f>SUM(AO152:AO174)</f>
        <v>258025</v>
      </c>
    </row>
    <row r="177" spans="1:41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</row>
    <row r="178" spans="1:41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>
        <v>7618.49</v>
      </c>
      <c r="P178" s="28">
        <v>8848</v>
      </c>
      <c r="Q178" s="28"/>
      <c r="R178" s="28">
        <v>8442.74</v>
      </c>
      <c r="S178" s="28">
        <v>8848</v>
      </c>
      <c r="T178" s="28"/>
      <c r="U178" s="28">
        <v>9304.66</v>
      </c>
      <c r="V178" s="28">
        <v>8847</v>
      </c>
      <c r="W178" s="28"/>
      <c r="X178" s="28">
        <v>7881.07</v>
      </c>
      <c r="Y178" s="28">
        <v>8847</v>
      </c>
      <c r="Z178" s="28"/>
      <c r="AA178" s="28">
        <v>-3849</v>
      </c>
      <c r="AB178" s="28">
        <v>13271</v>
      </c>
      <c r="AC178" s="28"/>
      <c r="AD178" s="28">
        <v>2799.68</v>
      </c>
      <c r="AE178" s="28">
        <v>8847</v>
      </c>
      <c r="AF178" s="28"/>
      <c r="AG178" s="28">
        <v>3422.14</v>
      </c>
      <c r="AH178" s="28">
        <v>8847</v>
      </c>
      <c r="AI178" s="28"/>
      <c r="AJ178" s="28"/>
      <c r="AK178" s="28"/>
      <c r="AL178" s="27">
        <f t="shared" ref="AL178:AL190" si="37">+C178+F178+I178+L178+O178+R178+U178+X178+AA178+AD178+AG178+AJ178</f>
        <v>74274.069999999992</v>
      </c>
      <c r="AM178" s="27">
        <f t="shared" ref="AM178:AM190" si="38">+D178+G178+J178+M178+P178+S178+V178+Y178+AB178+AE178+AH178+AK178</f>
        <v>106170</v>
      </c>
      <c r="AN178" s="28"/>
      <c r="AO178" s="20">
        <v>115017</v>
      </c>
    </row>
    <row r="179" spans="1:41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>
        <v>627.4</v>
      </c>
      <c r="P179" s="28">
        <v>708</v>
      </c>
      <c r="Q179" s="28"/>
      <c r="R179" s="28">
        <v>690.37</v>
      </c>
      <c r="S179" s="28">
        <v>708</v>
      </c>
      <c r="T179" s="28"/>
      <c r="U179" s="28">
        <v>707.14</v>
      </c>
      <c r="V179" s="28">
        <v>708</v>
      </c>
      <c r="W179" s="28"/>
      <c r="X179" s="28">
        <v>629.77</v>
      </c>
      <c r="Y179" s="28">
        <v>708</v>
      </c>
      <c r="Z179" s="28"/>
      <c r="AA179" s="28">
        <v>2374.58</v>
      </c>
      <c r="AB179" s="28">
        <v>1061</v>
      </c>
      <c r="AC179" s="28"/>
      <c r="AD179" s="28">
        <v>305.04000000000002</v>
      </c>
      <c r="AE179" s="28">
        <v>708</v>
      </c>
      <c r="AF179" s="28"/>
      <c r="AG179" s="28">
        <v>316.25</v>
      </c>
      <c r="AH179" s="28">
        <v>707</v>
      </c>
      <c r="AI179" s="28"/>
      <c r="AJ179" s="28"/>
      <c r="AK179" s="28"/>
      <c r="AL179" s="27">
        <f t="shared" si="37"/>
        <v>8546.0400000000009</v>
      </c>
      <c r="AM179" s="27">
        <f t="shared" si="38"/>
        <v>8494</v>
      </c>
      <c r="AN179" s="28"/>
      <c r="AO179" s="20">
        <v>9201</v>
      </c>
    </row>
    <row r="180" spans="1:41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>
        <v>1535.09</v>
      </c>
      <c r="P180" s="28">
        <v>1606</v>
      </c>
      <c r="Q180" s="28"/>
      <c r="R180" s="28">
        <v>1535.09</v>
      </c>
      <c r="S180" s="28">
        <v>1606</v>
      </c>
      <c r="T180" s="28"/>
      <c r="U180" s="28">
        <v>1535.09</v>
      </c>
      <c r="V180" s="28">
        <v>1606</v>
      </c>
      <c r="W180" s="28"/>
      <c r="X180" s="28">
        <v>1535.09</v>
      </c>
      <c r="Y180" s="28">
        <v>1606</v>
      </c>
      <c r="Z180" s="28"/>
      <c r="AA180" s="28">
        <v>1535.09</v>
      </c>
      <c r="AB180" s="28">
        <v>1606</v>
      </c>
      <c r="AC180" s="28"/>
      <c r="AD180" s="28"/>
      <c r="AE180" s="28">
        <v>1606</v>
      </c>
      <c r="AF180" s="28"/>
      <c r="AG180" s="28">
        <v>0</v>
      </c>
      <c r="AH180" s="28">
        <v>1606</v>
      </c>
      <c r="AI180" s="28"/>
      <c r="AJ180" s="28"/>
      <c r="AK180" s="28"/>
      <c r="AL180" s="27">
        <f t="shared" si="37"/>
        <v>13661.88</v>
      </c>
      <c r="AM180" s="27">
        <f t="shared" si="38"/>
        <v>17666</v>
      </c>
      <c r="AN180" s="28"/>
      <c r="AO180" s="20">
        <v>19272</v>
      </c>
    </row>
    <row r="181" spans="1:41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>
        <v>156</v>
      </c>
      <c r="P181" s="28">
        <v>156</v>
      </c>
      <c r="Q181" s="28"/>
      <c r="R181" s="28">
        <v>156</v>
      </c>
      <c r="S181" s="28">
        <v>156</v>
      </c>
      <c r="T181" s="28"/>
      <c r="U181" s="28">
        <v>159</v>
      </c>
      <c r="V181" s="28">
        <v>156</v>
      </c>
      <c r="W181" s="28"/>
      <c r="X181" s="28">
        <v>156</v>
      </c>
      <c r="Y181" s="28">
        <v>156</v>
      </c>
      <c r="Z181" s="28"/>
      <c r="AA181" s="28">
        <v>772.88</v>
      </c>
      <c r="AB181" s="28">
        <v>234</v>
      </c>
      <c r="AC181" s="28"/>
      <c r="AD181" s="28"/>
      <c r="AE181" s="28">
        <v>156</v>
      </c>
      <c r="AF181" s="28"/>
      <c r="AG181" s="28">
        <v>0</v>
      </c>
      <c r="AH181" s="28">
        <v>156</v>
      </c>
      <c r="AI181" s="28"/>
      <c r="AJ181" s="28"/>
      <c r="AK181" s="28"/>
      <c r="AL181" s="27">
        <f t="shared" si="37"/>
        <v>2100.38</v>
      </c>
      <c r="AM181" s="27">
        <f t="shared" si="38"/>
        <v>1872</v>
      </c>
      <c r="AN181" s="28"/>
      <c r="AO181" s="20">
        <v>2028</v>
      </c>
    </row>
    <row r="182" spans="1:41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>
        <v>0</v>
      </c>
      <c r="P182" s="28">
        <v>0</v>
      </c>
      <c r="Q182" s="28"/>
      <c r="R182" s="28">
        <v>0</v>
      </c>
      <c r="S182" s="28">
        <v>0</v>
      </c>
      <c r="T182" s="28"/>
      <c r="U182" s="28">
        <v>0</v>
      </c>
      <c r="V182" s="28">
        <v>0</v>
      </c>
      <c r="W182" s="28"/>
      <c r="X182" s="28">
        <v>0</v>
      </c>
      <c r="Y182" s="28">
        <v>0</v>
      </c>
      <c r="Z182" s="28"/>
      <c r="AA182" s="28">
        <v>0</v>
      </c>
      <c r="AB182" s="28">
        <v>0</v>
      </c>
      <c r="AC182" s="28"/>
      <c r="AD182" s="28"/>
      <c r="AE182" s="28">
        <v>0</v>
      </c>
      <c r="AF182" s="28"/>
      <c r="AG182" s="28">
        <v>0</v>
      </c>
      <c r="AH182" s="28">
        <v>0</v>
      </c>
      <c r="AI182" s="28"/>
      <c r="AJ182" s="28"/>
      <c r="AK182" s="28"/>
      <c r="AL182" s="27">
        <f t="shared" si="37"/>
        <v>122.5</v>
      </c>
      <c r="AM182" s="27">
        <f t="shared" si="38"/>
        <v>200</v>
      </c>
      <c r="AN182" s="28"/>
      <c r="AO182" s="20">
        <v>200</v>
      </c>
    </row>
    <row r="183" spans="1:41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>
        <v>48.53</v>
      </c>
      <c r="P183" s="28">
        <v>39</v>
      </c>
      <c r="Q183" s="28"/>
      <c r="R183" s="28">
        <v>39.89</v>
      </c>
      <c r="S183" s="28">
        <v>39</v>
      </c>
      <c r="T183" s="28"/>
      <c r="U183" s="28">
        <v>39.89</v>
      </c>
      <c r="V183" s="28">
        <v>39</v>
      </c>
      <c r="W183" s="28"/>
      <c r="X183" s="28">
        <v>152.01</v>
      </c>
      <c r="Y183" s="28">
        <v>39</v>
      </c>
      <c r="Z183" s="28"/>
      <c r="AA183" s="28">
        <v>39.89</v>
      </c>
      <c r="AB183" s="28">
        <v>39</v>
      </c>
      <c r="AC183" s="28"/>
      <c r="AD183" s="28">
        <v>39.89</v>
      </c>
      <c r="AE183" s="28">
        <v>58</v>
      </c>
      <c r="AF183" s="28"/>
      <c r="AG183" s="28">
        <v>39.89</v>
      </c>
      <c r="AH183" s="28">
        <v>39</v>
      </c>
      <c r="AI183" s="28"/>
      <c r="AJ183" s="28"/>
      <c r="AK183" s="28"/>
      <c r="AL183" s="27">
        <f t="shared" si="37"/>
        <v>594.11</v>
      </c>
      <c r="AM183" s="27">
        <f t="shared" si="38"/>
        <v>467</v>
      </c>
      <c r="AN183" s="28"/>
      <c r="AO183" s="20">
        <v>506</v>
      </c>
    </row>
    <row r="184" spans="1:41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>
        <v>209.4</v>
      </c>
      <c r="P184" s="28">
        <v>125</v>
      </c>
      <c r="Q184" s="28"/>
      <c r="R184" s="28">
        <v>104.7</v>
      </c>
      <c r="S184" s="28">
        <v>125</v>
      </c>
      <c r="T184" s="28"/>
      <c r="U184" s="28">
        <v>104.73</v>
      </c>
      <c r="V184" s="28">
        <v>125</v>
      </c>
      <c r="W184" s="28"/>
      <c r="X184" s="28">
        <v>104.73</v>
      </c>
      <c r="Y184" s="28">
        <v>125</v>
      </c>
      <c r="Z184" s="28"/>
      <c r="AA184" s="28">
        <v>104.73</v>
      </c>
      <c r="AB184" s="28">
        <v>125</v>
      </c>
      <c r="AC184" s="28"/>
      <c r="AD184" s="28">
        <v>104.73</v>
      </c>
      <c r="AE184" s="28">
        <v>125</v>
      </c>
      <c r="AF184" s="28"/>
      <c r="AG184" s="28">
        <v>0</v>
      </c>
      <c r="AH184" s="28">
        <v>125</v>
      </c>
      <c r="AI184" s="28"/>
      <c r="AJ184" s="28"/>
      <c r="AK184" s="28"/>
      <c r="AL184" s="27">
        <f t="shared" si="37"/>
        <v>1672.8300000000002</v>
      </c>
      <c r="AM184" s="27">
        <f t="shared" si="38"/>
        <v>1375</v>
      </c>
      <c r="AN184" s="28"/>
      <c r="AO184" s="20">
        <v>1500</v>
      </c>
    </row>
    <row r="185" spans="1:41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>
        <v>127.21</v>
      </c>
      <c r="P185" s="28">
        <v>208</v>
      </c>
      <c r="Q185" s="28"/>
      <c r="R185" s="28">
        <v>259.11</v>
      </c>
      <c r="S185" s="28">
        <v>208</v>
      </c>
      <c r="T185" s="28"/>
      <c r="U185" s="28">
        <v>158.79</v>
      </c>
      <c r="V185" s="28">
        <v>208</v>
      </c>
      <c r="W185" s="28"/>
      <c r="X185" s="28">
        <v>186.5</v>
      </c>
      <c r="Y185" s="28">
        <v>208</v>
      </c>
      <c r="Z185" s="28"/>
      <c r="AA185" s="28">
        <v>162.05000000000001</v>
      </c>
      <c r="AB185" s="28">
        <v>208</v>
      </c>
      <c r="AC185" s="28"/>
      <c r="AD185" s="28">
        <v>34.83</v>
      </c>
      <c r="AE185" s="28">
        <v>208</v>
      </c>
      <c r="AF185" s="28"/>
      <c r="AG185" s="28">
        <v>0</v>
      </c>
      <c r="AH185" s="28">
        <v>208</v>
      </c>
      <c r="AI185" s="28"/>
      <c r="AJ185" s="28"/>
      <c r="AK185" s="28"/>
      <c r="AL185" s="27">
        <f t="shared" si="37"/>
        <v>1538.07</v>
      </c>
      <c r="AM185" s="27">
        <f t="shared" si="38"/>
        <v>2292</v>
      </c>
      <c r="AN185" s="28"/>
      <c r="AO185" s="20">
        <v>2500</v>
      </c>
    </row>
    <row r="186" spans="1:41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>
        <v>0</v>
      </c>
      <c r="P186" s="28">
        <v>0</v>
      </c>
      <c r="Q186" s="28"/>
      <c r="R186" s="28">
        <v>0</v>
      </c>
      <c r="S186" s="28">
        <v>0</v>
      </c>
      <c r="T186" s="28"/>
      <c r="U186" s="28">
        <v>0</v>
      </c>
      <c r="V186" s="28">
        <v>0</v>
      </c>
      <c r="W186" s="28"/>
      <c r="X186" s="28">
        <v>20</v>
      </c>
      <c r="Y186" s="28">
        <v>0</v>
      </c>
      <c r="Z186" s="28"/>
      <c r="AA186" s="28">
        <v>0</v>
      </c>
      <c r="AB186" s="28">
        <v>0</v>
      </c>
      <c r="AC186" s="28"/>
      <c r="AD186" s="28">
        <v>364.5</v>
      </c>
      <c r="AE186" s="28">
        <v>0</v>
      </c>
      <c r="AF186" s="28"/>
      <c r="AG186" s="28">
        <v>0</v>
      </c>
      <c r="AH186" s="28">
        <v>0</v>
      </c>
      <c r="AI186" s="28"/>
      <c r="AJ186" s="28"/>
      <c r="AK186" s="28"/>
      <c r="AL186" s="27">
        <f t="shared" si="37"/>
        <v>2507.9299999999998</v>
      </c>
      <c r="AM186" s="27">
        <f t="shared" si="38"/>
        <v>0</v>
      </c>
      <c r="AN186" s="28"/>
      <c r="AO186" s="20">
        <v>0</v>
      </c>
    </row>
    <row r="187" spans="1:41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>
        <v>0</v>
      </c>
      <c r="P187" s="28">
        <v>42</v>
      </c>
      <c r="Q187" s="28"/>
      <c r="R187" s="28">
        <v>0</v>
      </c>
      <c r="S187" s="28">
        <v>42</v>
      </c>
      <c r="T187" s="28"/>
      <c r="U187" s="28">
        <v>0</v>
      </c>
      <c r="V187" s="28">
        <v>41</v>
      </c>
      <c r="W187" s="28"/>
      <c r="X187" s="28">
        <v>0</v>
      </c>
      <c r="Y187" s="28">
        <v>42</v>
      </c>
      <c r="Z187" s="28"/>
      <c r="AA187" s="28">
        <v>0</v>
      </c>
      <c r="AB187" s="28">
        <v>41</v>
      </c>
      <c r="AC187" s="28"/>
      <c r="AD187" s="28"/>
      <c r="AE187" s="28">
        <v>42</v>
      </c>
      <c r="AF187" s="28"/>
      <c r="AG187" s="28">
        <v>0</v>
      </c>
      <c r="AH187" s="28">
        <v>41</v>
      </c>
      <c r="AI187" s="28"/>
      <c r="AJ187" s="28"/>
      <c r="AK187" s="28"/>
      <c r="AL187" s="27">
        <f t="shared" si="37"/>
        <v>0</v>
      </c>
      <c r="AM187" s="27">
        <f t="shared" si="38"/>
        <v>458</v>
      </c>
      <c r="AN187" s="28"/>
      <c r="AO187" s="20">
        <v>500</v>
      </c>
    </row>
    <row r="188" spans="1:41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>
        <v>0</v>
      </c>
      <c r="P188" s="28">
        <v>42</v>
      </c>
      <c r="Q188" s="28"/>
      <c r="R188" s="28">
        <v>0</v>
      </c>
      <c r="S188" s="28">
        <v>42</v>
      </c>
      <c r="T188" s="28"/>
      <c r="U188" s="28">
        <v>0</v>
      </c>
      <c r="V188" s="28">
        <v>41</v>
      </c>
      <c r="W188" s="28"/>
      <c r="X188" s="28">
        <v>0</v>
      </c>
      <c r="Y188" s="28">
        <v>42</v>
      </c>
      <c r="Z188" s="28"/>
      <c r="AA188" s="28">
        <v>0</v>
      </c>
      <c r="AB188" s="28">
        <v>41</v>
      </c>
      <c r="AC188" s="28"/>
      <c r="AD188" s="28"/>
      <c r="AE188" s="28">
        <v>42</v>
      </c>
      <c r="AF188" s="28"/>
      <c r="AG188" s="28">
        <v>0</v>
      </c>
      <c r="AH188" s="28">
        <v>41</v>
      </c>
      <c r="AI188" s="28"/>
      <c r="AJ188" s="28"/>
      <c r="AK188" s="28"/>
      <c r="AL188" s="27">
        <f t="shared" si="37"/>
        <v>0</v>
      </c>
      <c r="AM188" s="27">
        <f t="shared" si="38"/>
        <v>458</v>
      </c>
      <c r="AN188" s="28"/>
      <c r="AO188" s="20">
        <v>500</v>
      </c>
    </row>
    <row r="189" spans="1:41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>
        <v>0</v>
      </c>
      <c r="P189" s="28">
        <v>167</v>
      </c>
      <c r="Q189" s="28"/>
      <c r="R189" s="28">
        <v>66.2</v>
      </c>
      <c r="S189" s="28">
        <v>167</v>
      </c>
      <c r="T189" s="28"/>
      <c r="U189" s="28">
        <v>0</v>
      </c>
      <c r="V189" s="28">
        <v>166</v>
      </c>
      <c r="W189" s="28"/>
      <c r="X189" s="28">
        <v>74.989999999999995</v>
      </c>
      <c r="Y189" s="28">
        <v>167</v>
      </c>
      <c r="Z189" s="28"/>
      <c r="AA189" s="28">
        <v>65</v>
      </c>
      <c r="AB189" s="28">
        <v>166</v>
      </c>
      <c r="AC189" s="28"/>
      <c r="AD189" s="28">
        <v>113.57</v>
      </c>
      <c r="AE189" s="28">
        <v>167</v>
      </c>
      <c r="AF189" s="28"/>
      <c r="AG189" s="28">
        <v>0</v>
      </c>
      <c r="AH189" s="28">
        <v>166</v>
      </c>
      <c r="AI189" s="28"/>
      <c r="AJ189" s="28"/>
      <c r="AK189" s="28"/>
      <c r="AL189" s="27">
        <f t="shared" si="37"/>
        <v>480.44</v>
      </c>
      <c r="AM189" s="27">
        <f t="shared" si="38"/>
        <v>1833</v>
      </c>
      <c r="AN189" s="28"/>
      <c r="AO189" s="20">
        <v>2000</v>
      </c>
    </row>
    <row r="190" spans="1:41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>
        <v>0</v>
      </c>
      <c r="P190" s="28">
        <v>20</v>
      </c>
      <c r="Q190" s="28"/>
      <c r="R190" s="28">
        <v>0</v>
      </c>
      <c r="S190" s="28">
        <v>21</v>
      </c>
      <c r="T190" s="28"/>
      <c r="U190" s="28">
        <v>0</v>
      </c>
      <c r="V190" s="28">
        <v>20</v>
      </c>
      <c r="W190" s="28"/>
      <c r="X190" s="28">
        <v>0</v>
      </c>
      <c r="Y190" s="28">
        <v>21</v>
      </c>
      <c r="Z190" s="28"/>
      <c r="AA190" s="28">
        <v>0</v>
      </c>
      <c r="AB190" s="28">
        <v>21</v>
      </c>
      <c r="AC190" s="28"/>
      <c r="AD190" s="28"/>
      <c r="AE190" s="28">
        <v>21</v>
      </c>
      <c r="AF190" s="28"/>
      <c r="AG190" s="28">
        <v>0</v>
      </c>
      <c r="AH190" s="28">
        <v>21</v>
      </c>
      <c r="AI190" s="28"/>
      <c r="AJ190" s="28"/>
      <c r="AK190" s="28"/>
      <c r="AL190" s="27">
        <f t="shared" si="37"/>
        <v>0</v>
      </c>
      <c r="AM190" s="27">
        <f t="shared" si="38"/>
        <v>229</v>
      </c>
      <c r="AN190" s="28"/>
      <c r="AO190" s="20">
        <v>250</v>
      </c>
    </row>
    <row r="191" spans="1:41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</row>
    <row r="192" spans="1:41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10322.119999999999</v>
      </c>
      <c r="P192" s="31">
        <f>SUM(P178:P190)</f>
        <v>11961</v>
      </c>
      <c r="Q192" s="34"/>
      <c r="R192" s="31">
        <f>SUM(R178:R190)</f>
        <v>11294.100000000002</v>
      </c>
      <c r="S192" s="31">
        <f>SUM(S178:S190)</f>
        <v>11962</v>
      </c>
      <c r="T192" s="34"/>
      <c r="U192" s="31">
        <f>SUM(U178:U190)</f>
        <v>12009.3</v>
      </c>
      <c r="V192" s="31">
        <f>SUM(V178:V190)</f>
        <v>11957</v>
      </c>
      <c r="W192" s="34"/>
      <c r="X192" s="31">
        <f>SUM(X178:X190)</f>
        <v>10740.16</v>
      </c>
      <c r="Y192" s="31">
        <f>SUM(Y178:Y190)</f>
        <v>11961</v>
      </c>
      <c r="Z192" s="34"/>
      <c r="AA192" s="31">
        <f>SUM(AA178:AA190)</f>
        <v>1205.2199999999998</v>
      </c>
      <c r="AB192" s="31">
        <f>SUM(AB178:AB190)</f>
        <v>16813</v>
      </c>
      <c r="AC192" s="34"/>
      <c r="AD192" s="31">
        <f>SUM(AD178:AD190)</f>
        <v>3762.24</v>
      </c>
      <c r="AE192" s="31">
        <f>SUM(AE178:AE190)</f>
        <v>11980</v>
      </c>
      <c r="AF192" s="34"/>
      <c r="AG192" s="31">
        <f>SUM(AG178:AG190)</f>
        <v>3778.2799999999997</v>
      </c>
      <c r="AH192" s="31">
        <f>SUM(AH178:AH190)</f>
        <v>11957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105498.25</v>
      </c>
      <c r="AM192" s="31">
        <f>SUM(AM178:AM190)</f>
        <v>141514</v>
      </c>
      <c r="AN192" s="34"/>
      <c r="AO192" s="31">
        <f>SUM(AO178:AO190)</f>
        <v>153474</v>
      </c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>
        <v>3592.84</v>
      </c>
      <c r="P194" s="28">
        <v>2247</v>
      </c>
      <c r="Q194" s="28"/>
      <c r="R194" s="28">
        <v>3262.99</v>
      </c>
      <c r="S194" s="28">
        <v>2246</v>
      </c>
      <c r="T194" s="28"/>
      <c r="U194" s="28">
        <v>3356.96</v>
      </c>
      <c r="V194" s="28">
        <v>2246</v>
      </c>
      <c r="W194" s="28"/>
      <c r="X194" s="28">
        <v>2945.12</v>
      </c>
      <c r="Y194" s="28">
        <v>2246</v>
      </c>
      <c r="Z194" s="28"/>
      <c r="AA194" s="28">
        <v>3821.69</v>
      </c>
      <c r="AB194" s="28">
        <v>3370</v>
      </c>
      <c r="AC194" s="28"/>
      <c r="AD194" s="28">
        <v>3402.17</v>
      </c>
      <c r="AE194" s="28">
        <v>2246</v>
      </c>
      <c r="AF194" s="28"/>
      <c r="AG194" s="28">
        <v>3268.79</v>
      </c>
      <c r="AH194" s="28">
        <v>2246</v>
      </c>
      <c r="AI194" s="28"/>
      <c r="AJ194" s="28"/>
      <c r="AK194" s="28"/>
      <c r="AL194" s="27">
        <f t="shared" ref="AL194:AL199" si="39">+C194+F194+I194+L194+O194+R194+U194+X194+AA194+AD194+AG194+AJ194</f>
        <v>37486.569999999992</v>
      </c>
      <c r="AM194" s="27">
        <f t="shared" ref="AM194:AM199" si="40">+D194+G194+J194+M194+P194+S194+V194+Y194+AB194+AE194+AH194+AK194</f>
        <v>26957</v>
      </c>
      <c r="AN194" s="28"/>
      <c r="AO194" s="20">
        <v>29203</v>
      </c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>
        <v>274.85000000000002</v>
      </c>
      <c r="P195" s="28">
        <v>180</v>
      </c>
      <c r="Q195" s="28"/>
      <c r="R195" s="28">
        <v>249.62</v>
      </c>
      <c r="S195" s="28">
        <v>180</v>
      </c>
      <c r="T195" s="28"/>
      <c r="U195" s="28">
        <v>264.45</v>
      </c>
      <c r="V195" s="28">
        <v>180</v>
      </c>
      <c r="W195" s="28"/>
      <c r="X195" s="28">
        <v>225.31</v>
      </c>
      <c r="Y195" s="28">
        <v>180</v>
      </c>
      <c r="Z195" s="28"/>
      <c r="AA195" s="28">
        <v>311.48</v>
      </c>
      <c r="AB195" s="28">
        <v>269</v>
      </c>
      <c r="AC195" s="28"/>
      <c r="AD195" s="28">
        <v>364.45</v>
      </c>
      <c r="AE195" s="28">
        <v>179</v>
      </c>
      <c r="AF195" s="28"/>
      <c r="AG195" s="28">
        <v>302.25</v>
      </c>
      <c r="AH195" s="28">
        <v>179</v>
      </c>
      <c r="AI195" s="28"/>
      <c r="AJ195" s="28"/>
      <c r="AK195" s="28"/>
      <c r="AL195" s="27">
        <f t="shared" si="39"/>
        <v>3051.15</v>
      </c>
      <c r="AM195" s="27">
        <f t="shared" si="40"/>
        <v>2157</v>
      </c>
      <c r="AN195" s="28"/>
      <c r="AO195" s="20">
        <v>2336</v>
      </c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>
        <v>3.5</v>
      </c>
      <c r="P196" s="28">
        <v>3</v>
      </c>
      <c r="Q196" s="28"/>
      <c r="R196" s="28">
        <v>2.62</v>
      </c>
      <c r="S196" s="28">
        <v>3</v>
      </c>
      <c r="T196" s="28"/>
      <c r="U196" s="28">
        <v>2.62</v>
      </c>
      <c r="V196" s="28">
        <v>3</v>
      </c>
      <c r="W196" s="28"/>
      <c r="X196" s="28">
        <v>10.71</v>
      </c>
      <c r="Y196" s="28">
        <v>3</v>
      </c>
      <c r="Z196" s="28"/>
      <c r="AA196" s="28">
        <v>2.62</v>
      </c>
      <c r="AB196" s="28">
        <v>3</v>
      </c>
      <c r="AC196" s="28"/>
      <c r="AD196" s="28">
        <v>2.62</v>
      </c>
      <c r="AE196" s="28">
        <v>4</v>
      </c>
      <c r="AF196" s="28"/>
      <c r="AG196" s="28">
        <v>2.62</v>
      </c>
      <c r="AH196" s="28">
        <v>3</v>
      </c>
      <c r="AI196" s="28"/>
      <c r="AJ196" s="28"/>
      <c r="AK196" s="28"/>
      <c r="AL196" s="27">
        <f t="shared" si="39"/>
        <v>41.309999999999995</v>
      </c>
      <c r="AM196" s="27">
        <f t="shared" si="40"/>
        <v>35</v>
      </c>
      <c r="AN196" s="28"/>
      <c r="AO196" s="20">
        <v>38</v>
      </c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>
        <v>0</v>
      </c>
      <c r="P197" s="28">
        <v>21</v>
      </c>
      <c r="Q197" s="28"/>
      <c r="R197" s="28">
        <v>0</v>
      </c>
      <c r="S197" s="28">
        <v>20</v>
      </c>
      <c r="T197" s="28"/>
      <c r="U197" s="28">
        <v>0</v>
      </c>
      <c r="V197" s="28">
        <v>21</v>
      </c>
      <c r="W197" s="28"/>
      <c r="X197" s="28">
        <v>0</v>
      </c>
      <c r="Y197" s="28">
        <v>21</v>
      </c>
      <c r="Z197" s="28"/>
      <c r="AA197" s="28">
        <v>0</v>
      </c>
      <c r="AB197" s="28">
        <v>21</v>
      </c>
      <c r="AC197" s="28"/>
      <c r="AD197" s="28"/>
      <c r="AE197" s="28">
        <v>21</v>
      </c>
      <c r="AF197" s="28"/>
      <c r="AG197" s="28">
        <v>0</v>
      </c>
      <c r="AH197" s="28">
        <v>21</v>
      </c>
      <c r="AI197" s="28"/>
      <c r="AJ197" s="28"/>
      <c r="AK197" s="28"/>
      <c r="AL197" s="27">
        <f t="shared" ref="AL197" si="41">+C197+F197+I197+L197+O197+R197+U197+X197+AA197+AD197+AG197+AJ197</f>
        <v>0</v>
      </c>
      <c r="AM197" s="27">
        <f t="shared" ref="AM197" si="42">+D197+G197+J197+M197+P197+S197+V197+Y197+AB197+AE197+AH197+AK197</f>
        <v>229</v>
      </c>
      <c r="AN197" s="28"/>
      <c r="AO197" s="20">
        <v>250</v>
      </c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>
        <v>0</v>
      </c>
      <c r="P198" s="28">
        <v>100</v>
      </c>
      <c r="Q198" s="28"/>
      <c r="R198" s="28">
        <v>61.05</v>
      </c>
      <c r="S198" s="28">
        <v>100</v>
      </c>
      <c r="T198" s="28"/>
      <c r="U198" s="28">
        <v>52.86</v>
      </c>
      <c r="V198" s="28">
        <v>100</v>
      </c>
      <c r="W198" s="28"/>
      <c r="X198" s="28">
        <v>0</v>
      </c>
      <c r="Y198" s="28">
        <v>100</v>
      </c>
      <c r="Z198" s="28"/>
      <c r="AA198" s="28">
        <v>0</v>
      </c>
      <c r="AB198" s="28">
        <v>100</v>
      </c>
      <c r="AC198" s="28"/>
      <c r="AD198" s="28"/>
      <c r="AE198" s="28">
        <v>100</v>
      </c>
      <c r="AF198" s="28"/>
      <c r="AG198" s="28">
        <v>0</v>
      </c>
      <c r="AH198" s="28">
        <v>100</v>
      </c>
      <c r="AI198" s="28"/>
      <c r="AJ198" s="28"/>
      <c r="AK198" s="28"/>
      <c r="AL198" s="27">
        <f t="shared" si="39"/>
        <v>146.99</v>
      </c>
      <c r="AM198" s="27">
        <f t="shared" si="40"/>
        <v>1100</v>
      </c>
      <c r="AN198" s="28"/>
      <c r="AO198" s="20">
        <v>1200</v>
      </c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>
        <v>0</v>
      </c>
      <c r="P199" s="28">
        <v>21</v>
      </c>
      <c r="Q199" s="28"/>
      <c r="R199" s="28">
        <v>0</v>
      </c>
      <c r="S199" s="28">
        <v>20</v>
      </c>
      <c r="T199" s="28"/>
      <c r="U199" s="28">
        <v>0</v>
      </c>
      <c r="V199" s="28">
        <v>21</v>
      </c>
      <c r="W199" s="28"/>
      <c r="X199" s="28">
        <v>0</v>
      </c>
      <c r="Y199" s="28">
        <v>20</v>
      </c>
      <c r="Z199" s="28"/>
      <c r="AA199" s="28">
        <v>0</v>
      </c>
      <c r="AB199" s="28">
        <v>21</v>
      </c>
      <c r="AC199" s="28"/>
      <c r="AD199" s="28"/>
      <c r="AE199" s="28">
        <v>21</v>
      </c>
      <c r="AF199" s="28"/>
      <c r="AG199" s="28">
        <v>0</v>
      </c>
      <c r="AH199" s="28">
        <v>21</v>
      </c>
      <c r="AI199" s="28"/>
      <c r="AJ199" s="28"/>
      <c r="AK199" s="28"/>
      <c r="AL199" s="27">
        <f t="shared" si="39"/>
        <v>0</v>
      </c>
      <c r="AM199" s="27">
        <f t="shared" si="40"/>
        <v>229</v>
      </c>
      <c r="AN199" s="28"/>
      <c r="AO199" s="20">
        <v>250</v>
      </c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3871.19</v>
      </c>
      <c r="P201" s="31">
        <f>SUM(P194:P199)</f>
        <v>2572</v>
      </c>
      <c r="Q201" s="34"/>
      <c r="R201" s="31">
        <f>SUM(R194:R199)</f>
        <v>3576.2799999999997</v>
      </c>
      <c r="S201" s="31">
        <f>SUM(S194:S199)</f>
        <v>2569</v>
      </c>
      <c r="T201" s="34"/>
      <c r="U201" s="31">
        <f>SUM(U194:U200)</f>
        <v>3676.89</v>
      </c>
      <c r="V201" s="31">
        <f>SUM(V194:V199)</f>
        <v>2571</v>
      </c>
      <c r="W201" s="34"/>
      <c r="X201" s="31">
        <f>SUM(X194:X200)</f>
        <v>3181.14</v>
      </c>
      <c r="Y201" s="31">
        <f>SUM(Y194:Y199)</f>
        <v>2570</v>
      </c>
      <c r="Z201" s="34"/>
      <c r="AA201" s="31">
        <f>SUM(AA194:AA200)</f>
        <v>4135.79</v>
      </c>
      <c r="AB201" s="31">
        <f>SUM(AB194:AB199)</f>
        <v>3784</v>
      </c>
      <c r="AC201" s="34"/>
      <c r="AD201" s="31">
        <f>SUM(AD194:AD200)</f>
        <v>3769.24</v>
      </c>
      <c r="AE201" s="31">
        <f>SUM(AE194:AE199)</f>
        <v>2571</v>
      </c>
      <c r="AF201" s="34"/>
      <c r="AG201" s="31">
        <f>SUM(AG194:AG200)</f>
        <v>3573.66</v>
      </c>
      <c r="AH201" s="31">
        <f>SUM(AH194:AH199)</f>
        <v>2570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40726.01999999999</v>
      </c>
      <c r="AM201" s="31">
        <f>SUM(AM194:AM199)</f>
        <v>30707</v>
      </c>
      <c r="AN201" s="34"/>
      <c r="AO201" s="31">
        <f>SUM(AO194:AO199)</f>
        <v>33277</v>
      </c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416333.26999999996</v>
      </c>
      <c r="M203" s="29">
        <f>M201+M192+M176+M150+M123</f>
        <v>202293</v>
      </c>
      <c r="N203" s="34"/>
      <c r="O203" s="29">
        <f>O201+O192+O176+O150+O123</f>
        <v>941363.14</v>
      </c>
      <c r="P203" s="29">
        <f>P201+P192+P176+P150+P123</f>
        <v>141848</v>
      </c>
      <c r="Q203" s="34"/>
      <c r="R203" s="29">
        <f>R201+R192+R176+R150+R123</f>
        <v>164904.54999999999</v>
      </c>
      <c r="S203" s="29">
        <f>S201+S192+S176+S150+S123</f>
        <v>178330</v>
      </c>
      <c r="T203" s="34"/>
      <c r="U203" s="29">
        <f>U201+U192+U176+U150+U123</f>
        <v>768918.04</v>
      </c>
      <c r="V203" s="29">
        <f>V201+V192+V176+V150+V123</f>
        <v>107807</v>
      </c>
      <c r="W203" s="34"/>
      <c r="X203" s="29">
        <f>X201+X192+X176+X150+X123</f>
        <v>852333.71</v>
      </c>
      <c r="Y203" s="29">
        <f>Y201+Y192+Y176+Y150+Y123</f>
        <v>107742</v>
      </c>
      <c r="Z203" s="34"/>
      <c r="AA203" s="29">
        <f>AA201+AA192+AA176+AA150+AA123</f>
        <v>878110.43</v>
      </c>
      <c r="AB203" s="29">
        <f>AB201+AB192+AB176+AB150+AB123</f>
        <v>147393</v>
      </c>
      <c r="AC203" s="34"/>
      <c r="AD203" s="29">
        <f>AD201+AD192+AD176+AD150+AD123</f>
        <v>888072.11</v>
      </c>
      <c r="AE203" s="29">
        <f>AE201+AE192+AE176+AE150+AE123</f>
        <v>108511</v>
      </c>
      <c r="AF203" s="34"/>
      <c r="AG203" s="29">
        <f>AG201+AG192+AG176+AG150+AG123</f>
        <v>1020351.1009999999</v>
      </c>
      <c r="AH203" s="29">
        <f>AH201+AH192+AH176+AH150+AH123</f>
        <v>107731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7112467.3810000001</v>
      </c>
      <c r="AM203" s="29">
        <f>AM201+AM192+AM176+AM150+AM123</f>
        <v>1464162</v>
      </c>
      <c r="AN203" s="34"/>
      <c r="AO203" s="29">
        <f>AO201+AO192+AO176+AO150+AO123</f>
        <v>1571899</v>
      </c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48"/>
      <c r="AH204" s="48"/>
      <c r="AI204" s="48"/>
      <c r="AJ204" s="48"/>
      <c r="AK204" s="48"/>
      <c r="AL204" s="48"/>
      <c r="AM204" s="48"/>
      <c r="AN204" s="48"/>
      <c r="AO204" s="48"/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49"/>
      <c r="AH205" s="49"/>
      <c r="AI205" s="49"/>
      <c r="AJ205" s="49"/>
      <c r="AK205" s="49"/>
      <c r="AL205" s="49"/>
      <c r="AM205" s="49"/>
      <c r="AN205" s="49"/>
      <c r="AO205" s="48"/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>
        <v>81801.03</v>
      </c>
      <c r="P206" s="28">
        <v>66507</v>
      </c>
      <c r="Q206" s="28"/>
      <c r="R206" s="28">
        <v>84794.98</v>
      </c>
      <c r="S206" s="28">
        <v>66507</v>
      </c>
      <c r="T206" s="28"/>
      <c r="U206" s="28">
        <v>80095.539999999994</v>
      </c>
      <c r="V206" s="28">
        <v>66507</v>
      </c>
      <c r="W206" s="28"/>
      <c r="X206" s="28">
        <v>99546.48</v>
      </c>
      <c r="Y206" s="28">
        <v>93475</v>
      </c>
      <c r="Z206" s="28"/>
      <c r="AA206" s="28">
        <v>115350.88</v>
      </c>
      <c r="AB206" s="28">
        <v>145287</v>
      </c>
      <c r="AC206" s="28"/>
      <c r="AD206" s="28">
        <v>92787.66</v>
      </c>
      <c r="AE206" s="28">
        <v>93472</v>
      </c>
      <c r="AF206" s="28"/>
      <c r="AG206" s="28">
        <v>79375.58</v>
      </c>
      <c r="AH206" s="28">
        <v>93472</v>
      </c>
      <c r="AI206" s="28"/>
      <c r="AJ206" s="28"/>
      <c r="AK206" s="28"/>
      <c r="AL206" s="27">
        <f t="shared" ref="AL206:AL210" si="43">+C206+F206+I206+L206+O206+R206+U206+X206+AA206+AD206+AG206+AJ206</f>
        <v>1022245.98</v>
      </c>
      <c r="AM206" s="27">
        <f t="shared" ref="AM206:AM210" si="44">+D206+G206+J206+M206+P206+S206+V206+Y206+AB206+AE206+AH206+AK206</f>
        <v>970038</v>
      </c>
      <c r="AN206" s="28"/>
      <c r="AO206" s="20">
        <v>1347218</v>
      </c>
      <c r="AQ206" s="1" t="str">
        <f>IF(AL206&gt;AM206,"OVER","")</f>
        <v>OVER</v>
      </c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>
        <v>7989.34</v>
      </c>
      <c r="P207" s="28">
        <v>10976</v>
      </c>
      <c r="Q207" s="28"/>
      <c r="R207" s="28">
        <v>12720.63</v>
      </c>
      <c r="S207" s="28">
        <v>10976</v>
      </c>
      <c r="T207" s="28"/>
      <c r="U207" s="28">
        <v>16411.02</v>
      </c>
      <c r="V207" s="28">
        <v>10976</v>
      </c>
      <c r="W207" s="28"/>
      <c r="X207" s="28">
        <v>15570.26</v>
      </c>
      <c r="Y207" s="28">
        <v>10159</v>
      </c>
      <c r="Z207" s="28"/>
      <c r="AA207" s="28">
        <v>33891.71</v>
      </c>
      <c r="AB207" s="28">
        <v>10159</v>
      </c>
      <c r="AC207" s="28"/>
      <c r="AD207" s="28">
        <v>14004.61</v>
      </c>
      <c r="AE207" s="28">
        <v>10159</v>
      </c>
      <c r="AF207" s="28"/>
      <c r="AG207" s="28">
        <v>10093.709999999999</v>
      </c>
      <c r="AH207" s="28">
        <v>10159</v>
      </c>
      <c r="AI207" s="28"/>
      <c r="AJ207" s="28"/>
      <c r="AK207" s="28"/>
      <c r="AL207" s="27">
        <f t="shared" si="43"/>
        <v>186895.83</v>
      </c>
      <c r="AM207" s="27">
        <f t="shared" si="44"/>
        <v>116650</v>
      </c>
      <c r="AN207" s="28"/>
      <c r="AO207" s="20">
        <v>0</v>
      </c>
      <c r="AQ207" s="1" t="str">
        <f t="shared" ref="AQ207:AQ247" si="45">IF(AL207&gt;AM207,"OVER","")</f>
        <v>OVER</v>
      </c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>
        <v>15300</v>
      </c>
      <c r="P208" s="28">
        <v>9900</v>
      </c>
      <c r="Q208" s="28"/>
      <c r="R208" s="28">
        <v>4950</v>
      </c>
      <c r="S208" s="28">
        <v>9900</v>
      </c>
      <c r="T208" s="28"/>
      <c r="U208" s="28">
        <v>5775</v>
      </c>
      <c r="V208" s="28">
        <v>9900</v>
      </c>
      <c r="W208" s="28"/>
      <c r="X208" s="28">
        <v>2400</v>
      </c>
      <c r="Y208" s="28">
        <v>0</v>
      </c>
      <c r="Z208" s="28"/>
      <c r="AA208" s="28">
        <v>1950</v>
      </c>
      <c r="AB208" s="28">
        <v>0</v>
      </c>
      <c r="AC208" s="28"/>
      <c r="AD208" s="28">
        <v>0</v>
      </c>
      <c r="AE208" s="28">
        <v>0</v>
      </c>
      <c r="AF208" s="28"/>
      <c r="AG208" s="28">
        <v>0</v>
      </c>
      <c r="AH208" s="28">
        <v>0</v>
      </c>
      <c r="AI208" s="28"/>
      <c r="AJ208" s="28"/>
      <c r="AK208" s="28"/>
      <c r="AL208" s="27">
        <f t="shared" si="43"/>
        <v>55875</v>
      </c>
      <c r="AM208" s="27">
        <f t="shared" si="44"/>
        <v>59400</v>
      </c>
      <c r="AN208" s="28"/>
      <c r="AO208" s="20">
        <v>0</v>
      </c>
      <c r="AQ208" s="1" t="str">
        <f t="shared" si="45"/>
        <v/>
      </c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>
        <v>5980</v>
      </c>
      <c r="P209" s="28">
        <v>16250</v>
      </c>
      <c r="Q209" s="28"/>
      <c r="R209" s="28">
        <v>10596.8</v>
      </c>
      <c r="S209" s="28">
        <v>16250</v>
      </c>
      <c r="T209" s="28"/>
      <c r="U209" s="28">
        <v>1424.4</v>
      </c>
      <c r="V209" s="28">
        <v>16250</v>
      </c>
      <c r="W209" s="28"/>
      <c r="X209" s="28">
        <v>130</v>
      </c>
      <c r="Y209" s="28">
        <v>0</v>
      </c>
      <c r="Z209" s="28"/>
      <c r="AA209" s="28">
        <v>2275</v>
      </c>
      <c r="AB209" s="28">
        <v>0</v>
      </c>
      <c r="AC209" s="28"/>
      <c r="AD209" s="28">
        <v>3120</v>
      </c>
      <c r="AE209" s="28">
        <v>0</v>
      </c>
      <c r="AF209" s="28"/>
      <c r="AG209" s="28">
        <v>0</v>
      </c>
      <c r="AH209" s="28">
        <v>0</v>
      </c>
      <c r="AI209" s="28"/>
      <c r="AJ209" s="28"/>
      <c r="AK209" s="28"/>
      <c r="AL209" s="27">
        <f t="shared" si="43"/>
        <v>59069.140000000007</v>
      </c>
      <c r="AM209" s="27">
        <f t="shared" si="44"/>
        <v>97500</v>
      </c>
      <c r="AN209" s="28"/>
      <c r="AO209" s="20">
        <v>0</v>
      </c>
      <c r="AQ209" s="1" t="str">
        <f t="shared" si="45"/>
        <v/>
      </c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>
        <v>1073.96</v>
      </c>
      <c r="P210" s="28">
        <v>0</v>
      </c>
      <c r="Q210" s="28"/>
      <c r="R210" s="28">
        <v>1837.75</v>
      </c>
      <c r="S210" s="28">
        <v>0</v>
      </c>
      <c r="T210" s="28"/>
      <c r="U210" s="28">
        <v>1135</v>
      </c>
      <c r="V210" s="28">
        <v>0</v>
      </c>
      <c r="W210" s="28"/>
      <c r="X210" s="28">
        <v>682.8</v>
      </c>
      <c r="Y210" s="28">
        <v>0</v>
      </c>
      <c r="Z210" s="28"/>
      <c r="AA210" s="28">
        <v>1154.83</v>
      </c>
      <c r="AB210" s="28">
        <v>0</v>
      </c>
      <c r="AC210" s="28"/>
      <c r="AD210" s="28">
        <v>1158.06</v>
      </c>
      <c r="AE210" s="28">
        <v>0</v>
      </c>
      <c r="AF210" s="28"/>
      <c r="AG210" s="28">
        <v>2327.2199999999998</v>
      </c>
      <c r="AH210" s="28">
        <v>0</v>
      </c>
      <c r="AI210" s="28"/>
      <c r="AJ210" s="28"/>
      <c r="AK210" s="28"/>
      <c r="AL210" s="27">
        <f t="shared" si="43"/>
        <v>15091.539999999999</v>
      </c>
      <c r="AM210" s="27">
        <f t="shared" si="44"/>
        <v>0</v>
      </c>
      <c r="AN210" s="28"/>
      <c r="AO210" s="20">
        <v>0</v>
      </c>
      <c r="AQ210" s="1" t="str">
        <f t="shared" si="45"/>
        <v>OVER</v>
      </c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>
        <v>975</v>
      </c>
      <c r="P211" s="28">
        <v>12500</v>
      </c>
      <c r="Q211" s="28"/>
      <c r="R211" s="28">
        <v>4485</v>
      </c>
      <c r="S211" s="28">
        <v>12500</v>
      </c>
      <c r="T211" s="28"/>
      <c r="U211" s="28">
        <v>2600</v>
      </c>
      <c r="V211" s="28">
        <v>0</v>
      </c>
      <c r="W211" s="28"/>
      <c r="X211" s="28">
        <v>0</v>
      </c>
      <c r="Y211" s="28">
        <v>0</v>
      </c>
      <c r="Z211" s="28"/>
      <c r="AA211" s="28">
        <v>0</v>
      </c>
      <c r="AB211" s="28">
        <v>0</v>
      </c>
      <c r="AC211" s="28"/>
      <c r="AD211" s="28">
        <v>0</v>
      </c>
      <c r="AE211" s="28">
        <v>0</v>
      </c>
      <c r="AF211" s="28"/>
      <c r="AG211" s="28">
        <v>0</v>
      </c>
      <c r="AH211" s="28">
        <v>0</v>
      </c>
      <c r="AI211" s="28"/>
      <c r="AJ211" s="28"/>
      <c r="AK211" s="28"/>
      <c r="AL211" s="27">
        <f t="shared" ref="AL211:AL248" si="46">+C211+F211+I211+L211+O211+R211+U211+X211+AA211+AD211+AG211+AJ211</f>
        <v>20995</v>
      </c>
      <c r="AM211" s="27">
        <f t="shared" ref="AM211:AM248" si="47">+D211+G211+J211+M211+P211+S211+V211+Y211+AB211+AE211+AH211+AK211</f>
        <v>50000</v>
      </c>
      <c r="AN211" s="28"/>
      <c r="AO211" s="20">
        <v>50000</v>
      </c>
      <c r="AQ211" s="1" t="str">
        <f t="shared" si="45"/>
        <v/>
      </c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>
        <v>10457.68</v>
      </c>
      <c r="P212" s="28">
        <v>8291</v>
      </c>
      <c r="Q212" s="28"/>
      <c r="R212" s="28">
        <v>9401.0499999999993</v>
      </c>
      <c r="S212" s="28">
        <v>8290</v>
      </c>
      <c r="T212" s="28"/>
      <c r="U212" s="28">
        <v>9166.49</v>
      </c>
      <c r="V212" s="28">
        <v>8291</v>
      </c>
      <c r="W212" s="28"/>
      <c r="X212" s="28">
        <v>9573.67</v>
      </c>
      <c r="Y212" s="28">
        <v>8291</v>
      </c>
      <c r="Z212" s="28"/>
      <c r="AA212" s="28">
        <v>13990</v>
      </c>
      <c r="AB212" s="28">
        <v>12435</v>
      </c>
      <c r="AC212" s="28"/>
      <c r="AD212" s="28">
        <v>8647.8799999999992</v>
      </c>
      <c r="AE212" s="28">
        <v>8290</v>
      </c>
      <c r="AF212" s="28"/>
      <c r="AG212" s="28">
        <v>8396.6299999999992</v>
      </c>
      <c r="AH212" s="28">
        <v>8290</v>
      </c>
      <c r="AI212" s="28"/>
      <c r="AJ212" s="28"/>
      <c r="AK212" s="28"/>
      <c r="AL212" s="27">
        <f t="shared" si="46"/>
        <v>107507.31000000001</v>
      </c>
      <c r="AM212" s="27">
        <f t="shared" si="47"/>
        <v>99487</v>
      </c>
      <c r="AN212" s="28"/>
      <c r="AO212" s="20">
        <v>107777</v>
      </c>
      <c r="AQ212" s="1" t="str">
        <f t="shared" si="45"/>
        <v>OVER</v>
      </c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>
        <v>28669.64</v>
      </c>
      <c r="P213" s="28">
        <v>29443</v>
      </c>
      <c r="Q213" s="28"/>
      <c r="R213" s="28">
        <v>28484.17</v>
      </c>
      <c r="S213" s="28">
        <v>29442</v>
      </c>
      <c r="T213" s="28"/>
      <c r="U213" s="28">
        <v>28484.17</v>
      </c>
      <c r="V213" s="28">
        <v>29443</v>
      </c>
      <c r="W213" s="28"/>
      <c r="X213" s="28">
        <v>28484.17</v>
      </c>
      <c r="Y213" s="28">
        <v>29442</v>
      </c>
      <c r="Z213" s="28"/>
      <c r="AA213" s="28">
        <v>30523.78</v>
      </c>
      <c r="AB213" s="28">
        <v>29443</v>
      </c>
      <c r="AC213" s="28"/>
      <c r="AD213" s="28">
        <v>29941.39</v>
      </c>
      <c r="AE213" s="28">
        <v>29442</v>
      </c>
      <c r="AF213" s="28"/>
      <c r="AG213" s="28">
        <v>29941.39</v>
      </c>
      <c r="AH213" s="28">
        <v>29443</v>
      </c>
      <c r="AI213" s="28"/>
      <c r="AJ213" s="28"/>
      <c r="AK213" s="28"/>
      <c r="AL213" s="27">
        <f t="shared" si="46"/>
        <v>315107.44999999995</v>
      </c>
      <c r="AM213" s="27">
        <f t="shared" si="47"/>
        <v>323868</v>
      </c>
      <c r="AN213" s="28"/>
      <c r="AO213" s="20">
        <v>353311</v>
      </c>
      <c r="AQ213" s="1" t="str">
        <f t="shared" si="45"/>
        <v/>
      </c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>
        <v>12231.92</v>
      </c>
      <c r="P214" s="28">
        <v>13614</v>
      </c>
      <c r="Q214" s="28"/>
      <c r="R214" s="28">
        <v>12236.19</v>
      </c>
      <c r="S214" s="28">
        <v>13614</v>
      </c>
      <c r="T214" s="28"/>
      <c r="U214" s="28">
        <v>12225.77</v>
      </c>
      <c r="V214" s="28">
        <v>13614</v>
      </c>
      <c r="W214" s="28"/>
      <c r="X214" s="28">
        <v>12198.09</v>
      </c>
      <c r="Y214" s="28">
        <v>13614</v>
      </c>
      <c r="Z214" s="28"/>
      <c r="AA214" s="28">
        <v>18345.89</v>
      </c>
      <c r="AB214" s="28">
        <v>20421</v>
      </c>
      <c r="AC214" s="28"/>
      <c r="AD214" s="28">
        <v>12348.79</v>
      </c>
      <c r="AE214" s="28">
        <v>13614</v>
      </c>
      <c r="AF214" s="28"/>
      <c r="AG214" s="28">
        <v>12800.55</v>
      </c>
      <c r="AH214" s="28">
        <v>13614</v>
      </c>
      <c r="AI214" s="28"/>
      <c r="AJ214" s="28"/>
      <c r="AK214" s="28"/>
      <c r="AL214" s="27">
        <f t="shared" si="46"/>
        <v>146786.53999999998</v>
      </c>
      <c r="AM214" s="27">
        <f t="shared" si="47"/>
        <v>163368</v>
      </c>
      <c r="AN214" s="28"/>
      <c r="AO214" s="20">
        <v>176982</v>
      </c>
      <c r="AQ214" s="1" t="str">
        <f t="shared" si="45"/>
        <v/>
      </c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>
        <v>96</v>
      </c>
      <c r="P215" s="28">
        <v>1000</v>
      </c>
      <c r="Q215" s="28"/>
      <c r="R215" s="28">
        <v>2024.45</v>
      </c>
      <c r="S215" s="28">
        <v>1000</v>
      </c>
      <c r="T215" s="28"/>
      <c r="U215" s="28">
        <v>5325.14</v>
      </c>
      <c r="V215" s="28">
        <v>1000</v>
      </c>
      <c r="W215" s="28"/>
      <c r="X215" s="28">
        <v>1782.71</v>
      </c>
      <c r="Y215" s="28">
        <v>1000</v>
      </c>
      <c r="Z215" s="28"/>
      <c r="AA215" s="28">
        <v>13.9</v>
      </c>
      <c r="AB215" s="28">
        <v>1000</v>
      </c>
      <c r="AC215" s="28"/>
      <c r="AD215" s="28">
        <v>855</v>
      </c>
      <c r="AE215" s="28">
        <v>1000</v>
      </c>
      <c r="AF215" s="28"/>
      <c r="AG215" s="28">
        <v>850.36</v>
      </c>
      <c r="AH215" s="28">
        <v>1000</v>
      </c>
      <c r="AI215" s="28"/>
      <c r="AJ215" s="28"/>
      <c r="AK215" s="28"/>
      <c r="AL215" s="27">
        <f t="shared" si="46"/>
        <v>15569.820000000002</v>
      </c>
      <c r="AM215" s="27">
        <f t="shared" si="47"/>
        <v>11000</v>
      </c>
      <c r="AN215" s="28"/>
      <c r="AO215" s="20">
        <v>12000</v>
      </c>
      <c r="AQ215" s="1" t="str">
        <f t="shared" si="45"/>
        <v>OVER</v>
      </c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>
        <v>3086.03</v>
      </c>
      <c r="P216" s="28">
        <v>3534</v>
      </c>
      <c r="Q216" s="28"/>
      <c r="R216" s="28">
        <v>3827.6</v>
      </c>
      <c r="S216" s="28">
        <v>3534</v>
      </c>
      <c r="T216" s="28"/>
      <c r="U216" s="28">
        <v>3827.6</v>
      </c>
      <c r="V216" s="28">
        <v>3534</v>
      </c>
      <c r="W216" s="28"/>
      <c r="X216" s="28">
        <v>10957.39</v>
      </c>
      <c r="Y216" s="28">
        <v>3533</v>
      </c>
      <c r="Z216" s="28"/>
      <c r="AA216" s="28">
        <v>3827.6</v>
      </c>
      <c r="AB216" s="28">
        <v>3534</v>
      </c>
      <c r="AC216" s="28"/>
      <c r="AD216" s="28">
        <v>3827.6</v>
      </c>
      <c r="AE216" s="28">
        <v>5300</v>
      </c>
      <c r="AF216" s="28"/>
      <c r="AG216" s="28">
        <v>3827.6</v>
      </c>
      <c r="AH216" s="28">
        <v>3534</v>
      </c>
      <c r="AI216" s="28"/>
      <c r="AJ216" s="28"/>
      <c r="AK216" s="28"/>
      <c r="AL216" s="27">
        <f t="shared" si="46"/>
        <v>45525.539999999994</v>
      </c>
      <c r="AM216" s="27">
        <f t="shared" si="47"/>
        <v>42406</v>
      </c>
      <c r="AN216" s="28"/>
      <c r="AO216" s="20">
        <v>45940</v>
      </c>
      <c r="AQ216" s="1" t="str">
        <f t="shared" si="45"/>
        <v>OVER</v>
      </c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>
        <v>21607.83</v>
      </c>
      <c r="P217" s="28">
        <v>19998</v>
      </c>
      <c r="Q217" s="28"/>
      <c r="R217" s="28">
        <v>26003.85</v>
      </c>
      <c r="S217" s="28">
        <v>19998</v>
      </c>
      <c r="T217" s="28"/>
      <c r="U217" s="28">
        <v>25359.439999999999</v>
      </c>
      <c r="V217" s="28">
        <v>23291</v>
      </c>
      <c r="W217" s="28"/>
      <c r="X217" s="28">
        <v>25372.98</v>
      </c>
      <c r="Y217" s="28">
        <v>24739</v>
      </c>
      <c r="Z217" s="28"/>
      <c r="AA217" s="28">
        <v>41741.199999999997</v>
      </c>
      <c r="AB217" s="28">
        <v>38361</v>
      </c>
      <c r="AC217" s="28"/>
      <c r="AD217" s="28">
        <v>24204.240000000002</v>
      </c>
      <c r="AE217" s="28">
        <v>24738</v>
      </c>
      <c r="AF217" s="28"/>
      <c r="AG217" s="28">
        <v>24750.9</v>
      </c>
      <c r="AH217" s="28">
        <v>24738</v>
      </c>
      <c r="AI217" s="28"/>
      <c r="AJ217" s="28"/>
      <c r="AK217" s="28"/>
      <c r="AL217" s="27">
        <f t="shared" si="46"/>
        <v>317056.86000000004</v>
      </c>
      <c r="AM217" s="27">
        <f t="shared" si="47"/>
        <v>272757</v>
      </c>
      <c r="AN217" s="28"/>
      <c r="AO217" s="20">
        <v>354203</v>
      </c>
      <c r="AQ217" s="1" t="str">
        <f t="shared" si="45"/>
        <v>OVER</v>
      </c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>
        <v>3607.68</v>
      </c>
      <c r="P218" s="28">
        <v>7249</v>
      </c>
      <c r="Q218" s="28"/>
      <c r="R218" s="28">
        <v>3320.6</v>
      </c>
      <c r="S218" s="28">
        <v>7249</v>
      </c>
      <c r="T218" s="28"/>
      <c r="U218" s="28">
        <v>1921.42</v>
      </c>
      <c r="V218" s="28">
        <v>3955</v>
      </c>
      <c r="W218" s="28"/>
      <c r="X218" s="28">
        <v>4022.98</v>
      </c>
      <c r="Y218" s="28">
        <v>2508</v>
      </c>
      <c r="Z218" s="28"/>
      <c r="AA218" s="28">
        <v>4205.3</v>
      </c>
      <c r="AB218" s="28">
        <v>2508</v>
      </c>
      <c r="AC218" s="28"/>
      <c r="AD218" s="28">
        <v>2477.5500000000002</v>
      </c>
      <c r="AE218" s="28">
        <v>2508</v>
      </c>
      <c r="AF218" s="28"/>
      <c r="AG218" s="28">
        <v>1510.72</v>
      </c>
      <c r="AH218" s="28">
        <v>2508</v>
      </c>
      <c r="AI218" s="28"/>
      <c r="AJ218" s="28"/>
      <c r="AK218" s="28"/>
      <c r="AL218" s="27">
        <f t="shared" si="46"/>
        <v>37230.300000000003</v>
      </c>
      <c r="AM218" s="27">
        <f t="shared" si="47"/>
        <v>54200</v>
      </c>
      <c r="AN218" s="28"/>
      <c r="AO218" s="20">
        <v>0</v>
      </c>
      <c r="AQ218" s="1" t="str">
        <f t="shared" si="45"/>
        <v/>
      </c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>
        <v>2214.4899999999998</v>
      </c>
      <c r="P219" s="28">
        <v>2180</v>
      </c>
      <c r="Q219" s="28"/>
      <c r="R219" s="28">
        <v>2261.85</v>
      </c>
      <c r="S219" s="28">
        <v>2180</v>
      </c>
      <c r="T219" s="28"/>
      <c r="U219" s="28">
        <v>2201.1799999999998</v>
      </c>
      <c r="V219" s="28">
        <v>2180</v>
      </c>
      <c r="W219" s="28"/>
      <c r="X219" s="28">
        <v>2310.46</v>
      </c>
      <c r="Y219" s="28">
        <v>2179</v>
      </c>
      <c r="Z219" s="28"/>
      <c r="AA219" s="28">
        <v>3919.92</v>
      </c>
      <c r="AB219" s="28">
        <v>3269</v>
      </c>
      <c r="AC219" s="28"/>
      <c r="AD219" s="28">
        <v>2557.23</v>
      </c>
      <c r="AE219" s="28">
        <v>2180</v>
      </c>
      <c r="AF219" s="28"/>
      <c r="AG219" s="28">
        <v>2261.44</v>
      </c>
      <c r="AH219" s="28">
        <v>2179</v>
      </c>
      <c r="AI219" s="28"/>
      <c r="AJ219" s="28"/>
      <c r="AK219" s="28"/>
      <c r="AL219" s="27">
        <f t="shared" si="46"/>
        <v>29187.07</v>
      </c>
      <c r="AM219" s="27">
        <f t="shared" si="47"/>
        <v>26157</v>
      </c>
      <c r="AN219" s="28"/>
      <c r="AO219" s="20">
        <v>28336</v>
      </c>
      <c r="AQ219" s="1" t="str">
        <f t="shared" si="45"/>
        <v>OVER</v>
      </c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>
        <v>14118.65</v>
      </c>
      <c r="P220" s="28">
        <v>12644</v>
      </c>
      <c r="Q220" s="28"/>
      <c r="R220" s="28">
        <v>11414.13</v>
      </c>
      <c r="S220" s="28">
        <v>12645</v>
      </c>
      <c r="T220" s="28"/>
      <c r="U220" s="28">
        <v>12766.39</v>
      </c>
      <c r="V220" s="28">
        <v>12644</v>
      </c>
      <c r="W220" s="28"/>
      <c r="X220" s="28">
        <v>12766.39</v>
      </c>
      <c r="Y220" s="28">
        <v>12645</v>
      </c>
      <c r="Z220" s="28"/>
      <c r="AA220" s="28">
        <v>12766.39</v>
      </c>
      <c r="AB220" s="28">
        <v>12644</v>
      </c>
      <c r="AC220" s="28"/>
      <c r="AD220" s="28">
        <v>12766.39</v>
      </c>
      <c r="AE220" s="28">
        <v>12645</v>
      </c>
      <c r="AF220" s="28"/>
      <c r="AG220" s="28">
        <v>12766.39</v>
      </c>
      <c r="AH220" s="28">
        <v>12644</v>
      </c>
      <c r="AI220" s="28"/>
      <c r="AJ220" s="28"/>
      <c r="AK220" s="28"/>
      <c r="AL220" s="27">
        <f t="shared" si="46"/>
        <v>137521.53</v>
      </c>
      <c r="AM220" s="27">
        <f t="shared" si="47"/>
        <v>139089</v>
      </c>
      <c r="AN220" s="28"/>
      <c r="AO220" s="20">
        <v>151734</v>
      </c>
      <c r="AQ220" s="1" t="str">
        <f t="shared" si="45"/>
        <v/>
      </c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>
        <v>474.98</v>
      </c>
      <c r="P221" s="28">
        <v>248</v>
      </c>
      <c r="Q221" s="28"/>
      <c r="R221" s="28">
        <v>542.61</v>
      </c>
      <c r="S221" s="28">
        <v>248</v>
      </c>
      <c r="T221" s="28"/>
      <c r="U221" s="28">
        <v>571.9</v>
      </c>
      <c r="V221" s="28">
        <v>248</v>
      </c>
      <c r="W221" s="28"/>
      <c r="X221" s="28">
        <v>639.44000000000005</v>
      </c>
      <c r="Y221" s="28">
        <v>248</v>
      </c>
      <c r="Z221" s="28"/>
      <c r="AA221" s="28">
        <v>1037.75</v>
      </c>
      <c r="AB221" s="28">
        <v>372</v>
      </c>
      <c r="AC221" s="28"/>
      <c r="AD221" s="28">
        <v>1299.42</v>
      </c>
      <c r="AE221" s="28">
        <v>248</v>
      </c>
      <c r="AF221" s="28"/>
      <c r="AG221" s="28">
        <v>549.66</v>
      </c>
      <c r="AH221" s="28">
        <v>248</v>
      </c>
      <c r="AI221" s="28"/>
      <c r="AJ221" s="28"/>
      <c r="AK221" s="28"/>
      <c r="AL221" s="27">
        <f t="shared" si="46"/>
        <v>6318.3700000000008</v>
      </c>
      <c r="AM221" s="27">
        <f t="shared" si="47"/>
        <v>2976</v>
      </c>
      <c r="AN221" s="28"/>
      <c r="AO221" s="20">
        <v>3224</v>
      </c>
      <c r="AQ221" s="1" t="str">
        <f t="shared" si="45"/>
        <v>OVER</v>
      </c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>
        <v>413.54</v>
      </c>
      <c r="P222" s="28">
        <v>125</v>
      </c>
      <c r="Q222" s="28"/>
      <c r="R222" s="28">
        <v>343.56</v>
      </c>
      <c r="S222" s="28">
        <v>125</v>
      </c>
      <c r="T222" s="28"/>
      <c r="U222" s="28">
        <v>500</v>
      </c>
      <c r="V222" s="28">
        <v>125</v>
      </c>
      <c r="W222" s="28"/>
      <c r="X222" s="28">
        <v>0</v>
      </c>
      <c r="Y222" s="28">
        <v>125</v>
      </c>
      <c r="Z222" s="28"/>
      <c r="AA222" s="28">
        <v>0</v>
      </c>
      <c r="AB222" s="28">
        <v>125</v>
      </c>
      <c r="AC222" s="28"/>
      <c r="AD222" s="28">
        <v>0</v>
      </c>
      <c r="AE222" s="28">
        <v>125</v>
      </c>
      <c r="AF222" s="28"/>
      <c r="AG222" s="28">
        <v>0</v>
      </c>
      <c r="AH222" s="28">
        <v>125</v>
      </c>
      <c r="AI222" s="28"/>
      <c r="AJ222" s="28"/>
      <c r="AK222" s="28"/>
      <c r="AL222" s="27">
        <f t="shared" si="46"/>
        <v>4070.39</v>
      </c>
      <c r="AM222" s="27">
        <f t="shared" si="47"/>
        <v>1375</v>
      </c>
      <c r="AN222" s="28"/>
      <c r="AO222" s="20">
        <v>1500</v>
      </c>
      <c r="AQ222" s="1" t="str">
        <f t="shared" si="45"/>
        <v>OVER</v>
      </c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>
        <v>34.04</v>
      </c>
      <c r="P223" s="28">
        <v>35</v>
      </c>
      <c r="Q223" s="28"/>
      <c r="R223" s="28">
        <v>31.75</v>
      </c>
      <c r="S223" s="28">
        <v>36</v>
      </c>
      <c r="T223" s="28"/>
      <c r="U223" s="28">
        <v>31.75</v>
      </c>
      <c r="V223" s="28">
        <v>35</v>
      </c>
      <c r="W223" s="28"/>
      <c r="X223" s="28">
        <v>110.38</v>
      </c>
      <c r="Y223" s="28">
        <v>35</v>
      </c>
      <c r="Z223" s="28"/>
      <c r="AA223" s="28">
        <v>31.75</v>
      </c>
      <c r="AB223" s="28">
        <v>35</v>
      </c>
      <c r="AC223" s="28"/>
      <c r="AD223" s="28">
        <v>31.75</v>
      </c>
      <c r="AE223" s="28">
        <v>54</v>
      </c>
      <c r="AF223" s="28"/>
      <c r="AG223" s="28">
        <v>31.75</v>
      </c>
      <c r="AH223" s="28">
        <v>35</v>
      </c>
      <c r="AI223" s="28"/>
      <c r="AJ223" s="28"/>
      <c r="AK223" s="28"/>
      <c r="AL223" s="27">
        <f t="shared" si="46"/>
        <v>439.33</v>
      </c>
      <c r="AM223" s="27">
        <f t="shared" si="47"/>
        <v>425</v>
      </c>
      <c r="AN223" s="28"/>
      <c r="AO223" s="20">
        <v>460</v>
      </c>
      <c r="AQ223" s="1" t="str">
        <f t="shared" si="45"/>
        <v>OVER</v>
      </c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>
        <v>29232.5</v>
      </c>
      <c r="P224" s="28">
        <v>30267</v>
      </c>
      <c r="Q224" s="28"/>
      <c r="R224" s="28">
        <v>10222</v>
      </c>
      <c r="S224" s="28">
        <v>30267</v>
      </c>
      <c r="T224" s="28"/>
      <c r="U224" s="28">
        <v>3458</v>
      </c>
      <c r="V224" s="28">
        <v>30267</v>
      </c>
      <c r="W224" s="28"/>
      <c r="X224" s="28">
        <v>1862</v>
      </c>
      <c r="Y224" s="28">
        <v>0</v>
      </c>
      <c r="Z224" s="28"/>
      <c r="AA224" s="28">
        <v>665.25</v>
      </c>
      <c r="AB224" s="28">
        <v>0</v>
      </c>
      <c r="AC224" s="28"/>
      <c r="AD224" s="28">
        <v>38</v>
      </c>
      <c r="AE224" s="28">
        <v>0</v>
      </c>
      <c r="AF224" s="28"/>
      <c r="AG224" s="28">
        <v>114.5</v>
      </c>
      <c r="AH224" s="28">
        <v>0</v>
      </c>
      <c r="AI224" s="28"/>
      <c r="AJ224" s="28"/>
      <c r="AK224" s="28"/>
      <c r="AL224" s="27">
        <f t="shared" si="46"/>
        <v>167427.15</v>
      </c>
      <c r="AM224" s="27">
        <f t="shared" si="47"/>
        <v>196737</v>
      </c>
      <c r="AN224" s="28"/>
      <c r="AO224" s="20">
        <v>196737</v>
      </c>
      <c r="AQ224" s="1" t="str">
        <f t="shared" si="45"/>
        <v/>
      </c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>
        <v>1369.34</v>
      </c>
      <c r="P225" s="28">
        <v>0</v>
      </c>
      <c r="Q225" s="28"/>
      <c r="R225" s="28">
        <v>42.75</v>
      </c>
      <c r="S225" s="28">
        <v>0</v>
      </c>
      <c r="T225" s="28"/>
      <c r="U225" s="28">
        <v>256.5</v>
      </c>
      <c r="V225" s="28">
        <v>0</v>
      </c>
      <c r="W225" s="28"/>
      <c r="X225" s="28">
        <v>57</v>
      </c>
      <c r="Y225" s="28">
        <v>0</v>
      </c>
      <c r="Z225" s="28"/>
      <c r="AA225" s="28">
        <v>0</v>
      </c>
      <c r="AB225" s="28">
        <v>0</v>
      </c>
      <c r="AC225" s="28"/>
      <c r="AD225" s="28">
        <v>0</v>
      </c>
      <c r="AE225" s="28">
        <v>0</v>
      </c>
      <c r="AF225" s="28"/>
      <c r="AG225" s="28">
        <v>0</v>
      </c>
      <c r="AH225" s="28">
        <v>0</v>
      </c>
      <c r="AI225" s="28"/>
      <c r="AJ225" s="28"/>
      <c r="AK225" s="28"/>
      <c r="AL225" s="27">
        <f t="shared" ref="AL225" si="48">+C225+F225+I225+L225+O225+R225+U225+X225+AA225+AD225+AG225+AJ225</f>
        <v>6798.08</v>
      </c>
      <c r="AM225" s="27">
        <f t="shared" ref="AM225" si="49">+D225+G225+J225+M225+P225+S225+V225+Y225+AB225+AE225+AH225+AK225</f>
        <v>0</v>
      </c>
      <c r="AN225" s="28"/>
      <c r="AO225" s="20">
        <v>0</v>
      </c>
      <c r="AQ225" s="1" t="str">
        <f t="shared" si="45"/>
        <v>OVER</v>
      </c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>
        <v>2344.1</v>
      </c>
      <c r="P226" s="28">
        <v>3028</v>
      </c>
      <c r="Q226" s="28"/>
      <c r="R226" s="28">
        <v>802.85</v>
      </c>
      <c r="S226" s="28">
        <v>3028</v>
      </c>
      <c r="T226" s="28"/>
      <c r="U226" s="28">
        <v>284.16000000000003</v>
      </c>
      <c r="V226" s="28">
        <v>3028</v>
      </c>
      <c r="W226" s="28"/>
      <c r="X226" s="28">
        <v>146.80000000000001</v>
      </c>
      <c r="Y226" s="28">
        <v>0</v>
      </c>
      <c r="Z226" s="28"/>
      <c r="AA226" s="28">
        <v>37.42</v>
      </c>
      <c r="AB226" s="28">
        <v>0</v>
      </c>
      <c r="AC226" s="28"/>
      <c r="AD226" s="28">
        <v>3.63</v>
      </c>
      <c r="AE226" s="28">
        <v>0</v>
      </c>
      <c r="AF226" s="28"/>
      <c r="AG226" s="28">
        <v>0</v>
      </c>
      <c r="AH226" s="28">
        <v>0</v>
      </c>
      <c r="AI226" s="28"/>
      <c r="AJ226" s="28"/>
      <c r="AK226" s="28"/>
      <c r="AL226" s="27">
        <f t="shared" si="46"/>
        <v>13702.809999999998</v>
      </c>
      <c r="AM226" s="27">
        <f t="shared" si="47"/>
        <v>19680</v>
      </c>
      <c r="AN226" s="28"/>
      <c r="AO226" s="20">
        <v>19680</v>
      </c>
      <c r="AQ226" s="1" t="str">
        <f t="shared" si="45"/>
        <v/>
      </c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>
        <v>0</v>
      </c>
      <c r="P227" s="28">
        <v>0</v>
      </c>
      <c r="Q227" s="28"/>
      <c r="R227" s="28">
        <v>0</v>
      </c>
      <c r="S227" s="28">
        <v>0</v>
      </c>
      <c r="T227" s="28"/>
      <c r="U227" s="28">
        <v>0</v>
      </c>
      <c r="V227" s="28">
        <v>0</v>
      </c>
      <c r="W227" s="28"/>
      <c r="X227" s="28">
        <v>950.6</v>
      </c>
      <c r="Y227" s="28">
        <v>0</v>
      </c>
      <c r="Z227" s="28"/>
      <c r="AA227" s="28">
        <v>341.25</v>
      </c>
      <c r="AB227" s="28">
        <v>0</v>
      </c>
      <c r="AC227" s="28"/>
      <c r="AD227" s="28">
        <v>4754.21</v>
      </c>
      <c r="AE227" s="28">
        <v>0</v>
      </c>
      <c r="AF227" s="28"/>
      <c r="AG227" s="28">
        <v>0</v>
      </c>
      <c r="AH227" s="28">
        <v>0</v>
      </c>
      <c r="AI227" s="28"/>
      <c r="AJ227" s="28"/>
      <c r="AK227" s="28"/>
      <c r="AL227" s="27">
        <f t="shared" si="46"/>
        <v>10814.29</v>
      </c>
      <c r="AM227" s="27">
        <f t="shared" si="47"/>
        <v>5000</v>
      </c>
      <c r="AN227" s="28"/>
      <c r="AO227" s="20">
        <v>10000</v>
      </c>
      <c r="AQ227" s="1" t="str">
        <f t="shared" si="45"/>
        <v>OVER</v>
      </c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>
        <v>528.44000000000005</v>
      </c>
      <c r="P228" s="28">
        <v>516</v>
      </c>
      <c r="Q228" s="28"/>
      <c r="R228" s="28">
        <v>558.95000000000005</v>
      </c>
      <c r="S228" s="28">
        <v>516</v>
      </c>
      <c r="T228" s="28"/>
      <c r="U228" s="28">
        <v>558.95000000000005</v>
      </c>
      <c r="V228" s="28">
        <v>516</v>
      </c>
      <c r="W228" s="28"/>
      <c r="X228" s="28">
        <v>1779.84</v>
      </c>
      <c r="Y228" s="28">
        <v>516</v>
      </c>
      <c r="Z228" s="28"/>
      <c r="AA228" s="28">
        <v>558.95000000000005</v>
      </c>
      <c r="AB228" s="28">
        <v>516</v>
      </c>
      <c r="AC228" s="28"/>
      <c r="AD228" s="28">
        <v>558.95000000000005</v>
      </c>
      <c r="AE228" s="28">
        <v>775</v>
      </c>
      <c r="AF228" s="28"/>
      <c r="AG228" s="28">
        <v>558.95000000000005</v>
      </c>
      <c r="AH228" s="28">
        <v>516</v>
      </c>
      <c r="AI228" s="28"/>
      <c r="AJ228" s="28"/>
      <c r="AK228" s="28"/>
      <c r="AL228" s="27">
        <f t="shared" si="46"/>
        <v>7216.79</v>
      </c>
      <c r="AM228" s="27">
        <f t="shared" si="47"/>
        <v>6194</v>
      </c>
      <c r="AN228" s="28"/>
      <c r="AO228" s="20">
        <v>6710</v>
      </c>
      <c r="AQ228" s="1" t="str">
        <f t="shared" si="45"/>
        <v>OVER</v>
      </c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>
        <v>0.99</v>
      </c>
      <c r="P229" s="28">
        <v>2166</v>
      </c>
      <c r="Q229" s="28"/>
      <c r="R229" s="28">
        <v>2862.93</v>
      </c>
      <c r="S229" s="28">
        <v>2167</v>
      </c>
      <c r="T229" s="28"/>
      <c r="U229" s="28">
        <v>1432.09</v>
      </c>
      <c r="V229" s="28">
        <v>2167</v>
      </c>
      <c r="W229" s="28"/>
      <c r="X229" s="28">
        <v>1314.56</v>
      </c>
      <c r="Y229" s="28">
        <v>2166</v>
      </c>
      <c r="Z229" s="28"/>
      <c r="AA229" s="28">
        <v>1267.69</v>
      </c>
      <c r="AB229" s="28">
        <v>2167</v>
      </c>
      <c r="AC229" s="28"/>
      <c r="AD229" s="28">
        <v>1267.69</v>
      </c>
      <c r="AE229" s="28">
        <v>2167</v>
      </c>
      <c r="AF229" s="28"/>
      <c r="AG229" s="28">
        <v>0</v>
      </c>
      <c r="AH229" s="28">
        <v>2166</v>
      </c>
      <c r="AI229" s="28"/>
      <c r="AJ229" s="28"/>
      <c r="AK229" s="28"/>
      <c r="AL229" s="27">
        <f t="shared" si="46"/>
        <v>13332.039999999999</v>
      </c>
      <c r="AM229" s="27">
        <f t="shared" si="47"/>
        <v>23833</v>
      </c>
      <c r="AN229" s="28"/>
      <c r="AO229" s="20">
        <v>26000</v>
      </c>
      <c r="AQ229" s="1" t="str">
        <f t="shared" si="45"/>
        <v/>
      </c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>
        <v>5731.83</v>
      </c>
      <c r="P230" s="28">
        <v>4583</v>
      </c>
      <c r="Q230" s="28"/>
      <c r="R230" s="28">
        <v>4927.66</v>
      </c>
      <c r="S230" s="28">
        <v>4584</v>
      </c>
      <c r="T230" s="28"/>
      <c r="U230" s="28">
        <v>4435.03</v>
      </c>
      <c r="V230" s="28">
        <v>4583</v>
      </c>
      <c r="W230" s="28"/>
      <c r="X230" s="28">
        <v>3850.94</v>
      </c>
      <c r="Y230" s="28">
        <v>4584</v>
      </c>
      <c r="Z230" s="28"/>
      <c r="AA230" s="28">
        <v>3276.62</v>
      </c>
      <c r="AB230" s="28">
        <v>4583</v>
      </c>
      <c r="AC230" s="28"/>
      <c r="AD230" s="28">
        <v>3534.83</v>
      </c>
      <c r="AE230" s="28">
        <v>4584</v>
      </c>
      <c r="AF230" s="28"/>
      <c r="AG230" s="28">
        <v>3386.32</v>
      </c>
      <c r="AH230" s="28">
        <v>4583</v>
      </c>
      <c r="AI230" s="28"/>
      <c r="AJ230" s="28"/>
      <c r="AK230" s="28"/>
      <c r="AL230" s="27">
        <f t="shared" si="46"/>
        <v>45346.05</v>
      </c>
      <c r="AM230" s="27">
        <f t="shared" si="47"/>
        <v>50417</v>
      </c>
      <c r="AN230" s="28"/>
      <c r="AO230" s="20">
        <v>55000</v>
      </c>
      <c r="AQ230" s="1" t="str">
        <f t="shared" si="45"/>
        <v/>
      </c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>
        <v>403.34</v>
      </c>
      <c r="P231" s="28">
        <v>417</v>
      </c>
      <c r="Q231" s="28"/>
      <c r="R231" s="28">
        <v>338.15</v>
      </c>
      <c r="S231" s="28">
        <v>417</v>
      </c>
      <c r="T231" s="28"/>
      <c r="U231" s="28">
        <v>291.18</v>
      </c>
      <c r="V231" s="28">
        <v>416</v>
      </c>
      <c r="W231" s="28"/>
      <c r="X231" s="28">
        <v>304.88</v>
      </c>
      <c r="Y231" s="28">
        <v>417</v>
      </c>
      <c r="Z231" s="28"/>
      <c r="AA231" s="28">
        <v>314.02999999999997</v>
      </c>
      <c r="AB231" s="28">
        <v>416</v>
      </c>
      <c r="AC231" s="28"/>
      <c r="AD231" s="28">
        <v>519.64</v>
      </c>
      <c r="AE231" s="28">
        <v>417</v>
      </c>
      <c r="AF231" s="28"/>
      <c r="AG231" s="28">
        <v>522.14</v>
      </c>
      <c r="AH231" s="28">
        <v>417</v>
      </c>
      <c r="AI231" s="28"/>
      <c r="AJ231" s="28"/>
      <c r="AK231" s="28"/>
      <c r="AL231" s="27">
        <f t="shared" si="46"/>
        <v>4120.1099999999997</v>
      </c>
      <c r="AM231" s="27">
        <f t="shared" si="47"/>
        <v>4583</v>
      </c>
      <c r="AN231" s="28"/>
      <c r="AO231" s="20">
        <v>5000</v>
      </c>
      <c r="AQ231" s="1" t="str">
        <f t="shared" si="45"/>
        <v/>
      </c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>
        <v>0</v>
      </c>
      <c r="P232" s="28">
        <v>42</v>
      </c>
      <c r="Q232" s="28"/>
      <c r="R232" s="28">
        <v>0</v>
      </c>
      <c r="S232" s="28">
        <v>42</v>
      </c>
      <c r="T232" s="28"/>
      <c r="U232" s="28">
        <v>0</v>
      </c>
      <c r="V232" s="28">
        <v>41</v>
      </c>
      <c r="W232" s="28"/>
      <c r="X232" s="28">
        <v>0</v>
      </c>
      <c r="Y232" s="28">
        <v>42</v>
      </c>
      <c r="Z232" s="28"/>
      <c r="AA232" s="28">
        <v>0</v>
      </c>
      <c r="AB232" s="28">
        <v>41</v>
      </c>
      <c r="AC232" s="28"/>
      <c r="AD232" s="28">
        <v>0</v>
      </c>
      <c r="AE232" s="28">
        <v>42</v>
      </c>
      <c r="AF232" s="28"/>
      <c r="AG232" s="28">
        <v>0</v>
      </c>
      <c r="AH232" s="28">
        <v>42</v>
      </c>
      <c r="AI232" s="28"/>
      <c r="AJ232" s="28"/>
      <c r="AK232" s="28"/>
      <c r="AL232" s="27">
        <f t="shared" si="46"/>
        <v>0</v>
      </c>
      <c r="AM232" s="27">
        <f t="shared" si="47"/>
        <v>458</v>
      </c>
      <c r="AN232" s="28"/>
      <c r="AO232" s="20">
        <v>500</v>
      </c>
      <c r="AQ232" s="1" t="str">
        <f t="shared" si="45"/>
        <v/>
      </c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>
        <v>223.43</v>
      </c>
      <c r="P233" s="28">
        <v>2500</v>
      </c>
      <c r="Q233" s="28"/>
      <c r="R233" s="28">
        <v>6562.47</v>
      </c>
      <c r="S233" s="28">
        <v>2500</v>
      </c>
      <c r="T233" s="28"/>
      <c r="U233" s="28">
        <v>1110.24</v>
      </c>
      <c r="V233" s="28">
        <v>2500</v>
      </c>
      <c r="W233" s="28"/>
      <c r="X233" s="28">
        <v>18831.5</v>
      </c>
      <c r="Y233" s="28">
        <v>2500</v>
      </c>
      <c r="Z233" s="28"/>
      <c r="AA233" s="28">
        <v>3824.04</v>
      </c>
      <c r="AB233" s="28">
        <v>2500</v>
      </c>
      <c r="AC233" s="28"/>
      <c r="AD233" s="28">
        <v>1827.98</v>
      </c>
      <c r="AE233" s="28">
        <v>2500</v>
      </c>
      <c r="AF233" s="28"/>
      <c r="AG233" s="28">
        <v>4808.66</v>
      </c>
      <c r="AH233" s="28">
        <v>2500</v>
      </c>
      <c r="AI233" s="28"/>
      <c r="AJ233" s="28"/>
      <c r="AK233" s="28"/>
      <c r="AL233" s="27">
        <f>+C233+F233+I233+L233+O233+R233+U233+X233+AA233+AD233+AG233+AJ233+95.67</f>
        <v>55006.490000000005</v>
      </c>
      <c r="AM233" s="27">
        <f t="shared" si="47"/>
        <v>27500</v>
      </c>
      <c r="AN233" s="28"/>
      <c r="AO233" s="20">
        <v>30000</v>
      </c>
      <c r="AQ233" s="1" t="str">
        <f t="shared" si="45"/>
        <v>OVER</v>
      </c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>
        <v>0</v>
      </c>
      <c r="P234" s="28">
        <v>417</v>
      </c>
      <c r="Q234" s="28"/>
      <c r="R234" s="28">
        <v>0.99</v>
      </c>
      <c r="S234" s="28">
        <v>417</v>
      </c>
      <c r="T234" s="28"/>
      <c r="U234" s="28">
        <v>0.99</v>
      </c>
      <c r="V234" s="28">
        <v>416</v>
      </c>
      <c r="W234" s="28"/>
      <c r="X234" s="28">
        <v>0.99</v>
      </c>
      <c r="Y234" s="28">
        <v>417</v>
      </c>
      <c r="Z234" s="28"/>
      <c r="AA234" s="28">
        <v>0</v>
      </c>
      <c r="AB234" s="28">
        <v>416</v>
      </c>
      <c r="AC234" s="28"/>
      <c r="AD234" s="28"/>
      <c r="AE234" s="28">
        <v>417</v>
      </c>
      <c r="AF234" s="28"/>
      <c r="AG234" s="28">
        <v>0</v>
      </c>
      <c r="AH234" s="28">
        <v>417</v>
      </c>
      <c r="AI234" s="28"/>
      <c r="AJ234" s="28"/>
      <c r="AK234" s="28"/>
      <c r="AL234" s="27">
        <f t="shared" si="46"/>
        <v>168.96000000000004</v>
      </c>
      <c r="AM234" s="27">
        <f t="shared" si="47"/>
        <v>4583</v>
      </c>
      <c r="AN234" s="28"/>
      <c r="AO234" s="20">
        <v>5000</v>
      </c>
      <c r="AQ234" s="1" t="str">
        <f t="shared" si="45"/>
        <v/>
      </c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>
        <v>0</v>
      </c>
      <c r="P235" s="28">
        <v>417</v>
      </c>
      <c r="Q235" s="28"/>
      <c r="R235" s="28">
        <v>0</v>
      </c>
      <c r="S235" s="28">
        <v>417</v>
      </c>
      <c r="T235" s="28"/>
      <c r="U235" s="28">
        <v>0</v>
      </c>
      <c r="V235" s="28">
        <v>416</v>
      </c>
      <c r="W235" s="28"/>
      <c r="X235" s="28">
        <v>0</v>
      </c>
      <c r="Y235" s="28">
        <v>417</v>
      </c>
      <c r="Z235" s="28"/>
      <c r="AA235" s="28">
        <v>0</v>
      </c>
      <c r="AB235" s="28">
        <v>416</v>
      </c>
      <c r="AC235" s="28"/>
      <c r="AD235" s="28"/>
      <c r="AE235" s="28">
        <v>417</v>
      </c>
      <c r="AF235" s="28"/>
      <c r="AG235" s="28">
        <v>0</v>
      </c>
      <c r="AH235" s="28">
        <v>417</v>
      </c>
      <c r="AI235" s="28"/>
      <c r="AJ235" s="28"/>
      <c r="AK235" s="28"/>
      <c r="AL235" s="27">
        <f t="shared" si="46"/>
        <v>1200</v>
      </c>
      <c r="AM235" s="27">
        <f t="shared" si="47"/>
        <v>4583</v>
      </c>
      <c r="AN235" s="28"/>
      <c r="AO235" s="20">
        <v>5000</v>
      </c>
      <c r="AQ235" s="1" t="str">
        <f t="shared" si="45"/>
        <v/>
      </c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>
        <v>16316.9</v>
      </c>
      <c r="P236" s="28">
        <v>12500</v>
      </c>
      <c r="Q236" s="28"/>
      <c r="R236" s="28">
        <v>12118.32</v>
      </c>
      <c r="S236" s="28">
        <v>12500</v>
      </c>
      <c r="T236" s="28"/>
      <c r="U236" s="28">
        <v>12118.32</v>
      </c>
      <c r="V236" s="28">
        <v>12500</v>
      </c>
      <c r="W236" s="28"/>
      <c r="X236" s="28">
        <v>12118.32</v>
      </c>
      <c r="Y236" s="28">
        <v>12500</v>
      </c>
      <c r="Z236" s="28"/>
      <c r="AA236" s="28">
        <v>12118.32</v>
      </c>
      <c r="AB236" s="28">
        <v>12500</v>
      </c>
      <c r="AC236" s="28"/>
      <c r="AD236" s="28">
        <v>12118.32</v>
      </c>
      <c r="AE236" s="28">
        <v>12500</v>
      </c>
      <c r="AF236" s="28"/>
      <c r="AG236" s="28">
        <v>12118.32</v>
      </c>
      <c r="AH236" s="28">
        <v>12500</v>
      </c>
      <c r="AI236" s="28"/>
      <c r="AJ236" s="28"/>
      <c r="AK236" s="28"/>
      <c r="AL236" s="27">
        <f t="shared" si="46"/>
        <v>136702.43000000002</v>
      </c>
      <c r="AM236" s="27">
        <f t="shared" si="47"/>
        <v>137500</v>
      </c>
      <c r="AN236" s="28"/>
      <c r="AO236" s="20">
        <v>150000</v>
      </c>
      <c r="AQ236" s="1" t="str">
        <f t="shared" si="45"/>
        <v/>
      </c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>
        <v>1847.89</v>
      </c>
      <c r="P237" s="28">
        <v>6667</v>
      </c>
      <c r="Q237" s="28"/>
      <c r="R237" s="28">
        <v>0</v>
      </c>
      <c r="S237" s="28">
        <v>6666</v>
      </c>
      <c r="T237" s="28"/>
      <c r="U237" s="28">
        <v>2000</v>
      </c>
      <c r="V237" s="28">
        <v>6667</v>
      </c>
      <c r="W237" s="28"/>
      <c r="X237" s="28">
        <v>31664.57</v>
      </c>
      <c r="Y237" s="28">
        <v>6667</v>
      </c>
      <c r="Z237" s="28"/>
      <c r="AA237" s="28">
        <v>2329.9899999999998</v>
      </c>
      <c r="AB237" s="28">
        <v>6667</v>
      </c>
      <c r="AC237" s="28"/>
      <c r="AD237" s="28">
        <v>570.47</v>
      </c>
      <c r="AE237" s="28">
        <v>6666</v>
      </c>
      <c r="AF237" s="28"/>
      <c r="AG237" s="28">
        <v>550.99</v>
      </c>
      <c r="AH237" s="28">
        <v>6667</v>
      </c>
      <c r="AI237" s="28"/>
      <c r="AJ237" s="28"/>
      <c r="AK237" s="28"/>
      <c r="AL237" s="27">
        <f t="shared" si="46"/>
        <v>109811.36000000002</v>
      </c>
      <c r="AM237" s="27">
        <f t="shared" si="47"/>
        <v>73333</v>
      </c>
      <c r="AN237" s="28"/>
      <c r="AO237" s="20">
        <v>80000</v>
      </c>
      <c r="AQ237" s="1" t="str">
        <f t="shared" si="45"/>
        <v>OVER</v>
      </c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>
        <v>900</v>
      </c>
      <c r="P238" s="28">
        <v>1000</v>
      </c>
      <c r="Q238" s="28"/>
      <c r="R238" s="28">
        <v>0</v>
      </c>
      <c r="S238" s="28">
        <v>1000</v>
      </c>
      <c r="T238" s="28"/>
      <c r="U238" s="28">
        <v>3323.94</v>
      </c>
      <c r="V238" s="28">
        <v>1000</v>
      </c>
      <c r="W238" s="28"/>
      <c r="X238" s="28">
        <v>0</v>
      </c>
      <c r="Y238" s="28">
        <v>1000</v>
      </c>
      <c r="Z238" s="28"/>
      <c r="AA238" s="28">
        <v>2903</v>
      </c>
      <c r="AB238" s="28">
        <v>1000</v>
      </c>
      <c r="AC238" s="28"/>
      <c r="AD238" s="28">
        <v>2284.73</v>
      </c>
      <c r="AE238" s="28">
        <v>1000</v>
      </c>
      <c r="AF238" s="28"/>
      <c r="AG238" s="28">
        <v>1588.32</v>
      </c>
      <c r="AH238" s="28">
        <v>1000</v>
      </c>
      <c r="AI238" s="28"/>
      <c r="AJ238" s="28"/>
      <c r="AK238" s="28"/>
      <c r="AL238" s="27">
        <f t="shared" si="46"/>
        <v>13746.509999999998</v>
      </c>
      <c r="AM238" s="27">
        <f t="shared" si="47"/>
        <v>11000</v>
      </c>
      <c r="AN238" s="28"/>
      <c r="AO238" s="20">
        <v>12000</v>
      </c>
      <c r="AQ238" s="1" t="str">
        <f t="shared" si="45"/>
        <v>OVER</v>
      </c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>
        <v>0</v>
      </c>
      <c r="P239" s="28">
        <v>167</v>
      </c>
      <c r="Q239" s="28"/>
      <c r="R239" s="28">
        <v>0</v>
      </c>
      <c r="S239" s="28">
        <v>166</v>
      </c>
      <c r="T239" s="28"/>
      <c r="U239" s="28">
        <v>135</v>
      </c>
      <c r="V239" s="28">
        <v>166</v>
      </c>
      <c r="W239" s="28"/>
      <c r="X239" s="28">
        <v>0</v>
      </c>
      <c r="Y239" s="28">
        <v>167</v>
      </c>
      <c r="Z239" s="28"/>
      <c r="AA239" s="28">
        <v>0</v>
      </c>
      <c r="AB239" s="28">
        <v>166</v>
      </c>
      <c r="AC239" s="28"/>
      <c r="AD239" s="28">
        <v>75</v>
      </c>
      <c r="AE239" s="28">
        <v>167</v>
      </c>
      <c r="AF239" s="28"/>
      <c r="AG239" s="28">
        <v>0</v>
      </c>
      <c r="AH239" s="28">
        <v>167</v>
      </c>
      <c r="AI239" s="28"/>
      <c r="AJ239" s="28"/>
      <c r="AK239" s="28"/>
      <c r="AL239" s="27">
        <f t="shared" si="46"/>
        <v>210</v>
      </c>
      <c r="AM239" s="27">
        <f t="shared" si="47"/>
        <v>1834</v>
      </c>
      <c r="AN239" s="28"/>
      <c r="AO239" s="20">
        <v>2000</v>
      </c>
      <c r="AQ239" s="1" t="str">
        <f t="shared" si="45"/>
        <v/>
      </c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>
        <v>0</v>
      </c>
      <c r="P240" s="28">
        <v>167</v>
      </c>
      <c r="Q240" s="28"/>
      <c r="R240" s="28">
        <v>0</v>
      </c>
      <c r="S240" s="28">
        <v>167</v>
      </c>
      <c r="T240" s="28"/>
      <c r="U240" s="28">
        <v>785</v>
      </c>
      <c r="V240" s="28">
        <v>166</v>
      </c>
      <c r="W240" s="28"/>
      <c r="X240" s="28">
        <v>0</v>
      </c>
      <c r="Y240" s="28">
        <v>167</v>
      </c>
      <c r="Z240" s="28"/>
      <c r="AA240" s="28">
        <v>0</v>
      </c>
      <c r="AB240" s="28">
        <v>166</v>
      </c>
      <c r="AC240" s="28"/>
      <c r="AD240" s="28">
        <v>0</v>
      </c>
      <c r="AE240" s="28">
        <v>167</v>
      </c>
      <c r="AF240" s="28"/>
      <c r="AG240" s="28">
        <v>0</v>
      </c>
      <c r="AH240" s="28">
        <v>167</v>
      </c>
      <c r="AI240" s="28"/>
      <c r="AJ240" s="28"/>
      <c r="AK240" s="28"/>
      <c r="AL240" s="27">
        <f t="shared" si="46"/>
        <v>1329</v>
      </c>
      <c r="AM240" s="27">
        <f t="shared" si="47"/>
        <v>1833</v>
      </c>
      <c r="AN240" s="28"/>
      <c r="AO240" s="20">
        <v>2000</v>
      </c>
      <c r="AQ240" s="1" t="str">
        <f t="shared" si="45"/>
        <v/>
      </c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>
        <v>0</v>
      </c>
      <c r="P241" s="28">
        <v>2084</v>
      </c>
      <c r="Q241" s="28"/>
      <c r="R241" s="28">
        <v>35568.239999999998</v>
      </c>
      <c r="S241" s="28">
        <v>2083</v>
      </c>
      <c r="T241" s="28"/>
      <c r="U241" s="28">
        <v>-34710.5</v>
      </c>
      <c r="V241" s="28">
        <v>2083</v>
      </c>
      <c r="W241" s="28"/>
      <c r="X241" s="28">
        <v>0</v>
      </c>
      <c r="Y241" s="28">
        <v>2084</v>
      </c>
      <c r="Z241" s="28"/>
      <c r="AA241" s="28">
        <v>484.37</v>
      </c>
      <c r="AB241" s="28">
        <v>2083</v>
      </c>
      <c r="AC241" s="28"/>
      <c r="AD241" s="28">
        <v>1279.6199999999999</v>
      </c>
      <c r="AE241" s="28">
        <v>2084</v>
      </c>
      <c r="AF241" s="28"/>
      <c r="AG241" s="28">
        <v>0</v>
      </c>
      <c r="AH241" s="28">
        <v>2083</v>
      </c>
      <c r="AI241" s="28"/>
      <c r="AJ241" s="28"/>
      <c r="AK241" s="28"/>
      <c r="AL241" s="27">
        <f t="shared" si="46"/>
        <v>11142.619999999999</v>
      </c>
      <c r="AM241" s="27">
        <f t="shared" si="47"/>
        <v>22917</v>
      </c>
      <c r="AN241" s="28"/>
      <c r="AO241" s="20">
        <v>25000</v>
      </c>
      <c r="AQ241" s="1" t="str">
        <f t="shared" si="45"/>
        <v/>
      </c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1412.62</v>
      </c>
      <c r="M242" s="28">
        <v>833</v>
      </c>
      <c r="N242" s="28"/>
      <c r="O242" s="28">
        <v>1035.97</v>
      </c>
      <c r="P242" s="28">
        <v>834</v>
      </c>
      <c r="Q242" s="28"/>
      <c r="R242" s="28">
        <v>1235.3</v>
      </c>
      <c r="S242" s="28">
        <v>833</v>
      </c>
      <c r="T242" s="28"/>
      <c r="U242" s="28">
        <v>693.93</v>
      </c>
      <c r="V242" s="28">
        <v>833</v>
      </c>
      <c r="W242" s="28"/>
      <c r="X242" s="28">
        <v>800.28</v>
      </c>
      <c r="Y242" s="28">
        <v>834</v>
      </c>
      <c r="Z242" s="28"/>
      <c r="AA242" s="28">
        <v>2138.15</v>
      </c>
      <c r="AB242" s="28">
        <v>833</v>
      </c>
      <c r="AC242" s="28"/>
      <c r="AD242" s="28">
        <v>768.26</v>
      </c>
      <c r="AE242" s="28">
        <v>834</v>
      </c>
      <c r="AF242" s="28"/>
      <c r="AG242" s="28">
        <v>892.82</v>
      </c>
      <c r="AH242" s="28">
        <v>833</v>
      </c>
      <c r="AI242" s="28"/>
      <c r="AJ242" s="28"/>
      <c r="AK242" s="28"/>
      <c r="AL242" s="27">
        <f t="shared" si="46"/>
        <v>13696.83</v>
      </c>
      <c r="AM242" s="27">
        <f t="shared" si="47"/>
        <v>9167</v>
      </c>
      <c r="AN242" s="28"/>
      <c r="AO242" s="20">
        <v>10000</v>
      </c>
      <c r="AQ242" s="1" t="str">
        <f t="shared" si="45"/>
        <v>OVER</v>
      </c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975.61</v>
      </c>
      <c r="M243" s="28">
        <v>1000</v>
      </c>
      <c r="N243" s="28"/>
      <c r="O243" s="28">
        <v>250.39</v>
      </c>
      <c r="P243" s="28">
        <v>1000</v>
      </c>
      <c r="Q243" s="28"/>
      <c r="R243" s="28">
        <v>287.27</v>
      </c>
      <c r="S243" s="28">
        <v>1000</v>
      </c>
      <c r="T243" s="28"/>
      <c r="U243" s="28">
        <v>252.27</v>
      </c>
      <c r="V243" s="28">
        <v>1000</v>
      </c>
      <c r="W243" s="28"/>
      <c r="X243" s="28">
        <v>881.29</v>
      </c>
      <c r="Y243" s="28">
        <v>1000</v>
      </c>
      <c r="Z243" s="28"/>
      <c r="AA243" s="28">
        <v>982.66</v>
      </c>
      <c r="AB243" s="28">
        <v>1000</v>
      </c>
      <c r="AC243" s="28"/>
      <c r="AD243" s="28">
        <v>219.75</v>
      </c>
      <c r="AE243" s="28">
        <v>1000</v>
      </c>
      <c r="AF243" s="28"/>
      <c r="AG243" s="28">
        <v>307.92</v>
      </c>
      <c r="AH243" s="28">
        <v>1000</v>
      </c>
      <c r="AI243" s="28"/>
      <c r="AJ243" s="28"/>
      <c r="AK243" s="28"/>
      <c r="AL243" s="27">
        <f t="shared" si="46"/>
        <v>7088.87</v>
      </c>
      <c r="AM243" s="27">
        <f t="shared" si="47"/>
        <v>11000</v>
      </c>
      <c r="AN243" s="28"/>
      <c r="AO243" s="20">
        <v>12000</v>
      </c>
      <c r="AQ243" s="1" t="str">
        <f t="shared" si="45"/>
        <v/>
      </c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>
        <v>3544.57</v>
      </c>
      <c r="P244" s="28">
        <v>834</v>
      </c>
      <c r="Q244" s="28"/>
      <c r="R244" s="28">
        <v>30463.55</v>
      </c>
      <c r="S244" s="28">
        <v>833</v>
      </c>
      <c r="T244" s="28"/>
      <c r="U244" s="28">
        <v>-25826.66</v>
      </c>
      <c r="V244" s="28">
        <v>833</v>
      </c>
      <c r="W244" s="28"/>
      <c r="X244" s="28">
        <v>857.65</v>
      </c>
      <c r="Y244" s="28">
        <v>834</v>
      </c>
      <c r="Z244" s="28"/>
      <c r="AA244" s="28">
        <v>483.48</v>
      </c>
      <c r="AB244" s="28">
        <v>833</v>
      </c>
      <c r="AC244" s="28"/>
      <c r="AD244" s="28">
        <v>1083.49</v>
      </c>
      <c r="AE244" s="28">
        <v>834</v>
      </c>
      <c r="AF244" s="28"/>
      <c r="AG244" s="28">
        <v>22.89</v>
      </c>
      <c r="AH244" s="28">
        <v>833</v>
      </c>
      <c r="AI244" s="28"/>
      <c r="AJ244" s="28"/>
      <c r="AK244" s="28"/>
      <c r="AL244" s="27">
        <f t="shared" si="46"/>
        <v>15497</v>
      </c>
      <c r="AM244" s="27">
        <f t="shared" si="47"/>
        <v>9167</v>
      </c>
      <c r="AN244" s="28"/>
      <c r="AO244" s="20">
        <v>10000</v>
      </c>
      <c r="AQ244" s="1" t="str">
        <f t="shared" si="45"/>
        <v>OVER</v>
      </c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>
        <v>510</v>
      </c>
      <c r="P245" s="28">
        <v>84</v>
      </c>
      <c r="Q245" s="28"/>
      <c r="R245" s="28">
        <v>0</v>
      </c>
      <c r="S245" s="28">
        <v>83</v>
      </c>
      <c r="T245" s="28"/>
      <c r="U245" s="28">
        <v>0</v>
      </c>
      <c r="V245" s="28">
        <v>83</v>
      </c>
      <c r="W245" s="28"/>
      <c r="X245" s="28">
        <v>0</v>
      </c>
      <c r="Y245" s="28">
        <v>84</v>
      </c>
      <c r="Z245" s="28"/>
      <c r="AA245" s="28">
        <v>0</v>
      </c>
      <c r="AB245" s="28">
        <v>83</v>
      </c>
      <c r="AC245" s="28"/>
      <c r="AD245" s="28">
        <v>0</v>
      </c>
      <c r="AE245" s="28">
        <v>84</v>
      </c>
      <c r="AF245" s="28"/>
      <c r="AG245" s="28">
        <v>125</v>
      </c>
      <c r="AH245" s="28">
        <v>83</v>
      </c>
      <c r="AI245" s="28"/>
      <c r="AJ245" s="28"/>
      <c r="AK245" s="28"/>
      <c r="AL245" s="27">
        <f t="shared" si="46"/>
        <v>2155</v>
      </c>
      <c r="AM245" s="27">
        <f t="shared" si="47"/>
        <v>917</v>
      </c>
      <c r="AN245" s="28"/>
      <c r="AO245" s="20">
        <v>1000</v>
      </c>
      <c r="AQ245" s="1" t="str">
        <f t="shared" si="45"/>
        <v>OVER</v>
      </c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>
        <v>750</v>
      </c>
      <c r="P246" s="28">
        <v>125</v>
      </c>
      <c r="Q246" s="28"/>
      <c r="R246" s="28">
        <v>900</v>
      </c>
      <c r="S246" s="28">
        <v>125</v>
      </c>
      <c r="T246" s="28"/>
      <c r="U246" s="28">
        <v>450</v>
      </c>
      <c r="V246" s="28">
        <v>125</v>
      </c>
      <c r="W246" s="28"/>
      <c r="X246" s="28">
        <v>0</v>
      </c>
      <c r="Y246" s="28">
        <v>125</v>
      </c>
      <c r="Z246" s="28"/>
      <c r="AA246" s="28">
        <v>0</v>
      </c>
      <c r="AB246" s="28">
        <v>125</v>
      </c>
      <c r="AC246" s="28"/>
      <c r="AD246" s="28">
        <v>122.28</v>
      </c>
      <c r="AE246" s="28">
        <v>125</v>
      </c>
      <c r="AF246" s="28"/>
      <c r="AG246" s="28">
        <v>150</v>
      </c>
      <c r="AH246" s="28">
        <v>125</v>
      </c>
      <c r="AI246" s="28"/>
      <c r="AJ246" s="28"/>
      <c r="AK246" s="28"/>
      <c r="AL246" s="27">
        <f t="shared" si="46"/>
        <v>3747.2200000000003</v>
      </c>
      <c r="AM246" s="27">
        <f t="shared" si="47"/>
        <v>1375</v>
      </c>
      <c r="AN246" s="28"/>
      <c r="AO246" s="20">
        <v>1500</v>
      </c>
      <c r="AQ246" s="1" t="str">
        <f t="shared" si="45"/>
        <v>OVER</v>
      </c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>
        <v>4576.32</v>
      </c>
      <c r="P247" s="28">
        <v>1000</v>
      </c>
      <c r="Q247" s="28"/>
      <c r="R247" s="28">
        <v>4484.09</v>
      </c>
      <c r="S247" s="28">
        <v>1000</v>
      </c>
      <c r="T247" s="28"/>
      <c r="U247" s="28">
        <v>5214.8900000000003</v>
      </c>
      <c r="V247" s="28">
        <v>1000</v>
      </c>
      <c r="W247" s="28"/>
      <c r="X247" s="28">
        <v>129</v>
      </c>
      <c r="Y247" s="28">
        <v>1000</v>
      </c>
      <c r="Z247" s="28"/>
      <c r="AA247" s="28">
        <v>1708.65</v>
      </c>
      <c r="AB247" s="28">
        <v>1000</v>
      </c>
      <c r="AC247" s="28"/>
      <c r="AD247" s="28">
        <v>102</v>
      </c>
      <c r="AE247" s="28">
        <v>1000</v>
      </c>
      <c r="AF247" s="28"/>
      <c r="AG247" s="28">
        <v>40.76</v>
      </c>
      <c r="AH247" s="28">
        <v>1000</v>
      </c>
      <c r="AI247" s="28"/>
      <c r="AJ247" s="28"/>
      <c r="AK247" s="28"/>
      <c r="AL247" s="27">
        <f t="shared" si="46"/>
        <v>25101.26</v>
      </c>
      <c r="AM247" s="27">
        <f t="shared" si="47"/>
        <v>11000</v>
      </c>
      <c r="AN247" s="28"/>
      <c r="AO247" s="20">
        <v>12000</v>
      </c>
      <c r="AQ247" s="1" t="str">
        <f t="shared" si="45"/>
        <v>OVER</v>
      </c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>
        <v>0</v>
      </c>
      <c r="Q248" s="28"/>
      <c r="R248" s="28">
        <v>18698.009999999998</v>
      </c>
      <c r="S248" s="28">
        <v>0</v>
      </c>
      <c r="T248" s="28"/>
      <c r="U248" s="28">
        <v>104476.5</v>
      </c>
      <c r="V248" s="28">
        <v>0</v>
      </c>
      <c r="W248" s="28"/>
      <c r="X248" s="28">
        <v>0</v>
      </c>
      <c r="Y248" s="28">
        <v>0</v>
      </c>
      <c r="Z248" s="28"/>
      <c r="AA248" s="43">
        <v>48075</v>
      </c>
      <c r="AB248" s="28">
        <v>0</v>
      </c>
      <c r="AC248" s="28"/>
      <c r="AD248" s="44"/>
      <c r="AE248" s="28"/>
      <c r="AF248" s="28"/>
      <c r="AG248" s="44">
        <v>0</v>
      </c>
      <c r="AH248" s="28">
        <v>0</v>
      </c>
      <c r="AI248" s="28"/>
      <c r="AJ248" s="44"/>
      <c r="AK248" s="28"/>
      <c r="AL248" s="122">
        <f t="shared" si="46"/>
        <v>454326.01</v>
      </c>
      <c r="AM248" s="27">
        <f t="shared" si="47"/>
        <v>0</v>
      </c>
      <c r="AN248" s="28"/>
      <c r="AO248" s="20">
        <v>0</v>
      </c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279697.82000000007</v>
      </c>
      <c r="P250" s="29">
        <f>SUM(P206:P249)</f>
        <v>285309</v>
      </c>
      <c r="Q250" s="34"/>
      <c r="R250" s="29">
        <f>SUM(R206:R249)</f>
        <v>349350.50000000006</v>
      </c>
      <c r="S250" s="29">
        <f>SUM(S206:S249)</f>
        <v>285305</v>
      </c>
      <c r="T250" s="34"/>
      <c r="U250" s="29">
        <f>SUM(U206:U249)</f>
        <v>290562.03999999998</v>
      </c>
      <c r="V250" s="29">
        <f>SUM(V206:V249)</f>
        <v>272799</v>
      </c>
      <c r="W250" s="34"/>
      <c r="X250" s="29">
        <f>SUM(X206:X249)</f>
        <v>302098.42000000004</v>
      </c>
      <c r="Y250" s="29">
        <f>SUM(Y206:Y249)</f>
        <v>239514</v>
      </c>
      <c r="Z250" s="34"/>
      <c r="AA250" s="29">
        <f>SUM(AA206:AA249)</f>
        <v>366534.76999999996</v>
      </c>
      <c r="AB250" s="29">
        <f>SUM(AB206:AB249)</f>
        <v>317104</v>
      </c>
      <c r="AC250" s="34"/>
      <c r="AD250" s="29">
        <f>SUM(AD206:AD249)</f>
        <v>241156.42000000007</v>
      </c>
      <c r="AE250" s="29">
        <f>SUM(AE206:AE249)</f>
        <v>241555</v>
      </c>
      <c r="AF250" s="34"/>
      <c r="AG250" s="29">
        <f>SUM(AG206:AG249)</f>
        <v>214671.49000000008</v>
      </c>
      <c r="AH250" s="29">
        <f>SUM(AH206:AH249)</f>
        <v>239505</v>
      </c>
      <c r="AI250" s="34"/>
      <c r="AJ250" s="29">
        <f>SUM(AJ206:AJ249)</f>
        <v>0</v>
      </c>
      <c r="AK250" s="29">
        <f>SUM(AK206:AK249)</f>
        <v>0</v>
      </c>
      <c r="AL250" s="41">
        <f>SUM(AL206:AL249)+0.02</f>
        <v>3642179.9</v>
      </c>
      <c r="AM250" s="29">
        <f>SUM(AM206:AM249)</f>
        <v>3065307</v>
      </c>
      <c r="AN250" s="34"/>
      <c r="AO250" s="29">
        <f>SUM(AO206:AO249)</f>
        <v>3309812</v>
      </c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48"/>
      <c r="AH251" s="48"/>
      <c r="AI251" s="48"/>
      <c r="AJ251" s="48"/>
      <c r="AK251" s="48"/>
      <c r="AL251" s="48"/>
      <c r="AM251" s="48"/>
      <c r="AN251" s="48"/>
      <c r="AO251" s="48"/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49"/>
      <c r="AH252" s="49"/>
      <c r="AI252" s="49"/>
      <c r="AJ252" s="49"/>
      <c r="AK252" s="49"/>
      <c r="AL252" s="49"/>
      <c r="AM252" s="49"/>
      <c r="AN252" s="49"/>
      <c r="AO252" s="48"/>
    </row>
    <row r="253" spans="1:43" x14ac:dyDescent="0.2">
      <c r="A253" s="14" t="s">
        <v>78</v>
      </c>
      <c r="B253" s="13" t="s">
        <v>77</v>
      </c>
      <c r="C253" s="44">
        <v>144.80000000000001</v>
      </c>
      <c r="D253" s="44">
        <v>625</v>
      </c>
      <c r="E253" s="44"/>
      <c r="F253" s="44">
        <v>218.59</v>
      </c>
      <c r="G253" s="44">
        <v>625</v>
      </c>
      <c r="H253" s="44"/>
      <c r="I253" s="44">
        <v>613.95000000000005</v>
      </c>
      <c r="J253" s="44">
        <v>625</v>
      </c>
      <c r="K253" s="44"/>
      <c r="L253" s="44">
        <v>161.55000000000001</v>
      </c>
      <c r="M253" s="44">
        <v>625</v>
      </c>
      <c r="N253" s="44"/>
      <c r="O253" s="44">
        <v>243</v>
      </c>
      <c r="P253" s="44">
        <v>625</v>
      </c>
      <c r="Q253" s="44"/>
      <c r="R253" s="44">
        <v>9150.91</v>
      </c>
      <c r="S253" s="44">
        <v>625</v>
      </c>
      <c r="T253" s="44"/>
      <c r="U253" s="44">
        <v>155.96</v>
      </c>
      <c r="V253" s="44">
        <v>625</v>
      </c>
      <c r="W253" s="44"/>
      <c r="X253" s="44">
        <v>171.87</v>
      </c>
      <c r="Y253" s="44">
        <v>625</v>
      </c>
      <c r="Z253" s="44"/>
      <c r="AA253" s="44">
        <v>125.2</v>
      </c>
      <c r="AB253" s="44">
        <v>625</v>
      </c>
      <c r="AC253" s="44"/>
      <c r="AD253" s="44">
        <v>140.72</v>
      </c>
      <c r="AE253" s="44">
        <v>625</v>
      </c>
      <c r="AF253" s="44"/>
      <c r="AG253" s="44">
        <v>142.82</v>
      </c>
      <c r="AH253" s="44">
        <v>625</v>
      </c>
      <c r="AI253" s="44"/>
      <c r="AJ253" s="44"/>
      <c r="AK253" s="44"/>
      <c r="AL253" s="27">
        <f t="shared" ref="AL253:AL261" si="50">+C253+F253+I253+L253+O253+R253+U253+X253+AA253+AD253+AG253+AJ253</f>
        <v>11269.369999999999</v>
      </c>
      <c r="AM253" s="27">
        <f t="shared" ref="AM253:AM261" si="51">+D253+G253+J253+M253+P253+S253+V253+Y253+AB253+AE253+AH253+AK253</f>
        <v>6875</v>
      </c>
      <c r="AN253" s="28"/>
      <c r="AO253" s="20">
        <v>7500</v>
      </c>
    </row>
    <row r="254" spans="1:43" x14ac:dyDescent="0.2">
      <c r="A254" s="14" t="s">
        <v>76</v>
      </c>
      <c r="B254" s="13" t="s">
        <v>75</v>
      </c>
      <c r="C254" s="44">
        <v>842.23</v>
      </c>
      <c r="D254" s="44">
        <v>5000</v>
      </c>
      <c r="E254" s="44"/>
      <c r="F254" s="44">
        <v>529.46</v>
      </c>
      <c r="G254" s="44">
        <v>5000</v>
      </c>
      <c r="H254" s="44"/>
      <c r="I254" s="44">
        <v>2439.62</v>
      </c>
      <c r="J254" s="44">
        <v>5000</v>
      </c>
      <c r="K254" s="44"/>
      <c r="L254" s="44">
        <v>16912.84</v>
      </c>
      <c r="M254" s="44">
        <v>5000</v>
      </c>
      <c r="N254" s="44"/>
      <c r="O254" s="44">
        <v>1143.81</v>
      </c>
      <c r="P254" s="44">
        <v>5000</v>
      </c>
      <c r="Q254" s="44"/>
      <c r="R254" s="44">
        <v>19951.509999999998</v>
      </c>
      <c r="S254" s="44">
        <v>5000</v>
      </c>
      <c r="T254" s="44"/>
      <c r="U254" s="44">
        <v>5741.78</v>
      </c>
      <c r="V254" s="44">
        <v>5000</v>
      </c>
      <c r="W254" s="44"/>
      <c r="X254" s="44">
        <v>1702.12</v>
      </c>
      <c r="Y254" s="44">
        <v>5000</v>
      </c>
      <c r="Z254" s="44"/>
      <c r="AA254" s="44">
        <v>1602.82</v>
      </c>
      <c r="AB254" s="44">
        <v>5000</v>
      </c>
      <c r="AC254" s="44"/>
      <c r="AD254" s="44">
        <v>1316.93</v>
      </c>
      <c r="AE254" s="44">
        <v>5000</v>
      </c>
      <c r="AF254" s="44"/>
      <c r="AG254" s="44">
        <v>1671.38</v>
      </c>
      <c r="AH254" s="44">
        <v>5000</v>
      </c>
      <c r="AI254" s="44"/>
      <c r="AJ254" s="44"/>
      <c r="AK254" s="44"/>
      <c r="AL254" s="27">
        <f t="shared" si="50"/>
        <v>53854.5</v>
      </c>
      <c r="AM254" s="27">
        <f t="shared" si="51"/>
        <v>55000</v>
      </c>
      <c r="AN254" s="28"/>
      <c r="AO254" s="20">
        <v>60000</v>
      </c>
    </row>
    <row r="255" spans="1:43" x14ac:dyDescent="0.2">
      <c r="A255" s="14" t="s">
        <v>74</v>
      </c>
      <c r="B255" s="13" t="s">
        <v>73</v>
      </c>
      <c r="C255" s="44">
        <v>936.86</v>
      </c>
      <c r="D255" s="44">
        <v>1667</v>
      </c>
      <c r="E255" s="44"/>
      <c r="F255" s="44">
        <v>1035.72</v>
      </c>
      <c r="G255" s="44">
        <v>1667</v>
      </c>
      <c r="H255" s="44"/>
      <c r="I255" s="44">
        <v>1774.52</v>
      </c>
      <c r="J255" s="44">
        <v>1667</v>
      </c>
      <c r="K255" s="44"/>
      <c r="L255" s="44">
        <v>1449.23</v>
      </c>
      <c r="M255" s="44">
        <v>1667</v>
      </c>
      <c r="N255" s="44"/>
      <c r="O255" s="44">
        <v>2207.0500000000002</v>
      </c>
      <c r="P255" s="44">
        <v>1667</v>
      </c>
      <c r="Q255" s="44"/>
      <c r="R255" s="44">
        <v>1425.26</v>
      </c>
      <c r="S255" s="44">
        <v>1666</v>
      </c>
      <c r="T255" s="44"/>
      <c r="U255" s="44">
        <v>966.81</v>
      </c>
      <c r="V255" s="44">
        <v>1667</v>
      </c>
      <c r="W255" s="44"/>
      <c r="X255" s="44">
        <v>992.52</v>
      </c>
      <c r="Y255" s="44">
        <v>1666</v>
      </c>
      <c r="Z255" s="44"/>
      <c r="AA255" s="44">
        <v>2150.19</v>
      </c>
      <c r="AB255" s="44">
        <v>1666</v>
      </c>
      <c r="AC255" s="44"/>
      <c r="AD255" s="44">
        <v>1222.71</v>
      </c>
      <c r="AE255" s="44">
        <v>1667</v>
      </c>
      <c r="AF255" s="44"/>
      <c r="AG255" s="44">
        <v>1228.77</v>
      </c>
      <c r="AH255" s="44">
        <v>1666</v>
      </c>
      <c r="AI255" s="44"/>
      <c r="AJ255" s="44"/>
      <c r="AK255" s="44"/>
      <c r="AL255" s="27">
        <f t="shared" si="50"/>
        <v>15389.64</v>
      </c>
      <c r="AM255" s="27">
        <f t="shared" si="51"/>
        <v>18333</v>
      </c>
      <c r="AN255" s="28"/>
      <c r="AO255" s="20">
        <v>20000</v>
      </c>
    </row>
    <row r="256" spans="1:43" x14ac:dyDescent="0.2">
      <c r="A256" s="14" t="s">
        <v>72</v>
      </c>
      <c r="B256" s="13" t="s">
        <v>71</v>
      </c>
      <c r="C256" s="44">
        <v>153</v>
      </c>
      <c r="D256" s="44">
        <v>833</v>
      </c>
      <c r="E256" s="44"/>
      <c r="F256" s="44">
        <v>6686.15</v>
      </c>
      <c r="G256" s="44">
        <v>833</v>
      </c>
      <c r="H256" s="44"/>
      <c r="I256" s="44">
        <v>317.8</v>
      </c>
      <c r="J256" s="44">
        <v>834</v>
      </c>
      <c r="K256" s="44"/>
      <c r="L256" s="44">
        <v>227</v>
      </c>
      <c r="M256" s="44">
        <v>833</v>
      </c>
      <c r="N256" s="44"/>
      <c r="O256" s="44">
        <v>0</v>
      </c>
      <c r="P256" s="44">
        <v>834</v>
      </c>
      <c r="Q256" s="44"/>
      <c r="R256" s="44">
        <v>322.13</v>
      </c>
      <c r="S256" s="44">
        <v>833</v>
      </c>
      <c r="T256" s="44"/>
      <c r="U256" s="44">
        <v>233.88</v>
      </c>
      <c r="V256" s="44">
        <v>833</v>
      </c>
      <c r="W256" s="44"/>
      <c r="X256" s="44">
        <v>840.21</v>
      </c>
      <c r="Y256" s="44">
        <v>834</v>
      </c>
      <c r="Z256" s="44"/>
      <c r="AA256" s="44">
        <v>0</v>
      </c>
      <c r="AB256" s="44">
        <v>833</v>
      </c>
      <c r="AC256" s="44"/>
      <c r="AD256" s="44"/>
      <c r="AE256" s="44">
        <v>834</v>
      </c>
      <c r="AF256" s="44"/>
      <c r="AG256" s="44">
        <v>68</v>
      </c>
      <c r="AH256" s="44">
        <v>833</v>
      </c>
      <c r="AI256" s="44"/>
      <c r="AJ256" s="44"/>
      <c r="AK256" s="44"/>
      <c r="AL256" s="27">
        <f t="shared" si="50"/>
        <v>8848.17</v>
      </c>
      <c r="AM256" s="27">
        <f t="shared" si="51"/>
        <v>9167</v>
      </c>
      <c r="AN256" s="28"/>
      <c r="AO256" s="20">
        <v>10000</v>
      </c>
    </row>
    <row r="257" spans="1:41" x14ac:dyDescent="0.2">
      <c r="A257" s="14" t="s">
        <v>70</v>
      </c>
      <c r="B257" s="13" t="s">
        <v>69</v>
      </c>
      <c r="C257" s="44">
        <v>0</v>
      </c>
      <c r="D257" s="44">
        <v>0</v>
      </c>
      <c r="E257" s="44"/>
      <c r="F257" s="44"/>
      <c r="G257" s="44">
        <v>0</v>
      </c>
      <c r="H257" s="44"/>
      <c r="I257" s="44"/>
      <c r="J257" s="44"/>
      <c r="K257" s="44"/>
      <c r="L257" s="44"/>
      <c r="M257" s="44"/>
      <c r="N257" s="44"/>
      <c r="O257" s="44">
        <v>0</v>
      </c>
      <c r="P257" s="44">
        <v>0</v>
      </c>
      <c r="Q257" s="44"/>
      <c r="R257" s="44">
        <v>0</v>
      </c>
      <c r="S257" s="44">
        <v>0</v>
      </c>
      <c r="T257" s="44"/>
      <c r="U257" s="44">
        <v>0</v>
      </c>
      <c r="V257" s="44">
        <v>0</v>
      </c>
      <c r="W257" s="44"/>
      <c r="X257" s="44">
        <v>0</v>
      </c>
      <c r="Y257" s="44">
        <v>0</v>
      </c>
      <c r="Z257" s="44"/>
      <c r="AA257" s="44">
        <v>0</v>
      </c>
      <c r="AB257" s="44">
        <v>0</v>
      </c>
      <c r="AC257" s="44"/>
      <c r="AD257" s="44"/>
      <c r="AE257" s="44"/>
      <c r="AF257" s="44"/>
      <c r="AG257" s="44">
        <v>186.04</v>
      </c>
      <c r="AH257" s="44">
        <v>0</v>
      </c>
      <c r="AI257" s="44"/>
      <c r="AJ257" s="44"/>
      <c r="AK257" s="44"/>
      <c r="AL257" s="27">
        <f t="shared" si="50"/>
        <v>186.04</v>
      </c>
      <c r="AM257" s="27">
        <f t="shared" si="51"/>
        <v>0</v>
      </c>
      <c r="AN257" s="28"/>
      <c r="AO257" s="20"/>
    </row>
    <row r="258" spans="1:41" x14ac:dyDescent="0.2">
      <c r="A258" s="14" t="s">
        <v>68</v>
      </c>
      <c r="B258" s="13" t="s">
        <v>67</v>
      </c>
      <c r="C258" s="44">
        <v>240.31</v>
      </c>
      <c r="D258" s="44">
        <v>42</v>
      </c>
      <c r="E258" s="44"/>
      <c r="F258" s="44">
        <v>909.31</v>
      </c>
      <c r="G258" s="44">
        <v>41</v>
      </c>
      <c r="H258" s="44"/>
      <c r="I258" s="44">
        <v>15588.5</v>
      </c>
      <c r="J258" s="44">
        <v>42</v>
      </c>
      <c r="K258" s="44"/>
      <c r="L258" s="44">
        <v>108</v>
      </c>
      <c r="M258" s="44">
        <v>41</v>
      </c>
      <c r="N258" s="44"/>
      <c r="O258" s="44">
        <v>0</v>
      </c>
      <c r="P258" s="44">
        <v>42</v>
      </c>
      <c r="Q258" s="44"/>
      <c r="R258" s="44">
        <v>5528.38</v>
      </c>
      <c r="S258" s="44">
        <v>41</v>
      </c>
      <c r="T258" s="44"/>
      <c r="U258" s="44">
        <v>2708.56</v>
      </c>
      <c r="V258" s="44">
        <v>42</v>
      </c>
      <c r="W258" s="44"/>
      <c r="X258" s="44">
        <v>32710</v>
      </c>
      <c r="Y258" s="44">
        <v>42</v>
      </c>
      <c r="Z258" s="44"/>
      <c r="AA258" s="44">
        <v>17166.27</v>
      </c>
      <c r="AB258" s="44">
        <v>41</v>
      </c>
      <c r="AC258" s="44"/>
      <c r="AD258" s="44">
        <v>6622.07</v>
      </c>
      <c r="AE258" s="44">
        <v>42</v>
      </c>
      <c r="AF258" s="44"/>
      <c r="AG258" s="44">
        <v>1621.56</v>
      </c>
      <c r="AH258" s="44">
        <v>42</v>
      </c>
      <c r="AI258" s="44"/>
      <c r="AJ258" s="44"/>
      <c r="AK258" s="44"/>
      <c r="AL258" s="122">
        <f t="shared" si="50"/>
        <v>83202.959999999992</v>
      </c>
      <c r="AM258" s="27">
        <f t="shared" si="51"/>
        <v>458</v>
      </c>
      <c r="AN258" s="28"/>
      <c r="AO258" s="20">
        <v>500</v>
      </c>
    </row>
    <row r="259" spans="1:41" x14ac:dyDescent="0.2">
      <c r="A259" s="14">
        <v>6012725</v>
      </c>
      <c r="B259" s="13" t="s">
        <v>398</v>
      </c>
      <c r="C259" s="44">
        <v>836.33</v>
      </c>
      <c r="D259" s="44">
        <v>0</v>
      </c>
      <c r="E259" s="44"/>
      <c r="F259" s="44">
        <v>836.33</v>
      </c>
      <c r="G259" s="44">
        <v>0</v>
      </c>
      <c r="H259" s="44"/>
      <c r="I259" s="44">
        <v>836.33</v>
      </c>
      <c r="J259" s="44">
        <v>0</v>
      </c>
      <c r="K259" s="44"/>
      <c r="L259" s="44">
        <v>836.33</v>
      </c>
      <c r="M259" s="44"/>
      <c r="N259" s="44"/>
      <c r="O259" s="44">
        <v>836.33</v>
      </c>
      <c r="P259" s="44">
        <v>0</v>
      </c>
      <c r="Q259" s="44"/>
      <c r="R259" s="44">
        <v>836.33</v>
      </c>
      <c r="S259" s="44">
        <v>0</v>
      </c>
      <c r="T259" s="44"/>
      <c r="U259" s="44">
        <v>836.33</v>
      </c>
      <c r="V259" s="44">
        <v>0</v>
      </c>
      <c r="W259" s="44"/>
      <c r="X259" s="44">
        <v>836.33</v>
      </c>
      <c r="Y259" s="44">
        <v>0</v>
      </c>
      <c r="Z259" s="44"/>
      <c r="AA259" s="44">
        <v>1672.66</v>
      </c>
      <c r="AB259" s="44">
        <v>0</v>
      </c>
      <c r="AC259" s="44"/>
      <c r="AD259" s="44">
        <v>836.33</v>
      </c>
      <c r="AE259" s="44"/>
      <c r="AF259" s="44"/>
      <c r="AG259" s="44">
        <v>0</v>
      </c>
      <c r="AH259" s="44">
        <v>0</v>
      </c>
      <c r="AI259" s="44"/>
      <c r="AJ259" s="44"/>
      <c r="AK259" s="44"/>
      <c r="AL259" s="122">
        <f t="shared" si="50"/>
        <v>9199.630000000001</v>
      </c>
      <c r="AM259" s="27">
        <f t="shared" si="51"/>
        <v>0</v>
      </c>
      <c r="AN259" s="28"/>
      <c r="AO259" s="20"/>
    </row>
    <row r="260" spans="1:41" x14ac:dyDescent="0.2">
      <c r="A260" s="14">
        <v>6012750</v>
      </c>
      <c r="B260" s="13" t="s">
        <v>373</v>
      </c>
      <c r="C260" s="44">
        <v>3391.28</v>
      </c>
      <c r="D260" s="44">
        <v>0</v>
      </c>
      <c r="E260" s="44"/>
      <c r="F260" s="44">
        <v>17374.77</v>
      </c>
      <c r="G260" s="44">
        <v>0</v>
      </c>
      <c r="H260" s="44"/>
      <c r="I260" s="44">
        <v>100133.75</v>
      </c>
      <c r="J260" s="44">
        <v>0</v>
      </c>
      <c r="K260" s="44"/>
      <c r="L260" s="44"/>
      <c r="M260" s="44"/>
      <c r="N260" s="44"/>
      <c r="O260" s="44">
        <v>13.33</v>
      </c>
      <c r="P260" s="44">
        <v>0</v>
      </c>
      <c r="Q260" s="44"/>
      <c r="R260" s="44">
        <v>570</v>
      </c>
      <c r="S260" s="44">
        <v>0</v>
      </c>
      <c r="T260" s="44"/>
      <c r="U260" s="44">
        <v>3471.1</v>
      </c>
      <c r="V260" s="44">
        <v>0</v>
      </c>
      <c r="W260" s="44"/>
      <c r="X260" s="44">
        <v>3452.06</v>
      </c>
      <c r="Y260" s="44">
        <v>0</v>
      </c>
      <c r="Z260" s="44"/>
      <c r="AA260" s="44">
        <v>75517.75</v>
      </c>
      <c r="AB260" s="44">
        <v>0</v>
      </c>
      <c r="AC260" s="44"/>
      <c r="AD260" s="44">
        <v>934.66</v>
      </c>
      <c r="AE260" s="44"/>
      <c r="AF260" s="44"/>
      <c r="AG260" s="44">
        <v>2340.1</v>
      </c>
      <c r="AH260" s="44">
        <v>0</v>
      </c>
      <c r="AI260" s="44"/>
      <c r="AJ260" s="44"/>
      <c r="AK260" s="44"/>
      <c r="AL260" s="122">
        <f t="shared" si="50"/>
        <v>207198.80000000002</v>
      </c>
      <c r="AM260" s="27">
        <f t="shared" si="51"/>
        <v>0</v>
      </c>
      <c r="AN260" s="28"/>
      <c r="AO260" s="20">
        <v>0</v>
      </c>
    </row>
    <row r="261" spans="1:41" x14ac:dyDescent="0.2">
      <c r="A261" s="14" t="s">
        <v>66</v>
      </c>
      <c r="B261" s="13" t="s">
        <v>65</v>
      </c>
      <c r="C261" s="44">
        <v>0</v>
      </c>
      <c r="D261" s="44">
        <v>0</v>
      </c>
      <c r="E261" s="44"/>
      <c r="F261" s="44">
        <v>0</v>
      </c>
      <c r="G261" s="44">
        <v>0</v>
      </c>
      <c r="H261" s="44"/>
      <c r="I261" s="44">
        <v>6.48</v>
      </c>
      <c r="J261" s="44">
        <v>0</v>
      </c>
      <c r="K261" s="44"/>
      <c r="L261" s="44"/>
      <c r="M261" s="44"/>
      <c r="N261" s="44"/>
      <c r="O261" s="44">
        <v>51.18</v>
      </c>
      <c r="P261" s="44">
        <v>0</v>
      </c>
      <c r="Q261" s="44"/>
      <c r="R261" s="44">
        <v>742.3</v>
      </c>
      <c r="S261" s="44">
        <v>0</v>
      </c>
      <c r="T261" s="44"/>
      <c r="U261" s="44">
        <v>0</v>
      </c>
      <c r="V261" s="44">
        <v>0</v>
      </c>
      <c r="W261" s="44"/>
      <c r="X261" s="44">
        <v>0</v>
      </c>
      <c r="Y261" s="44">
        <v>0</v>
      </c>
      <c r="Z261" s="44"/>
      <c r="AA261" s="44">
        <v>631.54999999999995</v>
      </c>
      <c r="AB261" s="44">
        <v>0</v>
      </c>
      <c r="AC261" s="44"/>
      <c r="AD261" s="44">
        <v>226.99</v>
      </c>
      <c r="AE261" s="44"/>
      <c r="AF261" s="44"/>
      <c r="AG261" s="44">
        <v>96.87</v>
      </c>
      <c r="AH261" s="44">
        <v>0</v>
      </c>
      <c r="AI261" s="44"/>
      <c r="AJ261" s="44"/>
      <c r="AK261" s="44"/>
      <c r="AL261" s="122">
        <f t="shared" si="50"/>
        <v>1755.37</v>
      </c>
      <c r="AM261" s="27">
        <f t="shared" si="51"/>
        <v>0</v>
      </c>
      <c r="AN261" s="28"/>
      <c r="AO261" s="20">
        <v>0</v>
      </c>
    </row>
    <row r="262" spans="1:41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</row>
    <row r="263" spans="1:41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27590.33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4494.7000000000007</v>
      </c>
      <c r="P263" s="31">
        <f>SUM(P253:P261)</f>
        <v>8168</v>
      </c>
      <c r="Q263" s="34"/>
      <c r="R263" s="31">
        <f>SUM(R253:R261)</f>
        <v>38526.82</v>
      </c>
      <c r="S263" s="31">
        <f>SUM(S253:S261)</f>
        <v>8165</v>
      </c>
      <c r="T263" s="34"/>
      <c r="U263" s="31">
        <f>SUM(U253:U261)</f>
        <v>14114.42</v>
      </c>
      <c r="V263" s="31">
        <f>SUM(V253:V261)</f>
        <v>8167</v>
      </c>
      <c r="W263" s="34"/>
      <c r="X263" s="31">
        <f>SUM(X253:X261)</f>
        <v>40705.11</v>
      </c>
      <c r="Y263" s="31">
        <f>SUM(Y253:Y261)</f>
        <v>8167</v>
      </c>
      <c r="Z263" s="34"/>
      <c r="AA263" s="31">
        <f>SUM(AA253:AA261)</f>
        <v>98866.44</v>
      </c>
      <c r="AB263" s="31">
        <f>SUM(AB253:AB261)</f>
        <v>8165</v>
      </c>
      <c r="AC263" s="34"/>
      <c r="AD263" s="31">
        <f>SUM(AD253:AD261)</f>
        <v>11300.41</v>
      </c>
      <c r="AE263" s="31">
        <f>SUM(AE253:AE261)</f>
        <v>8168</v>
      </c>
      <c r="AF263" s="34"/>
      <c r="AG263" s="31">
        <f>SUM(AG253:AG261)</f>
        <v>7355.54</v>
      </c>
      <c r="AH263" s="31">
        <f>SUM(AH253:AH261)</f>
        <v>8166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390904.48</v>
      </c>
      <c r="AM263" s="31">
        <f>SUM(AM253:AM261)</f>
        <v>89833</v>
      </c>
      <c r="AN263" s="34"/>
      <c r="AO263" s="31">
        <f>SUM(AO253:AO261)</f>
        <v>98000</v>
      </c>
    </row>
    <row r="264" spans="1:41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</row>
    <row r="265" spans="1:41" x14ac:dyDescent="0.2">
      <c r="A265" s="14" t="s">
        <v>63</v>
      </c>
      <c r="B265" s="13" t="s">
        <v>41</v>
      </c>
      <c r="C265" s="44">
        <v>8611.75</v>
      </c>
      <c r="D265" s="44">
        <v>8367</v>
      </c>
      <c r="E265" s="44"/>
      <c r="F265" s="44">
        <v>9079.14</v>
      </c>
      <c r="G265" s="44">
        <v>7781</v>
      </c>
      <c r="H265" s="44"/>
      <c r="I265" s="44">
        <v>7393.78</v>
      </c>
      <c r="J265" s="44">
        <v>7781</v>
      </c>
      <c r="K265" s="44"/>
      <c r="L265" s="44">
        <v>12530.94</v>
      </c>
      <c r="M265" s="44">
        <v>11964</v>
      </c>
      <c r="N265" s="44"/>
      <c r="O265" s="44">
        <v>5379.13</v>
      </c>
      <c r="P265" s="44">
        <v>7781</v>
      </c>
      <c r="Q265" s="44"/>
      <c r="R265" s="44">
        <v>8876.16</v>
      </c>
      <c r="S265" s="44">
        <v>7781</v>
      </c>
      <c r="T265" s="44"/>
      <c r="U265" s="44">
        <v>7968.3</v>
      </c>
      <c r="V265" s="44">
        <v>8368</v>
      </c>
      <c r="W265" s="44"/>
      <c r="X265" s="44">
        <v>7064.99</v>
      </c>
      <c r="Y265" s="44">
        <v>8368</v>
      </c>
      <c r="Z265" s="44"/>
      <c r="AA265" s="44">
        <v>13188.22</v>
      </c>
      <c r="AB265" s="44">
        <v>12551</v>
      </c>
      <c r="AC265" s="44"/>
      <c r="AD265" s="44">
        <v>9177.9</v>
      </c>
      <c r="AE265" s="44">
        <v>8367</v>
      </c>
      <c r="AF265" s="44"/>
      <c r="AG265" s="44">
        <v>9038.86</v>
      </c>
      <c r="AH265" s="44">
        <v>8367</v>
      </c>
      <c r="AI265" s="44"/>
      <c r="AJ265" s="44"/>
      <c r="AK265" s="44"/>
      <c r="AL265" s="27">
        <f t="shared" ref="AL265:AL283" si="52">+C265+F265+I265+L265+O265+R265+U265+X265+AA265+AD265+AG265+AJ265</f>
        <v>98309.17</v>
      </c>
      <c r="AM265" s="27">
        <f t="shared" ref="AM265:AM283" si="53">+D265+G265+J265+M265+P265+S265+V265+Y265+AB265+AE265+AH265+AK265</f>
        <v>97476</v>
      </c>
      <c r="AN265" s="28"/>
      <c r="AO265" s="20">
        <v>108778</v>
      </c>
    </row>
    <row r="266" spans="1:41" x14ac:dyDescent="0.2">
      <c r="A266" s="14">
        <v>6040101</v>
      </c>
      <c r="B266" s="13" t="s">
        <v>387</v>
      </c>
      <c r="C266" s="44">
        <v>29.61</v>
      </c>
      <c r="D266" s="44">
        <v>0</v>
      </c>
      <c r="E266" s="44"/>
      <c r="F266" s="44">
        <v>253.41</v>
      </c>
      <c r="G266" s="44">
        <v>587</v>
      </c>
      <c r="H266" s="44"/>
      <c r="I266" s="44">
        <v>198.09</v>
      </c>
      <c r="J266" s="44">
        <v>587</v>
      </c>
      <c r="K266" s="44"/>
      <c r="L266" s="44">
        <v>185.55</v>
      </c>
      <c r="M266" s="44">
        <v>587</v>
      </c>
      <c r="N266" s="44"/>
      <c r="O266" s="44">
        <v>105.73</v>
      </c>
      <c r="P266" s="44">
        <v>587</v>
      </c>
      <c r="Q266" s="44"/>
      <c r="R266" s="44">
        <v>216.24</v>
      </c>
      <c r="S266" s="44">
        <v>587</v>
      </c>
      <c r="T266" s="44"/>
      <c r="U266" s="44">
        <v>610.25</v>
      </c>
      <c r="V266" s="44">
        <v>0</v>
      </c>
      <c r="W266" s="44"/>
      <c r="X266" s="44">
        <v>212.53</v>
      </c>
      <c r="Y266" s="44">
        <v>0</v>
      </c>
      <c r="Z266" s="44"/>
      <c r="AA266" s="44">
        <v>209.57</v>
      </c>
      <c r="AB266" s="44">
        <v>0</v>
      </c>
      <c r="AC266" s="44"/>
      <c r="AD266" s="44">
        <v>755.86</v>
      </c>
      <c r="AE266" s="44">
        <v>0</v>
      </c>
      <c r="AF266" s="44"/>
      <c r="AG266" s="44">
        <v>890.7</v>
      </c>
      <c r="AH266" s="44">
        <v>0</v>
      </c>
      <c r="AI266" s="44"/>
      <c r="AJ266" s="44"/>
      <c r="AK266" s="44"/>
      <c r="AL266" s="27">
        <f t="shared" ref="AL266" si="54">+C266+F266+I266+L266+O266+R266+U266+X266+AA266+AD266+AG266+AJ266</f>
        <v>3667.54</v>
      </c>
      <c r="AM266" s="27">
        <f t="shared" ref="AM266" si="55">+D266+G266+J266+M266+P266+S266+V266+Y266+AB266+AE266+AH266+AK266</f>
        <v>2935</v>
      </c>
      <c r="AN266" s="28"/>
      <c r="AO266" s="20">
        <v>0</v>
      </c>
    </row>
    <row r="267" spans="1:41" x14ac:dyDescent="0.2">
      <c r="A267" s="14" t="s">
        <v>62</v>
      </c>
      <c r="B267" s="13" t="s">
        <v>39</v>
      </c>
      <c r="C267" s="44">
        <v>624.42999999999995</v>
      </c>
      <c r="D267" s="44">
        <v>669</v>
      </c>
      <c r="E267" s="44"/>
      <c r="F267" s="44">
        <v>643.87</v>
      </c>
      <c r="G267" s="44">
        <v>669</v>
      </c>
      <c r="H267" s="44"/>
      <c r="I267" s="44">
        <v>647.29</v>
      </c>
      <c r="J267" s="44">
        <v>670</v>
      </c>
      <c r="K267" s="44"/>
      <c r="L267" s="44">
        <v>952.6</v>
      </c>
      <c r="M267" s="44">
        <v>1004</v>
      </c>
      <c r="N267" s="44"/>
      <c r="O267" s="44">
        <v>642.04</v>
      </c>
      <c r="P267" s="44">
        <v>670</v>
      </c>
      <c r="Q267" s="44"/>
      <c r="R267" s="44">
        <v>659.77</v>
      </c>
      <c r="S267" s="44">
        <v>669</v>
      </c>
      <c r="T267" s="44"/>
      <c r="U267" s="44">
        <v>696.19</v>
      </c>
      <c r="V267" s="44">
        <v>669</v>
      </c>
      <c r="W267" s="44"/>
      <c r="X267" s="44">
        <v>659.73</v>
      </c>
      <c r="Y267" s="44">
        <v>670</v>
      </c>
      <c r="Z267" s="44"/>
      <c r="AA267" s="44">
        <v>1098.67</v>
      </c>
      <c r="AB267" s="44">
        <v>1004</v>
      </c>
      <c r="AC267" s="44"/>
      <c r="AD267" s="44">
        <v>966.77</v>
      </c>
      <c r="AE267" s="44">
        <v>669</v>
      </c>
      <c r="AF267" s="44"/>
      <c r="AG267" s="44">
        <v>821.89</v>
      </c>
      <c r="AH267" s="44">
        <v>670</v>
      </c>
      <c r="AI267" s="44"/>
      <c r="AJ267" s="44"/>
      <c r="AK267" s="44"/>
      <c r="AL267" s="27">
        <f t="shared" si="52"/>
        <v>8413.25</v>
      </c>
      <c r="AM267" s="27">
        <f t="shared" si="53"/>
        <v>8033</v>
      </c>
      <c r="AN267" s="28"/>
      <c r="AO267" s="20">
        <v>8702</v>
      </c>
    </row>
    <row r="268" spans="1:41" x14ac:dyDescent="0.2">
      <c r="A268" s="14" t="s">
        <v>61</v>
      </c>
      <c r="B268" s="13" t="s">
        <v>37</v>
      </c>
      <c r="C268" s="44">
        <v>6328.91</v>
      </c>
      <c r="D268" s="44">
        <v>6917</v>
      </c>
      <c r="E268" s="44"/>
      <c r="F268" s="44">
        <v>6328.91</v>
      </c>
      <c r="G268" s="44">
        <v>6917</v>
      </c>
      <c r="H268" s="44"/>
      <c r="I268" s="44">
        <v>6437.07</v>
      </c>
      <c r="J268" s="44">
        <v>6917</v>
      </c>
      <c r="K268" s="44"/>
      <c r="L268" s="44">
        <v>6527.17</v>
      </c>
      <c r="M268" s="44">
        <v>6917</v>
      </c>
      <c r="N268" s="44"/>
      <c r="O268" s="44">
        <v>6581.75</v>
      </c>
      <c r="P268" s="44">
        <v>6917</v>
      </c>
      <c r="Q268" s="44"/>
      <c r="R268" s="44">
        <v>6581.75</v>
      </c>
      <c r="S268" s="44">
        <v>6917</v>
      </c>
      <c r="T268" s="44"/>
      <c r="U268" s="44">
        <v>6581.75</v>
      </c>
      <c r="V268" s="44">
        <v>6917</v>
      </c>
      <c r="W268" s="44"/>
      <c r="X268" s="44">
        <v>6581.75</v>
      </c>
      <c r="Y268" s="44">
        <v>6917</v>
      </c>
      <c r="Z268" s="44"/>
      <c r="AA268" s="44">
        <v>6581.75</v>
      </c>
      <c r="AB268" s="44">
        <v>6917</v>
      </c>
      <c r="AC268" s="44"/>
      <c r="AD268" s="44">
        <v>6581.75</v>
      </c>
      <c r="AE268" s="44">
        <v>6917</v>
      </c>
      <c r="AF268" s="44"/>
      <c r="AG268" s="44">
        <v>6581.75</v>
      </c>
      <c r="AH268" s="44">
        <v>6917</v>
      </c>
      <c r="AI268" s="44"/>
      <c r="AJ268" s="44"/>
      <c r="AK268" s="44"/>
      <c r="AL268" s="27">
        <f t="shared" si="52"/>
        <v>71694.31</v>
      </c>
      <c r="AM268" s="27">
        <f t="shared" si="53"/>
        <v>76087</v>
      </c>
      <c r="AN268" s="28"/>
      <c r="AO268" s="20">
        <v>83004</v>
      </c>
    </row>
    <row r="269" spans="1:41" x14ac:dyDescent="0.2">
      <c r="A269" s="14" t="s">
        <v>60</v>
      </c>
      <c r="B269" s="13" t="s">
        <v>59</v>
      </c>
      <c r="C269" s="44">
        <v>132.01</v>
      </c>
      <c r="D269" s="44">
        <v>136</v>
      </c>
      <c r="E269" s="44"/>
      <c r="F269" s="44">
        <v>138.37</v>
      </c>
      <c r="G269" s="44">
        <v>136</v>
      </c>
      <c r="H269" s="44"/>
      <c r="I269" s="44">
        <v>139.83000000000001</v>
      </c>
      <c r="J269" s="44">
        <v>136</v>
      </c>
      <c r="K269" s="44"/>
      <c r="L269" s="44">
        <v>0</v>
      </c>
      <c r="M269" s="44">
        <v>204</v>
      </c>
      <c r="N269" s="44"/>
      <c r="O269" s="44">
        <v>134.30000000000001</v>
      </c>
      <c r="P269" s="44">
        <v>136</v>
      </c>
      <c r="Q269" s="44"/>
      <c r="R269" s="44">
        <v>140.58000000000001</v>
      </c>
      <c r="S269" s="44">
        <v>136</v>
      </c>
      <c r="T269" s="44"/>
      <c r="U269" s="44">
        <v>147.87</v>
      </c>
      <c r="V269" s="44">
        <v>136</v>
      </c>
      <c r="W269" s="44"/>
      <c r="X269" s="44">
        <v>136.75</v>
      </c>
      <c r="Y269" s="44">
        <v>136</v>
      </c>
      <c r="Z269" s="44"/>
      <c r="AA269" s="44">
        <v>210.03</v>
      </c>
      <c r="AB269" s="44">
        <v>203</v>
      </c>
      <c r="AC269" s="44"/>
      <c r="AD269" s="44">
        <v>210.17</v>
      </c>
      <c r="AE269" s="44">
        <v>135</v>
      </c>
      <c r="AF269" s="44"/>
      <c r="AG269" s="44">
        <v>145.77000000000001</v>
      </c>
      <c r="AH269" s="44">
        <v>136</v>
      </c>
      <c r="AI269" s="44"/>
      <c r="AJ269" s="44"/>
      <c r="AK269" s="44"/>
      <c r="AL269" s="27">
        <f t="shared" si="52"/>
        <v>1535.68</v>
      </c>
      <c r="AM269" s="27">
        <f t="shared" si="53"/>
        <v>1630</v>
      </c>
      <c r="AN269" s="28"/>
      <c r="AO269" s="20">
        <v>1766</v>
      </c>
    </row>
    <row r="270" spans="1:41" x14ac:dyDescent="0.2">
      <c r="A270" s="14" t="s">
        <v>58</v>
      </c>
      <c r="B270" s="13" t="s">
        <v>57</v>
      </c>
      <c r="C270" s="44">
        <v>0</v>
      </c>
      <c r="D270" s="44">
        <v>500</v>
      </c>
      <c r="E270" s="44"/>
      <c r="F270" s="44">
        <v>0</v>
      </c>
      <c r="G270" s="44">
        <v>0</v>
      </c>
      <c r="H270" s="44"/>
      <c r="I270" s="44">
        <v>0</v>
      </c>
      <c r="J270" s="44">
        <v>0</v>
      </c>
      <c r="K270" s="44"/>
      <c r="L270" s="44">
        <v>420.94</v>
      </c>
      <c r="M270" s="44">
        <v>0</v>
      </c>
      <c r="N270" s="44"/>
      <c r="O270" s="44">
        <v>0</v>
      </c>
      <c r="P270" s="44">
        <v>0</v>
      </c>
      <c r="Q270" s="44"/>
      <c r="R270" s="44">
        <v>0</v>
      </c>
      <c r="S270" s="44">
        <v>0</v>
      </c>
      <c r="T270" s="44"/>
      <c r="U270" s="44">
        <v>200</v>
      </c>
      <c r="V270" s="44">
        <v>0</v>
      </c>
      <c r="W270" s="44"/>
      <c r="X270" s="44">
        <v>0</v>
      </c>
      <c r="Y270" s="44">
        <v>500</v>
      </c>
      <c r="Z270" s="44"/>
      <c r="AA270" s="44">
        <v>0</v>
      </c>
      <c r="AB270" s="44">
        <v>0</v>
      </c>
      <c r="AC270" s="44"/>
      <c r="AD270" s="44">
        <v>0</v>
      </c>
      <c r="AE270" s="44">
        <v>0</v>
      </c>
      <c r="AF270" s="44"/>
      <c r="AG270" s="44">
        <v>0</v>
      </c>
      <c r="AH270" s="44">
        <v>0</v>
      </c>
      <c r="AI270" s="44"/>
      <c r="AJ270" s="44"/>
      <c r="AK270" s="44"/>
      <c r="AL270" s="27">
        <f t="shared" si="52"/>
        <v>620.94000000000005</v>
      </c>
      <c r="AM270" s="27">
        <f t="shared" si="53"/>
        <v>1000</v>
      </c>
      <c r="AN270" s="28"/>
      <c r="AO270" s="20">
        <v>1000</v>
      </c>
    </row>
    <row r="271" spans="1:41" x14ac:dyDescent="0.2">
      <c r="A271" s="14" t="s">
        <v>56</v>
      </c>
      <c r="B271" s="13" t="s">
        <v>35</v>
      </c>
      <c r="C271" s="44">
        <v>247.7</v>
      </c>
      <c r="D271" s="44">
        <v>258</v>
      </c>
      <c r="E271" s="44"/>
      <c r="F271" s="44">
        <v>247.7</v>
      </c>
      <c r="G271" s="44">
        <v>258</v>
      </c>
      <c r="H271" s="44"/>
      <c r="I271" s="44">
        <v>247.7</v>
      </c>
      <c r="J271" s="44">
        <v>258</v>
      </c>
      <c r="K271" s="44"/>
      <c r="L271" s="44">
        <v>247.7</v>
      </c>
      <c r="M271" s="44">
        <v>387</v>
      </c>
      <c r="N271" s="44"/>
      <c r="O271" s="44">
        <v>247.7</v>
      </c>
      <c r="P271" s="44">
        <v>258</v>
      </c>
      <c r="Q271" s="44"/>
      <c r="R271" s="44">
        <v>249.58</v>
      </c>
      <c r="S271" s="44">
        <v>258</v>
      </c>
      <c r="T271" s="44"/>
      <c r="U271" s="44">
        <v>249.58</v>
      </c>
      <c r="V271" s="44">
        <v>258</v>
      </c>
      <c r="W271" s="44"/>
      <c r="X271" s="44">
        <v>821.84</v>
      </c>
      <c r="Y271" s="44">
        <v>258</v>
      </c>
      <c r="Z271" s="44"/>
      <c r="AA271" s="44">
        <v>249.58</v>
      </c>
      <c r="AB271" s="44">
        <v>257</v>
      </c>
      <c r="AC271" s="44"/>
      <c r="AD271" s="44">
        <v>249.58</v>
      </c>
      <c r="AE271" s="44">
        <v>386</v>
      </c>
      <c r="AF271" s="44"/>
      <c r="AG271" s="44">
        <v>249.58</v>
      </c>
      <c r="AH271" s="44">
        <v>257</v>
      </c>
      <c r="AI271" s="44"/>
      <c r="AJ271" s="44"/>
      <c r="AK271" s="44"/>
      <c r="AL271" s="27">
        <f t="shared" si="52"/>
        <v>3308.24</v>
      </c>
      <c r="AM271" s="27">
        <f t="shared" si="53"/>
        <v>3093</v>
      </c>
      <c r="AN271" s="28"/>
      <c r="AO271" s="20">
        <v>3350</v>
      </c>
    </row>
    <row r="272" spans="1:41" x14ac:dyDescent="0.2">
      <c r="A272" s="14">
        <v>6040300</v>
      </c>
      <c r="B272" s="13" t="s">
        <v>34</v>
      </c>
      <c r="C272" s="44">
        <v>384.25</v>
      </c>
      <c r="D272" s="44">
        <v>0</v>
      </c>
      <c r="E272" s="44"/>
      <c r="F272" s="44">
        <v>1537.72</v>
      </c>
      <c r="G272" s="44">
        <v>1818</v>
      </c>
      <c r="H272" s="44"/>
      <c r="I272" s="44">
        <v>1904.28</v>
      </c>
      <c r="J272" s="44">
        <v>1818</v>
      </c>
      <c r="K272" s="44"/>
      <c r="L272" s="44">
        <v>2064.75</v>
      </c>
      <c r="M272" s="44">
        <v>2728</v>
      </c>
      <c r="N272" s="44"/>
      <c r="O272" s="44">
        <v>1481.3</v>
      </c>
      <c r="P272" s="44">
        <v>1818</v>
      </c>
      <c r="Q272" s="44"/>
      <c r="R272" s="44">
        <v>891.76</v>
      </c>
      <c r="S272" s="44">
        <v>1818</v>
      </c>
      <c r="T272" s="44"/>
      <c r="U272" s="44">
        <v>743.4</v>
      </c>
      <c r="V272" s="44">
        <v>0</v>
      </c>
      <c r="W272" s="44"/>
      <c r="X272" s="44">
        <v>339.17</v>
      </c>
      <c r="Y272" s="44">
        <v>0</v>
      </c>
      <c r="Z272" s="44"/>
      <c r="AA272" s="44">
        <v>87.57</v>
      </c>
      <c r="AB272" s="44">
        <v>0</v>
      </c>
      <c r="AC272" s="44"/>
      <c r="AD272" s="44">
        <v>0</v>
      </c>
      <c r="AE272" s="44">
        <v>0</v>
      </c>
      <c r="AF272" s="44"/>
      <c r="AG272" s="44">
        <v>0</v>
      </c>
      <c r="AH272" s="44">
        <v>0</v>
      </c>
      <c r="AI272" s="44"/>
      <c r="AJ272" s="44"/>
      <c r="AK272" s="44"/>
      <c r="AL272" s="27">
        <f t="shared" si="52"/>
        <v>9434.1999999999989</v>
      </c>
      <c r="AM272" s="27">
        <f t="shared" si="53"/>
        <v>10000</v>
      </c>
      <c r="AN272" s="28"/>
      <c r="AO272" s="20">
        <v>10000</v>
      </c>
    </row>
    <row r="273" spans="1:41" x14ac:dyDescent="0.2">
      <c r="A273" s="14">
        <v>6040310</v>
      </c>
      <c r="B273" s="13" t="s">
        <v>33</v>
      </c>
      <c r="C273" s="44">
        <v>29.44</v>
      </c>
      <c r="D273" s="44">
        <v>0</v>
      </c>
      <c r="E273" s="44"/>
      <c r="F273" s="44">
        <v>117.82</v>
      </c>
      <c r="G273" s="44">
        <v>182</v>
      </c>
      <c r="H273" s="44"/>
      <c r="I273" s="44">
        <v>145.91</v>
      </c>
      <c r="J273" s="44">
        <v>182</v>
      </c>
      <c r="K273" s="44"/>
      <c r="L273" s="44">
        <v>158.19999999999999</v>
      </c>
      <c r="M273" s="44">
        <v>272</v>
      </c>
      <c r="N273" s="44"/>
      <c r="O273" s="44">
        <v>113.49</v>
      </c>
      <c r="P273" s="44">
        <v>182</v>
      </c>
      <c r="Q273" s="44"/>
      <c r="R273" s="44">
        <v>68.33</v>
      </c>
      <c r="S273" s="44">
        <v>182</v>
      </c>
      <c r="T273" s="44"/>
      <c r="U273" s="44">
        <v>56.96</v>
      </c>
      <c r="V273" s="44">
        <v>0</v>
      </c>
      <c r="W273" s="44"/>
      <c r="X273" s="44">
        <v>25.99</v>
      </c>
      <c r="Y273" s="44">
        <v>0</v>
      </c>
      <c r="Z273" s="44"/>
      <c r="AA273" s="44">
        <v>18.2</v>
      </c>
      <c r="AB273" s="44">
        <v>0</v>
      </c>
      <c r="AC273" s="44"/>
      <c r="AD273" s="44">
        <v>0</v>
      </c>
      <c r="AE273" s="44">
        <v>0</v>
      </c>
      <c r="AF273" s="44"/>
      <c r="AG273" s="44">
        <v>0</v>
      </c>
      <c r="AH273" s="44">
        <v>0</v>
      </c>
      <c r="AI273" s="44"/>
      <c r="AJ273" s="44"/>
      <c r="AK273" s="44"/>
      <c r="AL273" s="27">
        <f t="shared" si="52"/>
        <v>734.34</v>
      </c>
      <c r="AM273" s="27">
        <f t="shared" si="53"/>
        <v>1000</v>
      </c>
      <c r="AN273" s="28"/>
      <c r="AO273" s="20">
        <v>1000</v>
      </c>
    </row>
    <row r="274" spans="1:41" x14ac:dyDescent="0.2">
      <c r="A274" s="14">
        <v>6040350</v>
      </c>
      <c r="B274" s="13" t="s">
        <v>31</v>
      </c>
      <c r="C274" s="44">
        <v>13.44</v>
      </c>
      <c r="D274" s="44">
        <v>24</v>
      </c>
      <c r="E274" s="44"/>
      <c r="F274" s="44">
        <v>13.44</v>
      </c>
      <c r="G274" s="44">
        <v>24</v>
      </c>
      <c r="H274" s="44"/>
      <c r="I274" s="44">
        <v>13.44</v>
      </c>
      <c r="J274" s="44">
        <v>24</v>
      </c>
      <c r="K274" s="44"/>
      <c r="L274" s="44">
        <v>13.44</v>
      </c>
      <c r="M274" s="44">
        <v>36</v>
      </c>
      <c r="N274" s="44"/>
      <c r="O274" s="44">
        <v>13.44</v>
      </c>
      <c r="P274" s="44">
        <v>24</v>
      </c>
      <c r="Q274" s="44"/>
      <c r="R274" s="44">
        <v>22.94</v>
      </c>
      <c r="S274" s="44">
        <v>24</v>
      </c>
      <c r="T274" s="44"/>
      <c r="U274" s="44">
        <v>22.94</v>
      </c>
      <c r="V274" s="44">
        <v>24</v>
      </c>
      <c r="W274" s="44"/>
      <c r="X274" s="44">
        <v>53.98</v>
      </c>
      <c r="Y274" s="44">
        <v>24</v>
      </c>
      <c r="Z274" s="44"/>
      <c r="AA274" s="44">
        <v>22.94</v>
      </c>
      <c r="AB274" s="44">
        <v>23</v>
      </c>
      <c r="AC274" s="44"/>
      <c r="AD274" s="44">
        <v>22.94</v>
      </c>
      <c r="AE274" s="44">
        <v>35</v>
      </c>
      <c r="AF274" s="44"/>
      <c r="AG274" s="44">
        <v>22.94</v>
      </c>
      <c r="AH274" s="44">
        <v>23</v>
      </c>
      <c r="AI274" s="44"/>
      <c r="AJ274" s="44"/>
      <c r="AK274" s="44"/>
      <c r="AL274" s="27">
        <f t="shared" si="52"/>
        <v>235.88</v>
      </c>
      <c r="AM274" s="27">
        <f t="shared" si="53"/>
        <v>285</v>
      </c>
      <c r="AN274" s="28"/>
      <c r="AO274" s="20">
        <v>308</v>
      </c>
    </row>
    <row r="275" spans="1:41" x14ac:dyDescent="0.2">
      <c r="A275" s="14" t="s">
        <v>55</v>
      </c>
      <c r="B275" s="13" t="s">
        <v>29</v>
      </c>
      <c r="C275" s="44">
        <v>431.41</v>
      </c>
      <c r="D275" s="44">
        <v>250</v>
      </c>
      <c r="E275" s="44"/>
      <c r="F275" s="44">
        <v>159.47</v>
      </c>
      <c r="G275" s="44">
        <v>250</v>
      </c>
      <c r="H275" s="44"/>
      <c r="I275" s="44">
        <v>228.32</v>
      </c>
      <c r="J275" s="44">
        <v>250</v>
      </c>
      <c r="K275" s="44"/>
      <c r="L275" s="44">
        <v>350.44</v>
      </c>
      <c r="M275" s="44">
        <v>250</v>
      </c>
      <c r="N275" s="44"/>
      <c r="O275" s="44">
        <v>229.89</v>
      </c>
      <c r="P275" s="44">
        <v>250</v>
      </c>
      <c r="Q275" s="44"/>
      <c r="R275" s="44">
        <v>228.62</v>
      </c>
      <c r="S275" s="44">
        <v>250</v>
      </c>
      <c r="T275" s="44"/>
      <c r="U275" s="44">
        <v>346.73</v>
      </c>
      <c r="V275" s="44">
        <v>250</v>
      </c>
      <c r="W275" s="44"/>
      <c r="X275" s="44">
        <v>225.04</v>
      </c>
      <c r="Y275" s="44">
        <v>250</v>
      </c>
      <c r="Z275" s="44"/>
      <c r="AA275" s="44">
        <v>232.14</v>
      </c>
      <c r="AB275" s="44">
        <v>250</v>
      </c>
      <c r="AC275" s="44"/>
      <c r="AD275" s="44">
        <v>380.97</v>
      </c>
      <c r="AE275" s="44">
        <v>250</v>
      </c>
      <c r="AF275" s="44"/>
      <c r="AG275" s="44">
        <v>459.47</v>
      </c>
      <c r="AH275" s="44">
        <v>250</v>
      </c>
      <c r="AI275" s="44"/>
      <c r="AJ275" s="44"/>
      <c r="AK275" s="44"/>
      <c r="AL275" s="27">
        <f t="shared" si="52"/>
        <v>3272.5</v>
      </c>
      <c r="AM275" s="27">
        <f t="shared" si="53"/>
        <v>2750</v>
      </c>
      <c r="AN275" s="28"/>
      <c r="AO275" s="20">
        <v>3000</v>
      </c>
    </row>
    <row r="276" spans="1:41" x14ac:dyDescent="0.2">
      <c r="A276" s="14" t="s">
        <v>54</v>
      </c>
      <c r="B276" s="13" t="s">
        <v>25</v>
      </c>
      <c r="C276" s="44">
        <v>0</v>
      </c>
      <c r="D276" s="44">
        <v>125</v>
      </c>
      <c r="E276" s="44"/>
      <c r="F276" s="44">
        <v>0</v>
      </c>
      <c r="G276" s="44">
        <v>125</v>
      </c>
      <c r="H276" s="44"/>
      <c r="I276" s="44">
        <v>0</v>
      </c>
      <c r="J276" s="44">
        <v>125</v>
      </c>
      <c r="K276" s="44"/>
      <c r="L276" s="44">
        <v>0</v>
      </c>
      <c r="M276" s="44">
        <v>125</v>
      </c>
      <c r="N276" s="44"/>
      <c r="O276" s="44">
        <v>0</v>
      </c>
      <c r="P276" s="44">
        <v>125</v>
      </c>
      <c r="Q276" s="44"/>
      <c r="R276" s="44">
        <v>217.21</v>
      </c>
      <c r="S276" s="44">
        <v>125</v>
      </c>
      <c r="T276" s="44"/>
      <c r="U276" s="44">
        <v>117.59</v>
      </c>
      <c r="V276" s="44">
        <v>125</v>
      </c>
      <c r="W276" s="44"/>
      <c r="X276" s="44">
        <v>1256</v>
      </c>
      <c r="Y276" s="44">
        <v>125</v>
      </c>
      <c r="Z276" s="44"/>
      <c r="AA276" s="44">
        <v>73.98</v>
      </c>
      <c r="AB276" s="44">
        <v>125</v>
      </c>
      <c r="AC276" s="44"/>
      <c r="AD276" s="44"/>
      <c r="AE276" s="44">
        <v>125</v>
      </c>
      <c r="AF276" s="44"/>
      <c r="AG276" s="44">
        <v>0</v>
      </c>
      <c r="AH276" s="44">
        <v>125</v>
      </c>
      <c r="AI276" s="44"/>
      <c r="AJ276" s="44"/>
      <c r="AK276" s="44"/>
      <c r="AL276" s="27">
        <f t="shared" si="52"/>
        <v>1664.78</v>
      </c>
      <c r="AM276" s="27">
        <f t="shared" si="53"/>
        <v>1375</v>
      </c>
      <c r="AN276" s="28"/>
      <c r="AO276" s="20">
        <v>1500</v>
      </c>
    </row>
    <row r="277" spans="1:41" x14ac:dyDescent="0.2">
      <c r="A277" s="14" t="s">
        <v>53</v>
      </c>
      <c r="B277" s="13" t="s">
        <v>23</v>
      </c>
      <c r="C277" s="44">
        <v>509.25</v>
      </c>
      <c r="D277" s="44">
        <v>667</v>
      </c>
      <c r="E277" s="44"/>
      <c r="F277" s="44">
        <v>495.38</v>
      </c>
      <c r="G277" s="44">
        <v>667</v>
      </c>
      <c r="H277" s="44"/>
      <c r="I277" s="44">
        <v>431.72</v>
      </c>
      <c r="J277" s="44">
        <v>667</v>
      </c>
      <c r="K277" s="44"/>
      <c r="L277" s="44">
        <v>582.87</v>
      </c>
      <c r="M277" s="44">
        <v>667</v>
      </c>
      <c r="N277" s="44"/>
      <c r="O277" s="44">
        <v>485.86</v>
      </c>
      <c r="P277" s="44">
        <v>667</v>
      </c>
      <c r="Q277" s="44"/>
      <c r="R277" s="44">
        <v>544.58000000000004</v>
      </c>
      <c r="S277" s="44">
        <v>666</v>
      </c>
      <c r="T277" s="44"/>
      <c r="U277" s="44">
        <v>473.07</v>
      </c>
      <c r="V277" s="44">
        <v>667</v>
      </c>
      <c r="W277" s="44"/>
      <c r="X277" s="44">
        <v>357.94</v>
      </c>
      <c r="Y277" s="44">
        <v>666</v>
      </c>
      <c r="Z277" s="44"/>
      <c r="AA277" s="44">
        <v>359.43</v>
      </c>
      <c r="AB277" s="44">
        <v>667</v>
      </c>
      <c r="AC277" s="44"/>
      <c r="AD277" s="44">
        <v>408.89</v>
      </c>
      <c r="AE277" s="44">
        <v>666</v>
      </c>
      <c r="AF277" s="44"/>
      <c r="AG277" s="44">
        <v>0</v>
      </c>
      <c r="AH277" s="44">
        <v>667</v>
      </c>
      <c r="AI277" s="44"/>
      <c r="AJ277" s="44"/>
      <c r="AK277" s="44"/>
      <c r="AL277" s="27">
        <f t="shared" si="52"/>
        <v>4648.9900000000007</v>
      </c>
      <c r="AM277" s="27">
        <f t="shared" si="53"/>
        <v>7334</v>
      </c>
      <c r="AN277" s="28"/>
      <c r="AO277" s="20">
        <v>8000</v>
      </c>
    </row>
    <row r="278" spans="1:41" x14ac:dyDescent="0.2">
      <c r="A278" s="14" t="s">
        <v>52</v>
      </c>
      <c r="B278" s="13" t="s">
        <v>51</v>
      </c>
      <c r="C278" s="44">
        <v>0</v>
      </c>
      <c r="D278" s="44">
        <v>42</v>
      </c>
      <c r="E278" s="44"/>
      <c r="F278" s="44">
        <v>0</v>
      </c>
      <c r="G278" s="44">
        <v>41</v>
      </c>
      <c r="H278" s="44"/>
      <c r="I278" s="44">
        <v>15.99</v>
      </c>
      <c r="J278" s="44">
        <v>42</v>
      </c>
      <c r="K278" s="44"/>
      <c r="L278" s="44">
        <v>109.29</v>
      </c>
      <c r="M278" s="44">
        <v>42</v>
      </c>
      <c r="N278" s="44"/>
      <c r="O278" s="44">
        <v>0</v>
      </c>
      <c r="P278" s="44">
        <v>42</v>
      </c>
      <c r="Q278" s="44"/>
      <c r="R278" s="44">
        <v>83.11</v>
      </c>
      <c r="S278" s="44">
        <v>42</v>
      </c>
      <c r="T278" s="44"/>
      <c r="U278" s="44">
        <v>212.66</v>
      </c>
      <c r="V278" s="44">
        <v>41</v>
      </c>
      <c r="W278" s="44"/>
      <c r="X278" s="44">
        <v>0</v>
      </c>
      <c r="Y278" s="44">
        <v>42</v>
      </c>
      <c r="Z278" s="44"/>
      <c r="AA278" s="44">
        <v>74.98</v>
      </c>
      <c r="AB278" s="44">
        <v>41</v>
      </c>
      <c r="AC278" s="44"/>
      <c r="AD278" s="44">
        <v>1856.43</v>
      </c>
      <c r="AE278" s="44">
        <v>42</v>
      </c>
      <c r="AF278" s="44"/>
      <c r="AG278" s="44">
        <v>681.08</v>
      </c>
      <c r="AH278" s="44">
        <v>41</v>
      </c>
      <c r="AI278" s="44"/>
      <c r="AJ278" s="44"/>
      <c r="AK278" s="44"/>
      <c r="AL278" s="27">
        <f t="shared" si="52"/>
        <v>3033.54</v>
      </c>
      <c r="AM278" s="27">
        <f t="shared" si="53"/>
        <v>458</v>
      </c>
      <c r="AN278" s="28"/>
      <c r="AO278" s="20">
        <v>500</v>
      </c>
    </row>
    <row r="279" spans="1:41" x14ac:dyDescent="0.2">
      <c r="A279" s="14" t="s">
        <v>50</v>
      </c>
      <c r="B279" s="13" t="s">
        <v>13</v>
      </c>
      <c r="C279" s="44">
        <v>47.78</v>
      </c>
      <c r="D279" s="44">
        <v>417</v>
      </c>
      <c r="E279" s="44"/>
      <c r="F279" s="44">
        <v>14.97</v>
      </c>
      <c r="G279" s="44">
        <v>417</v>
      </c>
      <c r="H279" s="44"/>
      <c r="I279" s="44">
        <v>249.77</v>
      </c>
      <c r="J279" s="44">
        <v>417</v>
      </c>
      <c r="K279" s="44"/>
      <c r="L279" s="44">
        <v>786.86</v>
      </c>
      <c r="M279" s="44">
        <v>417</v>
      </c>
      <c r="N279" s="44"/>
      <c r="O279" s="44">
        <v>768.79</v>
      </c>
      <c r="P279" s="44">
        <v>417</v>
      </c>
      <c r="Q279" s="44"/>
      <c r="R279" s="44">
        <v>154.53</v>
      </c>
      <c r="S279" s="44">
        <v>416</v>
      </c>
      <c r="T279" s="44"/>
      <c r="U279" s="44">
        <v>1058.98</v>
      </c>
      <c r="V279" s="44">
        <v>417</v>
      </c>
      <c r="W279" s="44"/>
      <c r="X279" s="44">
        <v>290.86</v>
      </c>
      <c r="Y279" s="44">
        <v>416</v>
      </c>
      <c r="Z279" s="44"/>
      <c r="AA279" s="44">
        <v>5.87</v>
      </c>
      <c r="AB279" s="44">
        <v>417</v>
      </c>
      <c r="AC279" s="44"/>
      <c r="AD279" s="44">
        <v>-119.21</v>
      </c>
      <c r="AE279" s="44">
        <v>416</v>
      </c>
      <c r="AF279" s="44"/>
      <c r="AG279" s="44">
        <v>0</v>
      </c>
      <c r="AH279" s="44">
        <v>417</v>
      </c>
      <c r="AI279" s="44"/>
      <c r="AJ279" s="44"/>
      <c r="AK279" s="44"/>
      <c r="AL279" s="27">
        <f t="shared" si="52"/>
        <v>3259.2000000000003</v>
      </c>
      <c r="AM279" s="27">
        <f t="shared" si="53"/>
        <v>4584</v>
      </c>
      <c r="AN279" s="28"/>
      <c r="AO279" s="20">
        <v>5000</v>
      </c>
    </row>
    <row r="280" spans="1:41" x14ac:dyDescent="0.2">
      <c r="A280" s="14" t="s">
        <v>49</v>
      </c>
      <c r="B280" s="13" t="s">
        <v>9</v>
      </c>
      <c r="C280" s="44">
        <v>0</v>
      </c>
      <c r="D280" s="44">
        <v>13</v>
      </c>
      <c r="E280" s="44"/>
      <c r="F280" s="44">
        <v>0</v>
      </c>
      <c r="G280" s="44">
        <v>12</v>
      </c>
      <c r="H280" s="44"/>
      <c r="I280" s="44">
        <v>0</v>
      </c>
      <c r="J280" s="44">
        <v>12</v>
      </c>
      <c r="K280" s="44"/>
      <c r="L280" s="44">
        <v>0</v>
      </c>
      <c r="M280" s="44">
        <v>12</v>
      </c>
      <c r="N280" s="44"/>
      <c r="O280" s="44">
        <v>0</v>
      </c>
      <c r="P280" s="44">
        <v>12</v>
      </c>
      <c r="Q280" s="44"/>
      <c r="R280" s="44">
        <v>77.900000000000006</v>
      </c>
      <c r="S280" s="44">
        <v>13</v>
      </c>
      <c r="T280" s="44"/>
      <c r="U280" s="44">
        <v>0</v>
      </c>
      <c r="V280" s="44">
        <v>13</v>
      </c>
      <c r="W280" s="44"/>
      <c r="X280" s="44">
        <v>0</v>
      </c>
      <c r="Y280" s="44">
        <v>12</v>
      </c>
      <c r="Z280" s="44"/>
      <c r="AA280" s="44">
        <v>0</v>
      </c>
      <c r="AB280" s="44">
        <v>13</v>
      </c>
      <c r="AC280" s="44"/>
      <c r="AD280" s="44"/>
      <c r="AE280" s="44">
        <v>13</v>
      </c>
      <c r="AF280" s="44"/>
      <c r="AG280" s="44">
        <v>28.79</v>
      </c>
      <c r="AH280" s="44">
        <v>12</v>
      </c>
      <c r="AI280" s="44"/>
      <c r="AJ280" s="44"/>
      <c r="AK280" s="44"/>
      <c r="AL280" s="27">
        <f t="shared" si="52"/>
        <v>106.69</v>
      </c>
      <c r="AM280" s="27">
        <f t="shared" si="53"/>
        <v>137</v>
      </c>
      <c r="AN280" s="28"/>
      <c r="AO280" s="20">
        <v>150</v>
      </c>
    </row>
    <row r="281" spans="1:41" x14ac:dyDescent="0.2">
      <c r="A281" s="14" t="s">
        <v>48</v>
      </c>
      <c r="B281" s="13" t="s">
        <v>6</v>
      </c>
      <c r="C281" s="44">
        <v>0</v>
      </c>
      <c r="D281" s="44">
        <v>208</v>
      </c>
      <c r="E281" s="44"/>
      <c r="F281" s="44">
        <v>48.76</v>
      </c>
      <c r="G281" s="44">
        <v>208</v>
      </c>
      <c r="H281" s="44"/>
      <c r="I281" s="44">
        <v>41.65</v>
      </c>
      <c r="J281" s="44">
        <v>209</v>
      </c>
      <c r="K281" s="44"/>
      <c r="L281" s="44">
        <v>0</v>
      </c>
      <c r="M281" s="44">
        <v>208</v>
      </c>
      <c r="N281" s="44"/>
      <c r="O281" s="44">
        <v>0</v>
      </c>
      <c r="P281" s="44">
        <v>209</v>
      </c>
      <c r="Q281" s="44"/>
      <c r="R281" s="44">
        <v>0</v>
      </c>
      <c r="S281" s="44">
        <v>208</v>
      </c>
      <c r="T281" s="44"/>
      <c r="U281" s="44">
        <v>0</v>
      </c>
      <c r="V281" s="44">
        <v>208</v>
      </c>
      <c r="W281" s="44"/>
      <c r="X281" s="44">
        <v>0</v>
      </c>
      <c r="Y281" s="44">
        <v>209</v>
      </c>
      <c r="Z281" s="44"/>
      <c r="AA281" s="44">
        <v>0</v>
      </c>
      <c r="AB281" s="44">
        <v>208</v>
      </c>
      <c r="AC281" s="44"/>
      <c r="AD281" s="44">
        <v>202.99</v>
      </c>
      <c r="AE281" s="44">
        <v>208</v>
      </c>
      <c r="AF281" s="44"/>
      <c r="AG281" s="44">
        <v>48.75</v>
      </c>
      <c r="AH281" s="44">
        <v>209</v>
      </c>
      <c r="AI281" s="44"/>
      <c r="AJ281" s="44"/>
      <c r="AK281" s="44"/>
      <c r="AL281" s="27">
        <f t="shared" si="52"/>
        <v>342.15</v>
      </c>
      <c r="AM281" s="27">
        <f t="shared" si="53"/>
        <v>2292</v>
      </c>
      <c r="AN281" s="28"/>
      <c r="AO281" s="20">
        <v>2500</v>
      </c>
    </row>
    <row r="282" spans="1:41" x14ac:dyDescent="0.2">
      <c r="A282" s="14">
        <v>6042000</v>
      </c>
      <c r="B282" s="13" t="s">
        <v>47</v>
      </c>
      <c r="C282" s="44">
        <v>0</v>
      </c>
      <c r="D282" s="44">
        <v>417</v>
      </c>
      <c r="E282" s="44"/>
      <c r="F282" s="44">
        <v>0</v>
      </c>
      <c r="G282" s="44">
        <v>417</v>
      </c>
      <c r="H282" s="44"/>
      <c r="I282" s="44">
        <v>0</v>
      </c>
      <c r="J282" s="44">
        <v>417</v>
      </c>
      <c r="K282" s="44"/>
      <c r="L282" s="44">
        <v>0</v>
      </c>
      <c r="M282" s="44">
        <v>417</v>
      </c>
      <c r="N282" s="44"/>
      <c r="O282" s="44">
        <v>0</v>
      </c>
      <c r="P282" s="44">
        <v>417</v>
      </c>
      <c r="Q282" s="44"/>
      <c r="R282" s="44">
        <v>0</v>
      </c>
      <c r="S282" s="44">
        <v>416</v>
      </c>
      <c r="T282" s="44"/>
      <c r="U282" s="44">
        <v>0</v>
      </c>
      <c r="V282" s="44">
        <v>417</v>
      </c>
      <c r="W282" s="44"/>
      <c r="X282" s="44">
        <v>0</v>
      </c>
      <c r="Y282" s="44">
        <v>416</v>
      </c>
      <c r="Z282" s="44"/>
      <c r="AA282" s="44">
        <v>0</v>
      </c>
      <c r="AB282" s="44">
        <v>417</v>
      </c>
      <c r="AC282" s="44"/>
      <c r="AD282" s="44"/>
      <c r="AE282" s="44">
        <v>416</v>
      </c>
      <c r="AF282" s="44"/>
      <c r="AG282" s="44">
        <v>0</v>
      </c>
      <c r="AH282" s="44">
        <v>417</v>
      </c>
      <c r="AI282" s="44"/>
      <c r="AJ282" s="44"/>
      <c r="AK282" s="44"/>
      <c r="AL282" s="27">
        <f t="shared" si="52"/>
        <v>0</v>
      </c>
      <c r="AM282" s="27">
        <f t="shared" si="53"/>
        <v>4584</v>
      </c>
      <c r="AN282" s="28"/>
      <c r="AO282" s="20">
        <v>5000</v>
      </c>
    </row>
    <row r="283" spans="1:41" x14ac:dyDescent="0.2">
      <c r="A283" s="14">
        <v>6042050</v>
      </c>
      <c r="B283" s="13" t="s">
        <v>375</v>
      </c>
      <c r="C283" s="44">
        <v>0</v>
      </c>
      <c r="D283" s="44">
        <v>0</v>
      </c>
      <c r="E283" s="44"/>
      <c r="F283" s="44">
        <v>0</v>
      </c>
      <c r="G283" s="44">
        <v>0</v>
      </c>
      <c r="H283" s="44"/>
      <c r="I283" s="44">
        <v>0</v>
      </c>
      <c r="J283" s="44">
        <v>0</v>
      </c>
      <c r="K283" s="44"/>
      <c r="L283" s="44">
        <v>0</v>
      </c>
      <c r="M283" s="44">
        <v>0</v>
      </c>
      <c r="N283" s="44"/>
      <c r="O283" s="44">
        <v>0</v>
      </c>
      <c r="P283" s="44">
        <v>0</v>
      </c>
      <c r="Q283" s="44"/>
      <c r="R283" s="44">
        <v>0</v>
      </c>
      <c r="S283" s="44">
        <v>0</v>
      </c>
      <c r="T283" s="44"/>
      <c r="U283" s="44">
        <v>0</v>
      </c>
      <c r="V283" s="44">
        <v>0</v>
      </c>
      <c r="W283" s="44"/>
      <c r="X283" s="44">
        <v>0</v>
      </c>
      <c r="Y283" s="44">
        <v>0</v>
      </c>
      <c r="Z283" s="44"/>
      <c r="AA283" s="44">
        <v>0</v>
      </c>
      <c r="AB283" s="44">
        <v>0</v>
      </c>
      <c r="AC283" s="44"/>
      <c r="AD283" s="44"/>
      <c r="AE283" s="44"/>
      <c r="AF283" s="44"/>
      <c r="AG283" s="44">
        <v>0</v>
      </c>
      <c r="AH283" s="44">
        <v>0</v>
      </c>
      <c r="AI283" s="44"/>
      <c r="AJ283" s="44"/>
      <c r="AK283" s="44"/>
      <c r="AL283" s="122">
        <f t="shared" si="52"/>
        <v>0</v>
      </c>
      <c r="AM283" s="27">
        <f t="shared" si="53"/>
        <v>0</v>
      </c>
      <c r="AN283" s="28"/>
      <c r="AO283" s="20">
        <v>0</v>
      </c>
    </row>
    <row r="284" spans="1:41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</row>
    <row r="285" spans="1:41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SUM(O265:O283)</f>
        <v>16183.419999999998</v>
      </c>
      <c r="P285" s="31">
        <f>SUM(P265:P283)</f>
        <v>20512</v>
      </c>
      <c r="Q285" s="34"/>
      <c r="R285" s="31">
        <f>SUM(R265:R283)</f>
        <v>19013.060000000001</v>
      </c>
      <c r="S285" s="31">
        <f>SUM(S265:S283)</f>
        <v>20508</v>
      </c>
      <c r="T285" s="34"/>
      <c r="U285" s="31">
        <f>SUM(U265:U283)</f>
        <v>19486.27</v>
      </c>
      <c r="V285" s="31">
        <f>SUM(V265:V283)</f>
        <v>18510</v>
      </c>
      <c r="W285" s="34"/>
      <c r="X285" s="31">
        <f>SUM(X265:X283)</f>
        <v>18026.57</v>
      </c>
      <c r="Y285" s="31">
        <f>SUM(Y265:Y283)</f>
        <v>19009</v>
      </c>
      <c r="Z285" s="34"/>
      <c r="AA285" s="31">
        <f>SUM(AA265:AA283)</f>
        <v>22412.929999999997</v>
      </c>
      <c r="AB285" s="31">
        <f>SUM(AB265:AB283)</f>
        <v>23093</v>
      </c>
      <c r="AC285" s="34"/>
      <c r="AD285" s="31">
        <f>SUM(AD265:AD283)</f>
        <v>20695.04</v>
      </c>
      <c r="AE285" s="31">
        <f>SUM(AE265:AE283)</f>
        <v>18645</v>
      </c>
      <c r="AF285" s="34"/>
      <c r="AG285" s="31">
        <f>SUM(AG265:AG283)</f>
        <v>18969.580000000005</v>
      </c>
      <c r="AH285" s="31">
        <f>SUM(AH265:AH283)</f>
        <v>18508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214281.4</v>
      </c>
      <c r="AM285" s="31">
        <f>SUM(AM265:AM283)</f>
        <v>225053</v>
      </c>
      <c r="AN285" s="34"/>
      <c r="AO285" s="31">
        <f>SUM(AO265:AO283)</f>
        <v>243558</v>
      </c>
    </row>
    <row r="286" spans="1:41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</row>
    <row r="287" spans="1:41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46669.290000000008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20678.12</v>
      </c>
      <c r="P287" s="29">
        <f>P285+P263</f>
        <v>28680</v>
      </c>
      <c r="Q287" s="34"/>
      <c r="R287" s="29">
        <f>R285+R263</f>
        <v>57539.880000000005</v>
      </c>
      <c r="S287" s="29">
        <f>S285+S263</f>
        <v>28673</v>
      </c>
      <c r="T287" s="34"/>
      <c r="U287" s="29">
        <f>U285+U263</f>
        <v>33600.69</v>
      </c>
      <c r="V287" s="29">
        <f>V285+V263</f>
        <v>26677</v>
      </c>
      <c r="W287" s="34"/>
      <c r="X287" s="29">
        <f>X285+X263</f>
        <v>58731.68</v>
      </c>
      <c r="Y287" s="29">
        <f>Y285+Y263</f>
        <v>27176</v>
      </c>
      <c r="Z287" s="34"/>
      <c r="AA287" s="29">
        <f>AA285+AA263</f>
        <v>121279.37</v>
      </c>
      <c r="AB287" s="29">
        <f>AB285+AB263</f>
        <v>31258</v>
      </c>
      <c r="AC287" s="34"/>
      <c r="AD287" s="29">
        <f>AD285+AD263</f>
        <v>31995.45</v>
      </c>
      <c r="AE287" s="29">
        <f>AE285+AE263</f>
        <v>26813</v>
      </c>
      <c r="AF287" s="34"/>
      <c r="AG287" s="29">
        <f>AG285+AG263</f>
        <v>26325.120000000006</v>
      </c>
      <c r="AH287" s="29">
        <f>AH285+AH263</f>
        <v>26674</v>
      </c>
      <c r="AI287" s="34"/>
      <c r="AJ287" s="29">
        <f>AJ285+AJ263</f>
        <v>0</v>
      </c>
      <c r="AK287" s="29">
        <f>AK285+AK263</f>
        <v>0</v>
      </c>
      <c r="AL287" s="29">
        <f>AL285+AL263</f>
        <v>605185.88</v>
      </c>
      <c r="AM287" s="29">
        <f>AM285+AM263</f>
        <v>314886</v>
      </c>
      <c r="AN287" s="34"/>
      <c r="AO287" s="29">
        <f>AO285+AO263</f>
        <v>341558</v>
      </c>
    </row>
    <row r="288" spans="1:41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48"/>
      <c r="AH288" s="48"/>
      <c r="AI288" s="48"/>
      <c r="AJ288" s="48"/>
      <c r="AK288" s="48"/>
      <c r="AL288" s="48"/>
      <c r="AM288" s="48"/>
      <c r="AN288" s="48"/>
      <c r="AO288" s="48"/>
    </row>
    <row r="289" spans="1:41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49"/>
      <c r="AH289" s="49"/>
      <c r="AI289" s="49"/>
      <c r="AJ289" s="49"/>
      <c r="AK289" s="49"/>
      <c r="AL289" s="49"/>
      <c r="AM289" s="49"/>
      <c r="AN289" s="49"/>
      <c r="AO289" s="48"/>
    </row>
    <row r="290" spans="1:41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>
        <v>2000</v>
      </c>
      <c r="P290" s="28">
        <v>2167</v>
      </c>
      <c r="Q290" s="28"/>
      <c r="R290" s="28">
        <v>2000</v>
      </c>
      <c r="S290" s="28">
        <v>2166</v>
      </c>
      <c r="T290" s="28"/>
      <c r="U290" s="28">
        <v>2000</v>
      </c>
      <c r="V290" s="28">
        <v>2167</v>
      </c>
      <c r="W290" s="28"/>
      <c r="X290" s="28">
        <v>2000</v>
      </c>
      <c r="Y290" s="28">
        <v>2166</v>
      </c>
      <c r="Z290" s="28"/>
      <c r="AA290" s="28">
        <v>3000</v>
      </c>
      <c r="AB290" s="28">
        <v>2167</v>
      </c>
      <c r="AC290" s="28"/>
      <c r="AD290" s="28">
        <v>2000</v>
      </c>
      <c r="AE290" s="28">
        <v>2166</v>
      </c>
      <c r="AF290" s="28"/>
      <c r="AG290" s="28">
        <v>2000</v>
      </c>
      <c r="AH290" s="28">
        <v>2167</v>
      </c>
      <c r="AI290" s="28"/>
      <c r="AJ290" s="28"/>
      <c r="AK290" s="28"/>
      <c r="AL290" s="27">
        <f t="shared" ref="AL290:AL315" si="56">+C290+F290+I290+L290+O290+R290+U290+X290+AA290+AD290+AG290+AJ290</f>
        <v>23980.77</v>
      </c>
      <c r="AM290" s="27">
        <f t="shared" ref="AM290:AM315" si="57">+D290+G290+J290+M290+P290+S290+V290+Y290+AB290+AE290+AH290+AK290</f>
        <v>23834</v>
      </c>
      <c r="AN290" s="28"/>
      <c r="AO290" s="20">
        <v>26000</v>
      </c>
    </row>
    <row r="291" spans="1:41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>
        <v>153</v>
      </c>
      <c r="P291" s="28">
        <v>160</v>
      </c>
      <c r="Q291" s="28"/>
      <c r="R291" s="28">
        <v>153</v>
      </c>
      <c r="S291" s="28">
        <v>160</v>
      </c>
      <c r="T291" s="28"/>
      <c r="U291" s="28">
        <v>160.65</v>
      </c>
      <c r="V291" s="28">
        <v>160</v>
      </c>
      <c r="W291" s="28"/>
      <c r="X291" s="28">
        <v>153</v>
      </c>
      <c r="Y291" s="28">
        <v>160</v>
      </c>
      <c r="Z291" s="28"/>
      <c r="AA291" s="28">
        <v>248.62</v>
      </c>
      <c r="AB291" s="28">
        <v>160</v>
      </c>
      <c r="AC291" s="28"/>
      <c r="AD291" s="28">
        <v>214.1</v>
      </c>
      <c r="AE291" s="28">
        <v>240</v>
      </c>
      <c r="AF291" s="28"/>
      <c r="AG291" s="28">
        <v>185.05</v>
      </c>
      <c r="AH291" s="28">
        <v>160</v>
      </c>
      <c r="AI291" s="28"/>
      <c r="AJ291" s="28"/>
      <c r="AK291" s="28"/>
      <c r="AL291" s="27">
        <f t="shared" si="56"/>
        <v>1955.14</v>
      </c>
      <c r="AM291" s="27">
        <f t="shared" si="57"/>
        <v>1920</v>
      </c>
      <c r="AN291" s="28"/>
      <c r="AO291" s="20">
        <v>2080</v>
      </c>
    </row>
    <row r="292" spans="1:41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>
        <v>58.7</v>
      </c>
      <c r="P292" s="28">
        <v>58</v>
      </c>
      <c r="Q292" s="28"/>
      <c r="R292" s="28">
        <v>58.7</v>
      </c>
      <c r="S292" s="28">
        <v>59</v>
      </c>
      <c r="T292" s="28"/>
      <c r="U292" s="28">
        <v>58.7</v>
      </c>
      <c r="V292" s="28">
        <v>59</v>
      </c>
      <c r="W292" s="28"/>
      <c r="X292" s="28">
        <v>58.7</v>
      </c>
      <c r="Y292" s="28">
        <v>58</v>
      </c>
      <c r="Z292" s="28"/>
      <c r="AA292" s="28">
        <v>193.36</v>
      </c>
      <c r="AB292" s="28">
        <v>59</v>
      </c>
      <c r="AC292" s="28"/>
      <c r="AD292" s="28">
        <v>96.68</v>
      </c>
      <c r="AE292" s="28">
        <v>58</v>
      </c>
      <c r="AF292" s="28"/>
      <c r="AG292" s="28">
        <v>96.68</v>
      </c>
      <c r="AH292" s="28">
        <v>59</v>
      </c>
      <c r="AI292" s="28"/>
      <c r="AJ292" s="28"/>
      <c r="AK292" s="28"/>
      <c r="AL292" s="27">
        <f t="shared" si="56"/>
        <v>856.32000000000016</v>
      </c>
      <c r="AM292" s="27">
        <f t="shared" si="57"/>
        <v>645</v>
      </c>
      <c r="AN292" s="28"/>
      <c r="AO292" s="20">
        <v>704</v>
      </c>
    </row>
    <row r="293" spans="1:41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>
        <v>62.7</v>
      </c>
      <c r="P293" s="28">
        <v>62</v>
      </c>
      <c r="Q293" s="28"/>
      <c r="R293" s="28">
        <v>59.65</v>
      </c>
      <c r="S293" s="28">
        <v>62</v>
      </c>
      <c r="T293" s="28"/>
      <c r="U293" s="28">
        <v>59.65</v>
      </c>
      <c r="V293" s="28">
        <v>62</v>
      </c>
      <c r="W293" s="28"/>
      <c r="X293" s="28">
        <v>204.5</v>
      </c>
      <c r="Y293" s="28">
        <v>62</v>
      </c>
      <c r="Z293" s="28"/>
      <c r="AA293" s="28">
        <v>59.65</v>
      </c>
      <c r="AB293" s="28">
        <v>61</v>
      </c>
      <c r="AC293" s="28"/>
      <c r="AD293" s="28">
        <v>59.65</v>
      </c>
      <c r="AE293" s="28">
        <v>92</v>
      </c>
      <c r="AF293" s="28"/>
      <c r="AG293" s="28">
        <v>59.65</v>
      </c>
      <c r="AH293" s="28">
        <v>61</v>
      </c>
      <c r="AI293" s="28"/>
      <c r="AJ293" s="28"/>
      <c r="AK293" s="28"/>
      <c r="AL293" s="27">
        <f t="shared" si="56"/>
        <v>816.24999999999989</v>
      </c>
      <c r="AM293" s="27">
        <f t="shared" si="57"/>
        <v>740</v>
      </c>
      <c r="AN293" s="28"/>
      <c r="AO293" s="20">
        <v>801</v>
      </c>
    </row>
    <row r="294" spans="1:41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>
        <v>122367.96</v>
      </c>
      <c r="P294" s="28">
        <v>98986</v>
      </c>
      <c r="Q294" s="28"/>
      <c r="R294" s="28">
        <v>26645.14</v>
      </c>
      <c r="S294" s="28">
        <v>98986</v>
      </c>
      <c r="T294" s="28"/>
      <c r="U294" s="28">
        <v>0</v>
      </c>
      <c r="V294" s="28">
        <v>0</v>
      </c>
      <c r="W294" s="28"/>
      <c r="X294" s="28">
        <v>0</v>
      </c>
      <c r="Y294" s="28">
        <v>0</v>
      </c>
      <c r="Z294" s="28"/>
      <c r="AA294" s="28">
        <v>0</v>
      </c>
      <c r="AB294" s="28">
        <v>0</v>
      </c>
      <c r="AC294" s="28"/>
      <c r="AD294" s="28"/>
      <c r="AE294" s="28"/>
      <c r="AF294" s="28"/>
      <c r="AG294" s="28">
        <v>0</v>
      </c>
      <c r="AH294" s="28">
        <v>0</v>
      </c>
      <c r="AI294" s="28"/>
      <c r="AJ294" s="28"/>
      <c r="AK294" s="28"/>
      <c r="AL294" s="27">
        <f t="shared" ref="AL294:AL295" si="58">+C294+F294+I294+L294+O294+R294+U294+X294+AA294+AD294+AG294+AJ294</f>
        <v>501648.21</v>
      </c>
      <c r="AM294" s="27">
        <f t="shared" ref="AM294:AM295" si="59">+D294+G294+J294+M294+P294+S294+V294+Y294+AB294+AE294+AH294+AK294</f>
        <v>445435</v>
      </c>
      <c r="AN294" s="28"/>
      <c r="AO294" s="20">
        <v>445435</v>
      </c>
    </row>
    <row r="295" spans="1:41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>
        <v>19505.259999999998</v>
      </c>
      <c r="P295" s="28">
        <v>0</v>
      </c>
      <c r="Q295" s="28"/>
      <c r="R295" s="28">
        <v>8738.48</v>
      </c>
      <c r="S295" s="28">
        <v>0</v>
      </c>
      <c r="T295" s="28"/>
      <c r="U295" s="28">
        <v>0</v>
      </c>
      <c r="V295" s="28">
        <v>0</v>
      </c>
      <c r="W295" s="28"/>
      <c r="X295" s="28">
        <v>0</v>
      </c>
      <c r="Y295" s="28">
        <v>0</v>
      </c>
      <c r="Z295" s="28"/>
      <c r="AA295" s="28">
        <v>0</v>
      </c>
      <c r="AB295" s="28">
        <v>0</v>
      </c>
      <c r="AC295" s="28"/>
      <c r="AD295" s="28"/>
      <c r="AE295" s="28"/>
      <c r="AF295" s="28"/>
      <c r="AG295" s="28">
        <v>0</v>
      </c>
      <c r="AH295" s="28">
        <v>0</v>
      </c>
      <c r="AI295" s="28"/>
      <c r="AJ295" s="28"/>
      <c r="AK295" s="28"/>
      <c r="AL295" s="27">
        <f t="shared" si="58"/>
        <v>36210.99</v>
      </c>
      <c r="AM295" s="27">
        <f t="shared" si="59"/>
        <v>0</v>
      </c>
      <c r="AN295" s="28"/>
      <c r="AO295" s="20">
        <v>0</v>
      </c>
    </row>
    <row r="296" spans="1:41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>
        <v>10775.97</v>
      </c>
      <c r="P296" s="28">
        <v>8909</v>
      </c>
      <c r="Q296" s="28"/>
      <c r="R296" s="28">
        <v>2707.76</v>
      </c>
      <c r="S296" s="28">
        <v>8909</v>
      </c>
      <c r="T296" s="28"/>
      <c r="U296" s="28">
        <v>0</v>
      </c>
      <c r="V296" s="28">
        <v>0</v>
      </c>
      <c r="W296" s="28"/>
      <c r="X296" s="28">
        <v>0</v>
      </c>
      <c r="Y296" s="28">
        <v>0</v>
      </c>
      <c r="Z296" s="28"/>
      <c r="AA296" s="28">
        <v>0</v>
      </c>
      <c r="AB296" s="28">
        <v>0</v>
      </c>
      <c r="AC296" s="28"/>
      <c r="AD296" s="28"/>
      <c r="AE296" s="28"/>
      <c r="AF296" s="28"/>
      <c r="AG296" s="28">
        <v>0</v>
      </c>
      <c r="AH296" s="28">
        <v>0</v>
      </c>
      <c r="AI296" s="28"/>
      <c r="AJ296" s="28"/>
      <c r="AK296" s="28"/>
      <c r="AL296" s="27">
        <f t="shared" si="56"/>
        <v>41213.07</v>
      </c>
      <c r="AM296" s="27">
        <f t="shared" si="57"/>
        <v>40090</v>
      </c>
      <c r="AN296" s="28"/>
      <c r="AO296" s="20">
        <v>40090</v>
      </c>
    </row>
    <row r="297" spans="1:41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>
        <v>0</v>
      </c>
      <c r="P297" s="28">
        <v>0</v>
      </c>
      <c r="Q297" s="28"/>
      <c r="R297" s="28">
        <v>0</v>
      </c>
      <c r="S297" s="28">
        <v>0</v>
      </c>
      <c r="T297" s="28"/>
      <c r="U297" s="28">
        <v>0</v>
      </c>
      <c r="V297" s="28">
        <v>0</v>
      </c>
      <c r="W297" s="28"/>
      <c r="X297" s="28">
        <v>0</v>
      </c>
      <c r="Y297" s="28">
        <v>0</v>
      </c>
      <c r="Z297" s="28"/>
      <c r="AA297" s="28">
        <v>0</v>
      </c>
      <c r="AB297" s="28">
        <v>0</v>
      </c>
      <c r="AC297" s="28"/>
      <c r="AD297" s="28"/>
      <c r="AE297" s="28"/>
      <c r="AF297" s="28"/>
      <c r="AG297" s="28">
        <v>0</v>
      </c>
      <c r="AH297" s="28">
        <v>0</v>
      </c>
      <c r="AI297" s="28"/>
      <c r="AJ297" s="28"/>
      <c r="AK297" s="28"/>
      <c r="AL297" s="27">
        <f t="shared" si="56"/>
        <v>10842.3</v>
      </c>
      <c r="AM297" s="27">
        <f t="shared" si="57"/>
        <v>5000</v>
      </c>
      <c r="AN297" s="28"/>
      <c r="AO297" s="20">
        <v>10000</v>
      </c>
    </row>
    <row r="298" spans="1:41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>
        <v>1008.16</v>
      </c>
      <c r="P298" s="28">
        <v>1056</v>
      </c>
      <c r="Q298" s="28"/>
      <c r="R298" s="28">
        <v>1022</v>
      </c>
      <c r="S298" s="28">
        <v>1055</v>
      </c>
      <c r="T298" s="28"/>
      <c r="U298" s="28">
        <v>1022</v>
      </c>
      <c r="V298" s="28">
        <v>1055</v>
      </c>
      <c r="W298" s="28"/>
      <c r="X298" s="28">
        <v>3351.21</v>
      </c>
      <c r="Y298" s="28">
        <v>1056</v>
      </c>
      <c r="Z298" s="28"/>
      <c r="AA298" s="28">
        <v>1022</v>
      </c>
      <c r="AB298" s="28">
        <v>1584</v>
      </c>
      <c r="AC298" s="28"/>
      <c r="AD298" s="28">
        <v>1022</v>
      </c>
      <c r="AE298" s="28">
        <v>1055</v>
      </c>
      <c r="AF298" s="28"/>
      <c r="AG298" s="28">
        <v>1022</v>
      </c>
      <c r="AH298" s="28">
        <v>1056</v>
      </c>
      <c r="AI298" s="28"/>
      <c r="AJ298" s="28"/>
      <c r="AK298" s="28"/>
      <c r="AL298" s="27">
        <f t="shared" si="56"/>
        <v>13502.01</v>
      </c>
      <c r="AM298" s="27">
        <f t="shared" si="57"/>
        <v>12665</v>
      </c>
      <c r="AN298" s="28"/>
      <c r="AO298" s="20">
        <v>13720</v>
      </c>
    </row>
    <row r="299" spans="1:41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>
        <v>950.83</v>
      </c>
      <c r="P299" s="28">
        <v>667</v>
      </c>
      <c r="Q299" s="28"/>
      <c r="R299" s="28">
        <v>436.53</v>
      </c>
      <c r="S299" s="28">
        <v>667</v>
      </c>
      <c r="T299" s="28"/>
      <c r="U299" s="28">
        <v>359.4</v>
      </c>
      <c r="V299" s="28">
        <v>666</v>
      </c>
      <c r="W299" s="28"/>
      <c r="X299" s="28">
        <v>794.55</v>
      </c>
      <c r="Y299" s="28">
        <v>667</v>
      </c>
      <c r="Z299" s="28"/>
      <c r="AA299" s="28">
        <v>400.04</v>
      </c>
      <c r="AB299" s="28">
        <v>667</v>
      </c>
      <c r="AC299" s="28"/>
      <c r="AD299" s="28">
        <v>535.04</v>
      </c>
      <c r="AE299" s="28">
        <v>667</v>
      </c>
      <c r="AF299" s="28"/>
      <c r="AG299" s="28">
        <v>1015.15</v>
      </c>
      <c r="AH299" s="28">
        <v>666</v>
      </c>
      <c r="AI299" s="28"/>
      <c r="AJ299" s="28"/>
      <c r="AK299" s="28"/>
      <c r="AL299" s="27">
        <f t="shared" si="56"/>
        <v>6545.5599999999995</v>
      </c>
      <c r="AM299" s="27">
        <f t="shared" si="57"/>
        <v>7333</v>
      </c>
      <c r="AN299" s="28"/>
      <c r="AO299" s="20">
        <v>8000</v>
      </c>
    </row>
    <row r="300" spans="1:41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>
        <v>720</v>
      </c>
      <c r="P300" s="28">
        <v>317</v>
      </c>
      <c r="Q300" s="28"/>
      <c r="R300" s="28">
        <v>0</v>
      </c>
      <c r="S300" s="28">
        <v>316</v>
      </c>
      <c r="T300" s="28"/>
      <c r="U300" s="28">
        <v>325</v>
      </c>
      <c r="V300" s="28">
        <v>317</v>
      </c>
      <c r="W300" s="28"/>
      <c r="X300" s="28">
        <v>455</v>
      </c>
      <c r="Y300" s="28">
        <v>317</v>
      </c>
      <c r="Z300" s="28"/>
      <c r="AA300" s="28">
        <v>325</v>
      </c>
      <c r="AB300" s="28">
        <v>316</v>
      </c>
      <c r="AC300" s="28"/>
      <c r="AD300" s="28"/>
      <c r="AE300" s="28">
        <v>317</v>
      </c>
      <c r="AF300" s="28"/>
      <c r="AG300" s="28">
        <v>195</v>
      </c>
      <c r="AH300" s="28">
        <v>317</v>
      </c>
      <c r="AI300" s="28"/>
      <c r="AJ300" s="28"/>
      <c r="AK300" s="28"/>
      <c r="AL300" s="27">
        <f t="shared" si="56"/>
        <v>3020</v>
      </c>
      <c r="AM300" s="27">
        <f t="shared" si="57"/>
        <v>3484</v>
      </c>
      <c r="AN300" s="28"/>
      <c r="AO300" s="20">
        <v>3800</v>
      </c>
    </row>
    <row r="301" spans="1:41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>
        <v>0</v>
      </c>
      <c r="P301" s="28">
        <v>0</v>
      </c>
      <c r="Q301" s="28"/>
      <c r="R301" s="28">
        <v>0</v>
      </c>
      <c r="S301" s="28">
        <v>0</v>
      </c>
      <c r="T301" s="28"/>
      <c r="U301" s="28">
        <v>450</v>
      </c>
      <c r="V301" s="28">
        <v>0</v>
      </c>
      <c r="W301" s="28"/>
      <c r="X301" s="28">
        <v>0</v>
      </c>
      <c r="Y301" s="28">
        <v>500</v>
      </c>
      <c r="Z301" s="28"/>
      <c r="AA301" s="28">
        <v>0</v>
      </c>
      <c r="AB301" s="28">
        <v>0</v>
      </c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56"/>
        <v>450</v>
      </c>
      <c r="AM301" s="27">
        <f t="shared" si="57"/>
        <v>500</v>
      </c>
      <c r="AN301" s="28"/>
      <c r="AO301" s="20">
        <v>500</v>
      </c>
    </row>
    <row r="302" spans="1:41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>
        <v>0</v>
      </c>
      <c r="P302" s="28">
        <v>125</v>
      </c>
      <c r="Q302" s="28"/>
      <c r="R302" s="28">
        <v>252.78</v>
      </c>
      <c r="S302" s="28">
        <v>125</v>
      </c>
      <c r="T302" s="28"/>
      <c r="U302" s="28">
        <v>237.75</v>
      </c>
      <c r="V302" s="28">
        <v>125</v>
      </c>
      <c r="W302" s="28"/>
      <c r="X302" s="28">
        <v>59.52</v>
      </c>
      <c r="Y302" s="28">
        <v>125</v>
      </c>
      <c r="Z302" s="28"/>
      <c r="AA302" s="28">
        <v>89.67</v>
      </c>
      <c r="AB302" s="28">
        <v>125</v>
      </c>
      <c r="AC302" s="28"/>
      <c r="AD302" s="28">
        <v>806.9</v>
      </c>
      <c r="AE302" s="28">
        <v>125</v>
      </c>
      <c r="AF302" s="28"/>
      <c r="AG302" s="28">
        <v>13.99</v>
      </c>
      <c r="AH302" s="28">
        <v>125</v>
      </c>
      <c r="AI302" s="28"/>
      <c r="AJ302" s="28"/>
      <c r="AK302" s="28"/>
      <c r="AL302" s="27">
        <f t="shared" si="56"/>
        <v>1715.11</v>
      </c>
      <c r="AM302" s="27">
        <f t="shared" si="57"/>
        <v>1375</v>
      </c>
      <c r="AN302" s="28"/>
      <c r="AO302" s="20">
        <v>1500</v>
      </c>
    </row>
    <row r="303" spans="1:41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>
        <v>203.37</v>
      </c>
      <c r="P303" s="28">
        <v>250</v>
      </c>
      <c r="Q303" s="28"/>
      <c r="R303" s="28">
        <v>161.33000000000001</v>
      </c>
      <c r="S303" s="28">
        <v>250</v>
      </c>
      <c r="T303" s="28"/>
      <c r="U303" s="28">
        <v>0</v>
      </c>
      <c r="V303" s="28">
        <v>0</v>
      </c>
      <c r="W303" s="28"/>
      <c r="X303" s="28">
        <v>0</v>
      </c>
      <c r="Y303" s="28">
        <v>0</v>
      </c>
      <c r="Z303" s="28"/>
      <c r="AA303" s="28">
        <v>0</v>
      </c>
      <c r="AB303" s="28">
        <v>0</v>
      </c>
      <c r="AC303" s="28"/>
      <c r="AD303" s="28"/>
      <c r="AE303" s="28"/>
      <c r="AF303" s="28"/>
      <c r="AG303" s="28">
        <v>0</v>
      </c>
      <c r="AH303" s="28">
        <v>0</v>
      </c>
      <c r="AI303" s="28"/>
      <c r="AJ303" s="28"/>
      <c r="AK303" s="28"/>
      <c r="AL303" s="27">
        <f t="shared" si="56"/>
        <v>838.1</v>
      </c>
      <c r="AM303" s="27">
        <f t="shared" si="57"/>
        <v>1000</v>
      </c>
      <c r="AN303" s="28"/>
      <c r="AO303" s="20">
        <v>1000</v>
      </c>
    </row>
    <row r="304" spans="1:41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>
        <v>0</v>
      </c>
      <c r="P304" s="28">
        <v>0</v>
      </c>
      <c r="Q304" s="28"/>
      <c r="R304" s="28">
        <v>0</v>
      </c>
      <c r="S304" s="28">
        <v>0</v>
      </c>
      <c r="T304" s="28"/>
      <c r="U304" s="28">
        <v>0</v>
      </c>
      <c r="V304" s="28">
        <v>0</v>
      </c>
      <c r="W304" s="28"/>
      <c r="X304" s="28">
        <v>0</v>
      </c>
      <c r="Y304" s="28">
        <v>0</v>
      </c>
      <c r="Z304" s="28"/>
      <c r="AA304" s="28">
        <v>0</v>
      </c>
      <c r="AB304" s="28">
        <v>0</v>
      </c>
      <c r="AC304" s="28"/>
      <c r="AD304" s="28"/>
      <c r="AE304" s="28"/>
      <c r="AF304" s="28"/>
      <c r="AG304" s="28">
        <v>22.96</v>
      </c>
      <c r="AH304" s="28">
        <v>0</v>
      </c>
      <c r="AI304" s="28"/>
      <c r="AJ304" s="28"/>
      <c r="AK304" s="28"/>
      <c r="AL304" s="27">
        <f t="shared" si="56"/>
        <v>255.58</v>
      </c>
      <c r="AM304" s="27">
        <f t="shared" si="57"/>
        <v>500</v>
      </c>
      <c r="AN304" s="28"/>
      <c r="AO304" s="20">
        <v>1000</v>
      </c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>
        <v>121.92</v>
      </c>
      <c r="P305" s="28">
        <v>83</v>
      </c>
      <c r="Q305" s="28"/>
      <c r="R305" s="28">
        <v>121.92</v>
      </c>
      <c r="S305" s="28">
        <v>84</v>
      </c>
      <c r="T305" s="28"/>
      <c r="U305" s="28">
        <v>121.92</v>
      </c>
      <c r="V305" s="28">
        <v>83</v>
      </c>
      <c r="W305" s="28"/>
      <c r="X305" s="28">
        <v>121.92</v>
      </c>
      <c r="Y305" s="28">
        <v>83</v>
      </c>
      <c r="Z305" s="28"/>
      <c r="AA305" s="28">
        <v>2041.92</v>
      </c>
      <c r="AB305" s="28">
        <v>84</v>
      </c>
      <c r="AC305" s="28"/>
      <c r="AD305" s="28">
        <v>121.92</v>
      </c>
      <c r="AE305" s="28">
        <v>83</v>
      </c>
      <c r="AF305" s="28"/>
      <c r="AG305" s="28">
        <v>121.92</v>
      </c>
      <c r="AH305" s="28">
        <v>83</v>
      </c>
      <c r="AI305" s="28"/>
      <c r="AJ305" s="28"/>
      <c r="AK305" s="28"/>
      <c r="AL305" s="27">
        <f>+C305+F305+I305+L305+O305+R305+U305+X305+AA305+AD305+AG305+AJ305-1920</f>
        <v>1341.12</v>
      </c>
      <c r="AM305" s="27">
        <f t="shared" si="57"/>
        <v>917</v>
      </c>
      <c r="AN305" s="28"/>
      <c r="AO305" s="20">
        <v>1000</v>
      </c>
      <c r="AQ305" s="154">
        <f>+AL305-1219.2</f>
        <v>121.91999999999985</v>
      </c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>
        <v>0</v>
      </c>
      <c r="P306" s="28">
        <v>0</v>
      </c>
      <c r="Q306" s="28"/>
      <c r="R306" s="28">
        <v>0</v>
      </c>
      <c r="S306" s="28">
        <v>0</v>
      </c>
      <c r="T306" s="28"/>
      <c r="U306" s="28">
        <v>0</v>
      </c>
      <c r="V306" s="28">
        <v>0</v>
      </c>
      <c r="W306" s="28"/>
      <c r="X306" s="28">
        <v>0</v>
      </c>
      <c r="Y306" s="28">
        <v>0</v>
      </c>
      <c r="Z306" s="28"/>
      <c r="AA306" s="28">
        <v>0</v>
      </c>
      <c r="AB306" s="28">
        <v>0</v>
      </c>
      <c r="AC306" s="28"/>
      <c r="AD306" s="28"/>
      <c r="AE306" s="28"/>
      <c r="AF306" s="28"/>
      <c r="AG306" s="28">
        <v>0</v>
      </c>
      <c r="AH306" s="28">
        <v>0</v>
      </c>
      <c r="AI306" s="28"/>
      <c r="AJ306" s="28"/>
      <c r="AK306" s="28"/>
      <c r="AL306" s="27">
        <f t="shared" si="56"/>
        <v>3375</v>
      </c>
      <c r="AM306" s="27">
        <f t="shared" si="57"/>
        <v>500</v>
      </c>
      <c r="AN306" s="28"/>
      <c r="AO306" s="20">
        <v>500</v>
      </c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>
        <v>0</v>
      </c>
      <c r="P307" s="28">
        <v>0</v>
      </c>
      <c r="Q307" s="28"/>
      <c r="R307" s="28">
        <v>0</v>
      </c>
      <c r="S307" s="28">
        <v>0</v>
      </c>
      <c r="T307" s="28"/>
      <c r="U307" s="28">
        <v>0</v>
      </c>
      <c r="V307" s="28">
        <v>0</v>
      </c>
      <c r="W307" s="28"/>
      <c r="X307" s="28">
        <v>0</v>
      </c>
      <c r="Y307" s="28">
        <v>0</v>
      </c>
      <c r="Z307" s="28"/>
      <c r="AA307" s="28">
        <v>0</v>
      </c>
      <c r="AB307" s="28">
        <v>0</v>
      </c>
      <c r="AC307" s="28"/>
      <c r="AD307" s="28"/>
      <c r="AE307" s="28"/>
      <c r="AF307" s="28"/>
      <c r="AG307" s="28">
        <v>0</v>
      </c>
      <c r="AH307" s="28">
        <v>0</v>
      </c>
      <c r="AI307" s="28"/>
      <c r="AJ307" s="28"/>
      <c r="AK307" s="28"/>
      <c r="AL307" s="27">
        <f t="shared" si="56"/>
        <v>10330</v>
      </c>
      <c r="AM307" s="27">
        <f t="shared" si="57"/>
        <v>10000</v>
      </c>
      <c r="AN307" s="28"/>
      <c r="AO307" s="20">
        <v>10000</v>
      </c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>
        <v>21.84</v>
      </c>
      <c r="P308" s="28">
        <v>0</v>
      </c>
      <c r="Q308" s="28"/>
      <c r="R308" s="28">
        <v>530</v>
      </c>
      <c r="S308" s="28">
        <v>0</v>
      </c>
      <c r="T308" s="28"/>
      <c r="U308" s="28">
        <v>0</v>
      </c>
      <c r="V308" s="28">
        <v>0</v>
      </c>
      <c r="W308" s="28"/>
      <c r="X308" s="28">
        <v>14.49</v>
      </c>
      <c r="Y308" s="28">
        <v>0</v>
      </c>
      <c r="Z308" s="28"/>
      <c r="AA308" s="28">
        <v>0</v>
      </c>
      <c r="AB308" s="28">
        <v>0</v>
      </c>
      <c r="AC308" s="28"/>
      <c r="AD308" s="28"/>
      <c r="AE308" s="28"/>
      <c r="AF308" s="28"/>
      <c r="AG308" s="28">
        <v>0</v>
      </c>
      <c r="AH308" s="28">
        <v>0</v>
      </c>
      <c r="AI308" s="28"/>
      <c r="AJ308" s="28"/>
      <c r="AK308" s="28"/>
      <c r="AL308" s="27">
        <f t="shared" si="56"/>
        <v>2610.2999999999997</v>
      </c>
      <c r="AM308" s="27">
        <f t="shared" si="57"/>
        <v>3750</v>
      </c>
      <c r="AN308" s="28"/>
      <c r="AO308" s="20">
        <v>5000</v>
      </c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>
        <v>0</v>
      </c>
      <c r="P309" s="28">
        <v>0</v>
      </c>
      <c r="Q309" s="28"/>
      <c r="R309" s="28">
        <v>0</v>
      </c>
      <c r="S309" s="28">
        <v>0</v>
      </c>
      <c r="T309" s="28"/>
      <c r="U309" s="28">
        <v>0</v>
      </c>
      <c r="V309" s="28">
        <v>0</v>
      </c>
      <c r="W309" s="28"/>
      <c r="X309" s="28">
        <v>0</v>
      </c>
      <c r="Y309" s="28">
        <v>0</v>
      </c>
      <c r="Z309" s="28"/>
      <c r="AA309" s="28">
        <v>0</v>
      </c>
      <c r="AB309" s="28">
        <v>0</v>
      </c>
      <c r="AC309" s="28"/>
      <c r="AD309" s="28"/>
      <c r="AE309" s="28"/>
      <c r="AF309" s="28"/>
      <c r="AG309" s="28">
        <v>0</v>
      </c>
      <c r="AH309" s="28">
        <v>0</v>
      </c>
      <c r="AI309" s="28"/>
      <c r="AJ309" s="28"/>
      <c r="AK309" s="28"/>
      <c r="AL309" s="27">
        <f t="shared" si="56"/>
        <v>0</v>
      </c>
      <c r="AM309" s="27">
        <f t="shared" si="57"/>
        <v>0</v>
      </c>
      <c r="AN309" s="28"/>
      <c r="AO309" s="20">
        <v>1500</v>
      </c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>
        <v>109.99</v>
      </c>
      <c r="P310" s="28">
        <v>125</v>
      </c>
      <c r="Q310" s="28"/>
      <c r="R310" s="28">
        <v>101.65</v>
      </c>
      <c r="S310" s="28">
        <v>125</v>
      </c>
      <c r="T310" s="28"/>
      <c r="U310" s="28">
        <v>0</v>
      </c>
      <c r="V310" s="28">
        <v>0</v>
      </c>
      <c r="W310" s="28"/>
      <c r="X310" s="28">
        <v>0</v>
      </c>
      <c r="Y310" s="28">
        <v>0</v>
      </c>
      <c r="Z310" s="28"/>
      <c r="AA310" s="28">
        <v>0</v>
      </c>
      <c r="AB310" s="28">
        <v>0</v>
      </c>
      <c r="AC310" s="28"/>
      <c r="AD310" s="28"/>
      <c r="AE310" s="28"/>
      <c r="AF310" s="28"/>
      <c r="AG310" s="28">
        <v>0</v>
      </c>
      <c r="AH310" s="28">
        <v>0</v>
      </c>
      <c r="AI310" s="28"/>
      <c r="AJ310" s="28"/>
      <c r="AK310" s="28"/>
      <c r="AL310" s="27">
        <f t="shared" si="56"/>
        <v>641.2299999999999</v>
      </c>
      <c r="AM310" s="27">
        <f t="shared" si="57"/>
        <v>500</v>
      </c>
      <c r="AN310" s="28"/>
      <c r="AO310" s="20">
        <v>500</v>
      </c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284.95</v>
      </c>
      <c r="M311" s="28">
        <v>0</v>
      </c>
      <c r="N311" s="28"/>
      <c r="O311" s="28">
        <v>9224.5499999999993</v>
      </c>
      <c r="P311" s="28">
        <v>0</v>
      </c>
      <c r="Q311" s="28"/>
      <c r="R311" s="28">
        <v>98.4</v>
      </c>
      <c r="S311" s="28">
        <v>0</v>
      </c>
      <c r="T311" s="28"/>
      <c r="U311" s="28">
        <v>0</v>
      </c>
      <c r="V311" s="28"/>
      <c r="W311" s="28"/>
      <c r="X311" s="28">
        <v>0</v>
      </c>
      <c r="Y311" s="28">
        <v>0</v>
      </c>
      <c r="Z311" s="28"/>
      <c r="AA311" s="44">
        <v>0</v>
      </c>
      <c r="AB311" s="28">
        <v>0</v>
      </c>
      <c r="AC311" s="28"/>
      <c r="AD311" s="44"/>
      <c r="AE311" s="28"/>
      <c r="AF311" s="28"/>
      <c r="AG311" s="44">
        <v>0</v>
      </c>
      <c r="AH311" s="28">
        <v>0</v>
      </c>
      <c r="AI311" s="28"/>
      <c r="AJ311" s="44"/>
      <c r="AK311" s="28"/>
      <c r="AL311" s="122">
        <f t="shared" si="56"/>
        <v>10487.9</v>
      </c>
      <c r="AM311" s="27">
        <f t="shared" si="57"/>
        <v>0</v>
      </c>
      <c r="AN311" s="28"/>
      <c r="AO311" s="20">
        <v>0</v>
      </c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>
        <v>0</v>
      </c>
      <c r="P312" s="28">
        <v>0</v>
      </c>
      <c r="Q312" s="28"/>
      <c r="R312" s="28">
        <v>0</v>
      </c>
      <c r="S312" s="28">
        <v>0</v>
      </c>
      <c r="T312" s="28"/>
      <c r="U312" s="28">
        <v>17.86</v>
      </c>
      <c r="V312" s="28">
        <v>0</v>
      </c>
      <c r="W312" s="28"/>
      <c r="X312" s="28">
        <v>490.76</v>
      </c>
      <c r="Y312" s="28">
        <v>0</v>
      </c>
      <c r="Z312" s="28"/>
      <c r="AA312" s="28">
        <v>422.29</v>
      </c>
      <c r="AB312" s="28">
        <v>0</v>
      </c>
      <c r="AC312" s="28"/>
      <c r="AD312" s="28"/>
      <c r="AE312" s="28"/>
      <c r="AF312" s="28"/>
      <c r="AG312" s="28">
        <v>531.91</v>
      </c>
      <c r="AH312" s="28">
        <v>0</v>
      </c>
      <c r="AI312" s="28"/>
      <c r="AJ312" s="28"/>
      <c r="AK312" s="28"/>
      <c r="AL312" s="27">
        <f t="shared" si="56"/>
        <v>1462.8200000000002</v>
      </c>
      <c r="AM312" s="27">
        <f t="shared" si="57"/>
        <v>1250</v>
      </c>
      <c r="AN312" s="28"/>
      <c r="AO312" s="20">
        <v>2500</v>
      </c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>
        <v>0</v>
      </c>
      <c r="P313" s="28">
        <v>0</v>
      </c>
      <c r="Q313" s="28"/>
      <c r="R313" s="28">
        <v>0</v>
      </c>
      <c r="S313" s="28">
        <v>0</v>
      </c>
      <c r="T313" s="28"/>
      <c r="U313" s="28">
        <v>0</v>
      </c>
      <c r="V313" s="28">
        <v>0</v>
      </c>
      <c r="W313" s="28"/>
      <c r="X313" s="28">
        <v>0</v>
      </c>
      <c r="Y313" s="28">
        <v>0</v>
      </c>
      <c r="Z313" s="28"/>
      <c r="AA313" s="28">
        <v>0</v>
      </c>
      <c r="AB313" s="28">
        <v>0</v>
      </c>
      <c r="AC313" s="28"/>
      <c r="AD313" s="28">
        <v>122.27</v>
      </c>
      <c r="AE313" s="28"/>
      <c r="AF313" s="28"/>
      <c r="AG313" s="28">
        <v>0</v>
      </c>
      <c r="AH313" s="28">
        <v>0</v>
      </c>
      <c r="AI313" s="28"/>
      <c r="AJ313" s="28"/>
      <c r="AK313" s="28"/>
      <c r="AL313" s="27">
        <f t="shared" ref="AL313" si="60">+C313+F313+I313+L313+O313+R313+U313+X313+AA313+AD313+AG313+AJ313</f>
        <v>477.9</v>
      </c>
      <c r="AM313" s="27">
        <f t="shared" ref="AM313" si="61">+D313+G313+J313+M313+P313+S313+V313+Y313+AB313+AE313+AH313+AK313</f>
        <v>0</v>
      </c>
      <c r="AN313" s="28"/>
      <c r="AO313" s="20">
        <v>0</v>
      </c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>
        <v>0</v>
      </c>
      <c r="P314" s="28">
        <v>0</v>
      </c>
      <c r="Q314" s="28"/>
      <c r="R314" s="28">
        <v>0</v>
      </c>
      <c r="S314" s="28">
        <v>0</v>
      </c>
      <c r="T314" s="28"/>
      <c r="U314" s="28">
        <v>0</v>
      </c>
      <c r="V314" s="28">
        <v>0</v>
      </c>
      <c r="W314" s="28"/>
      <c r="X314" s="28">
        <v>0</v>
      </c>
      <c r="Y314" s="28">
        <v>0</v>
      </c>
      <c r="Z314" s="28"/>
      <c r="AA314" s="28">
        <v>0</v>
      </c>
      <c r="AB314" s="28">
        <v>0</v>
      </c>
      <c r="AC314" s="28"/>
      <c r="AD314" s="28"/>
      <c r="AE314" s="28"/>
      <c r="AF314" s="28"/>
      <c r="AG314" s="28">
        <v>0</v>
      </c>
      <c r="AH314" s="28">
        <v>0</v>
      </c>
      <c r="AI314" s="28"/>
      <c r="AJ314" s="28"/>
      <c r="AK314" s="28"/>
      <c r="AL314" s="27">
        <f t="shared" si="56"/>
        <v>0</v>
      </c>
      <c r="AM314" s="27">
        <f t="shared" si="57"/>
        <v>0</v>
      </c>
      <c r="AN314" s="28"/>
      <c r="AO314" s="20">
        <v>0</v>
      </c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>
        <v>0</v>
      </c>
      <c r="P315" s="28">
        <v>0</v>
      </c>
      <c r="Q315" s="28"/>
      <c r="R315" s="28">
        <v>0</v>
      </c>
      <c r="S315" s="28">
        <v>0</v>
      </c>
      <c r="T315" s="28"/>
      <c r="U315" s="28">
        <v>0</v>
      </c>
      <c r="V315" s="28">
        <v>0</v>
      </c>
      <c r="W315" s="28"/>
      <c r="X315" s="28">
        <v>0</v>
      </c>
      <c r="Y315" s="28">
        <v>0</v>
      </c>
      <c r="Z315" s="28"/>
      <c r="AA315" s="28"/>
      <c r="AB315" s="28"/>
      <c r="AC315" s="28"/>
      <c r="AD315" s="28"/>
      <c r="AE315" s="28"/>
      <c r="AF315" s="28"/>
      <c r="AG315" s="28">
        <v>0</v>
      </c>
      <c r="AH315" s="28">
        <v>0</v>
      </c>
      <c r="AI315" s="28"/>
      <c r="AJ315" s="28"/>
      <c r="AK315" s="28"/>
      <c r="AL315" s="122">
        <f t="shared" si="56"/>
        <v>12498</v>
      </c>
      <c r="AM315" s="27">
        <f t="shared" si="57"/>
        <v>0</v>
      </c>
      <c r="AN315" s="28"/>
      <c r="AO315" s="20">
        <v>0</v>
      </c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275666.16000000003</v>
      </c>
      <c r="M317" s="29">
        <f>SUM(M290:M316)</f>
        <v>167547</v>
      </c>
      <c r="N317" s="34"/>
      <c r="O317" s="29">
        <f>SUM(O290:O316)</f>
        <v>167284.24999999997</v>
      </c>
      <c r="P317" s="29">
        <f>SUM(P290:P316)</f>
        <v>112965</v>
      </c>
      <c r="Q317" s="34"/>
      <c r="R317" s="29">
        <f>SUM(R290:R316)</f>
        <v>43087.340000000004</v>
      </c>
      <c r="S317" s="29">
        <f>SUM(S290:S316)</f>
        <v>112964</v>
      </c>
      <c r="T317" s="34"/>
      <c r="U317" s="29">
        <f>SUM(U290:U316)</f>
        <v>4812.9299999999994</v>
      </c>
      <c r="V317" s="29">
        <f>SUM(V290:V316)</f>
        <v>4694</v>
      </c>
      <c r="W317" s="34"/>
      <c r="X317" s="29">
        <f>SUM(X290:X316)</f>
        <v>7703.6500000000005</v>
      </c>
      <c r="Y317" s="29">
        <f>SUM(Y290:Y316)</f>
        <v>5194</v>
      </c>
      <c r="Z317" s="34"/>
      <c r="AA317" s="29">
        <f>SUM(AA290:AA316)</f>
        <v>7802.55</v>
      </c>
      <c r="AB317" s="29">
        <f>SUM(AB290:AB316)</f>
        <v>5223</v>
      </c>
      <c r="AC317" s="34"/>
      <c r="AD317" s="29">
        <f>SUM(AD290:AD316)</f>
        <v>4978.5600000000004</v>
      </c>
      <c r="AE317" s="29">
        <f>SUM(AE290:AE316)</f>
        <v>4803</v>
      </c>
      <c r="AF317" s="34"/>
      <c r="AG317" s="29">
        <f>SUM(AG290:AG316)</f>
        <v>5264.3099999999995</v>
      </c>
      <c r="AH317" s="29">
        <f>SUM(AH290:AH316)</f>
        <v>4694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687073.68</v>
      </c>
      <c r="AM317" s="29">
        <f>SUM(AM290:AM316)</f>
        <v>561438</v>
      </c>
      <c r="AN317" s="34"/>
      <c r="AO317" s="29">
        <f>SUM(AO290:AO316)</f>
        <v>575630</v>
      </c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48"/>
      <c r="AH318" s="48"/>
      <c r="AI318" s="48"/>
      <c r="AJ318" s="48"/>
      <c r="AK318" s="48"/>
      <c r="AL318" s="48"/>
      <c r="AM318" s="48"/>
      <c r="AN318" s="48"/>
      <c r="AO318" s="48"/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715221.15999999992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1214648.9100000001</v>
      </c>
      <c r="M319" s="30">
        <f>+M317+M287+M250+M203</f>
        <v>776033</v>
      </c>
      <c r="N319" s="34"/>
      <c r="O319" s="30">
        <f>+O317+O287+O250+O203</f>
        <v>1409023.33</v>
      </c>
      <c r="P319" s="30">
        <f>+P317+P287+P250+P203</f>
        <v>568802</v>
      </c>
      <c r="Q319" s="34"/>
      <c r="R319" s="30">
        <f>+R317+R287+R250+R203</f>
        <v>614882.27</v>
      </c>
      <c r="S319" s="30">
        <f>+S317+S287+S250+S203</f>
        <v>605272</v>
      </c>
      <c r="T319" s="34"/>
      <c r="U319" s="30">
        <f>+U317+U287+U250+U203</f>
        <v>1097893.7</v>
      </c>
      <c r="V319" s="30">
        <f>+V317+V287+V250+V203</f>
        <v>411977</v>
      </c>
      <c r="W319" s="34"/>
      <c r="X319" s="30">
        <f>+X317+X287+X250+X203</f>
        <v>1220867.46</v>
      </c>
      <c r="Y319" s="30">
        <f>+Y317+Y287+Y250+Y203</f>
        <v>379626</v>
      </c>
      <c r="Z319" s="34"/>
      <c r="AA319" s="30">
        <f>+AA317+AA287+AA250+AA203</f>
        <v>1373727.12</v>
      </c>
      <c r="AB319" s="30">
        <f>+AB317+AB287+AB250+AB203</f>
        <v>500978</v>
      </c>
      <c r="AC319" s="34"/>
      <c r="AD319" s="30">
        <f>+AD317+AD287+AD250+AD203</f>
        <v>1166202.54</v>
      </c>
      <c r="AE319" s="30">
        <f>+AE317+AE287+AE250+AE203</f>
        <v>381682</v>
      </c>
      <c r="AF319" s="34"/>
      <c r="AG319" s="30">
        <f>+AG317+AG287+AG250+AG203</f>
        <v>1266612.0209999999</v>
      </c>
      <c r="AH319" s="30">
        <f>+AH317+AH287+AH250+AH203</f>
        <v>378604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12046906.841</v>
      </c>
      <c r="AM319" s="30">
        <f>+AM317+AM287+AM250+AM203</f>
        <v>5405793</v>
      </c>
      <c r="AN319" s="34"/>
      <c r="AO319" s="30">
        <f>+AO317+AO287+AO250+AO203</f>
        <v>5798899</v>
      </c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48"/>
      <c r="AH320" s="48"/>
      <c r="AI320" s="48"/>
      <c r="AJ320" s="48"/>
      <c r="AK320" s="48"/>
      <c r="AL320" s="48"/>
      <c r="AM320" s="48"/>
      <c r="AN320" s="48"/>
      <c r="AO320" s="48"/>
    </row>
    <row r="321" spans="1:41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48"/>
      <c r="AH321" s="48"/>
      <c r="AI321" s="48"/>
      <c r="AJ321" s="48"/>
      <c r="AK321" s="48"/>
      <c r="AL321" s="48"/>
      <c r="AM321" s="48"/>
      <c r="AN321" s="48"/>
      <c r="AO321" s="48"/>
    </row>
    <row r="322" spans="1:41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95869.090000000084</v>
      </c>
      <c r="G322" s="33">
        <f>+G97-G319</f>
        <v>283335</v>
      </c>
      <c r="H322" s="38"/>
      <c r="I322" s="33">
        <f>+I97-I319</f>
        <v>-290910.07000000007</v>
      </c>
      <c r="J322" s="33">
        <f>+J97-J319</f>
        <v>166562</v>
      </c>
      <c r="K322" s="38"/>
      <c r="L322" s="33">
        <f>+L97-L319</f>
        <v>-77018.810000000056</v>
      </c>
      <c r="M322" s="33">
        <f>+M97-M319</f>
        <v>-61129</v>
      </c>
      <c r="N322" s="38"/>
      <c r="O322" s="33">
        <f>+O97-O319</f>
        <v>-454727.98</v>
      </c>
      <c r="P322" s="33">
        <f>+P97-P319</f>
        <v>226759</v>
      </c>
      <c r="Q322" s="38"/>
      <c r="R322" s="33">
        <f>+R97-R319</f>
        <v>30457.889999999898</v>
      </c>
      <c r="S322" s="33">
        <f>+S97-S319</f>
        <v>17091</v>
      </c>
      <c r="T322" s="38"/>
      <c r="U322" s="33">
        <f>+U97-U319</f>
        <v>-145182.10999999999</v>
      </c>
      <c r="V322" s="33">
        <f>+V97-V319</f>
        <v>571028</v>
      </c>
      <c r="W322" s="38"/>
      <c r="X322" s="33">
        <f>+X97-X319</f>
        <v>-917248.09</v>
      </c>
      <c r="Y322" s="33">
        <f>+Y97-Y319</f>
        <v>-76208</v>
      </c>
      <c r="Z322" s="38"/>
      <c r="AA322" s="33">
        <f>+AA97-AA319</f>
        <v>1986487.4300000006</v>
      </c>
      <c r="AB322" s="33">
        <f>+AB97-AB319</f>
        <v>-214601</v>
      </c>
      <c r="AC322" s="38"/>
      <c r="AD322" s="33">
        <f>+AD97-AD319</f>
        <v>-900859.15</v>
      </c>
      <c r="AE322" s="33">
        <f>+AE97-AE319</f>
        <v>-138444</v>
      </c>
      <c r="AF322" s="38"/>
      <c r="AG322" s="33">
        <f>+AG97-AG319</f>
        <v>-983613.44099999988</v>
      </c>
      <c r="AH322" s="33">
        <f>+AH97-AH319</f>
        <v>-189003</v>
      </c>
      <c r="AI322" s="34"/>
      <c r="AJ322" s="33">
        <f>+AJ97-AJ319</f>
        <v>0</v>
      </c>
      <c r="AK322" s="33">
        <f>+AK97-AK319</f>
        <v>0</v>
      </c>
      <c r="AL322" s="33">
        <f>+AL97-AL319</f>
        <v>-1807986.1610000003</v>
      </c>
      <c r="AM322" s="33">
        <f>+AM97-AM319</f>
        <v>589069</v>
      </c>
      <c r="AN322" s="34"/>
      <c r="AO322" s="33">
        <f>+AO97-AO319</f>
        <v>393101</v>
      </c>
    </row>
    <row r="323" spans="1:41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1"/>
      <c r="AH323" s="51"/>
      <c r="AI323" s="51"/>
      <c r="AJ323" s="51"/>
      <c r="AK323" s="51"/>
      <c r="AL323" s="51"/>
      <c r="AM323" s="51"/>
      <c r="AN323" s="51"/>
      <c r="AO323" s="51"/>
    </row>
    <row r="324" spans="1:41" x14ac:dyDescent="0.2">
      <c r="A324" s="2"/>
      <c r="B324" s="2" t="s">
        <v>506</v>
      </c>
      <c r="C324" s="119">
        <f>-C48-C49-C50-C51-C52-C53-C54-C55-C71-C72-C73+C148+C174+C248+C258+C259+C260+C261+C283+C311+C315</f>
        <v>155146.98000000001</v>
      </c>
      <c r="D324" s="119">
        <f t="shared" ref="D324:AK324" si="62">-D48-D49-D50-D51-D52-D53-D54-D55-D71-D72-D73+D148+D174+D248+D258+D259+D260+D261+D283+D311+D315-D61-D92</f>
        <v>42</v>
      </c>
      <c r="E324" s="119">
        <f t="shared" si="62"/>
        <v>0</v>
      </c>
      <c r="F324" s="119">
        <f t="shared" si="62"/>
        <v>258209.33999999997</v>
      </c>
      <c r="G324" s="119">
        <f t="shared" si="62"/>
        <v>41</v>
      </c>
      <c r="H324" s="119">
        <f t="shared" si="62"/>
        <v>0</v>
      </c>
      <c r="I324" s="119">
        <f t="shared" si="62"/>
        <v>745231.57</v>
      </c>
      <c r="J324" s="119">
        <f t="shared" si="62"/>
        <v>42</v>
      </c>
      <c r="K324" s="119">
        <f t="shared" si="62"/>
        <v>0</v>
      </c>
      <c r="L324" s="119">
        <f t="shared" si="62"/>
        <v>92242.540000000008</v>
      </c>
      <c r="M324" s="119">
        <f t="shared" si="62"/>
        <v>41</v>
      </c>
      <c r="N324" s="119">
        <f t="shared" si="62"/>
        <v>0</v>
      </c>
      <c r="O324" s="119">
        <f t="shared" si="62"/>
        <v>685612.56</v>
      </c>
      <c r="P324" s="119">
        <f t="shared" si="62"/>
        <v>42</v>
      </c>
      <c r="Q324" s="119">
        <f t="shared" si="62"/>
        <v>0</v>
      </c>
      <c r="R324" s="119">
        <f t="shared" si="62"/>
        <v>24404.980000000003</v>
      </c>
      <c r="S324" s="119">
        <f t="shared" si="62"/>
        <v>41</v>
      </c>
      <c r="T324" s="119">
        <f t="shared" si="62"/>
        <v>0</v>
      </c>
      <c r="U324" s="119">
        <f t="shared" si="62"/>
        <v>691340.14</v>
      </c>
      <c r="V324" s="119">
        <f t="shared" si="62"/>
        <v>42</v>
      </c>
      <c r="W324" s="119">
        <f t="shared" si="62"/>
        <v>0</v>
      </c>
      <c r="X324" s="119">
        <f t="shared" si="62"/>
        <v>775983.47</v>
      </c>
      <c r="Y324" s="119">
        <f t="shared" si="62"/>
        <v>42</v>
      </c>
      <c r="Z324" s="119">
        <f t="shared" si="62"/>
        <v>0</v>
      </c>
      <c r="AA324" s="119">
        <f t="shared" si="62"/>
        <v>-2069920.9500000002</v>
      </c>
      <c r="AB324" s="119">
        <f t="shared" si="62"/>
        <v>41</v>
      </c>
      <c r="AC324" s="119">
        <f t="shared" si="62"/>
        <v>0</v>
      </c>
      <c r="AD324" s="119">
        <f t="shared" si="62"/>
        <v>791025.03999999992</v>
      </c>
      <c r="AE324" s="119">
        <f t="shared" si="62"/>
        <v>42</v>
      </c>
      <c r="AF324" s="119">
        <f t="shared" si="62"/>
        <v>0</v>
      </c>
      <c r="AG324" s="119">
        <f t="shared" si="62"/>
        <v>926914.86</v>
      </c>
      <c r="AH324" s="119">
        <f t="shared" si="62"/>
        <v>42</v>
      </c>
      <c r="AI324" s="119">
        <f t="shared" si="62"/>
        <v>0</v>
      </c>
      <c r="AJ324" s="119">
        <f t="shared" si="62"/>
        <v>0</v>
      </c>
      <c r="AK324" s="119">
        <f t="shared" si="62"/>
        <v>0</v>
      </c>
      <c r="AL324" s="119">
        <f>-AL48-AL49-AL50-AL51-AL52-AL53-AL54-AL55-AL71-AL72-AL73+AL148+AL174+AL248+AL258+AL259+AL260+AL261+AL283+AL311+AL315-AL61-AL92</f>
        <v>3141190.5300000003</v>
      </c>
      <c r="AM324" s="119">
        <f>-AM48-AM49-AM50-AM51-AM52-AM53-AM54-AM55-AM71-AM72-AM73+AM148+AM174+AM248+AM258+AM259+AM260+AM261+AM283+AM311+AM315</f>
        <v>458</v>
      </c>
      <c r="AN324" s="119"/>
      <c r="AO324" s="119">
        <f t="shared" ref="AO324" si="63">-AO47-AO62-AO72-AO79-AO84-AO85-AO92-AO120+AO148+AO174+AO248+AO260+AO283+AO315-AO61-AO48-AO49-AO50-AO51-AO52-AO53-AO54-AO71-AO73-AO55+AO103+AO104+AO112+AO311</f>
        <v>3000</v>
      </c>
    </row>
    <row r="325" spans="1:41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39"/>
      <c r="AH325" s="39"/>
      <c r="AI325" s="39"/>
      <c r="AJ325" s="39"/>
      <c r="AK325" s="39"/>
      <c r="AL325" s="39"/>
      <c r="AM325" s="39"/>
      <c r="AN325" s="39"/>
      <c r="AO325" s="39"/>
    </row>
    <row r="326" spans="1:41" ht="12" thickBot="1" x14ac:dyDescent="0.25">
      <c r="A326" s="2"/>
      <c r="B326" s="2" t="s">
        <v>507</v>
      </c>
      <c r="C326" s="120">
        <f>+C322+C324</f>
        <v>66441.420000000013</v>
      </c>
      <c r="D326" s="120">
        <f t="shared" ref="D326:AO326" si="64">+D322+D324</f>
        <v>3721</v>
      </c>
      <c r="E326" s="120"/>
      <c r="F326" s="120">
        <f t="shared" si="64"/>
        <v>354078.43000000005</v>
      </c>
      <c r="G326" s="120">
        <f t="shared" si="64"/>
        <v>283376</v>
      </c>
      <c r="H326" s="120"/>
      <c r="I326" s="120">
        <f t="shared" si="64"/>
        <v>454321.49999999988</v>
      </c>
      <c r="J326" s="120">
        <f t="shared" si="64"/>
        <v>166604</v>
      </c>
      <c r="K326" s="120"/>
      <c r="L326" s="120">
        <f t="shared" si="64"/>
        <v>15223.729999999952</v>
      </c>
      <c r="M326" s="120">
        <f t="shared" si="64"/>
        <v>-61088</v>
      </c>
      <c r="N326" s="120"/>
      <c r="O326" s="120">
        <f t="shared" si="64"/>
        <v>230884.58000000007</v>
      </c>
      <c r="P326" s="120">
        <f t="shared" si="64"/>
        <v>226801</v>
      </c>
      <c r="Q326" s="120"/>
      <c r="R326" s="120">
        <f t="shared" si="64"/>
        <v>54862.869999999901</v>
      </c>
      <c r="S326" s="120">
        <f t="shared" si="64"/>
        <v>17132</v>
      </c>
      <c r="T326" s="120"/>
      <c r="U326" s="120">
        <f t="shared" si="64"/>
        <v>546158.03</v>
      </c>
      <c r="V326" s="120">
        <f t="shared" si="64"/>
        <v>571070</v>
      </c>
      <c r="W326" s="120"/>
      <c r="X326" s="120">
        <f t="shared" si="64"/>
        <v>-141264.62</v>
      </c>
      <c r="Y326" s="120">
        <f t="shared" si="64"/>
        <v>-76166</v>
      </c>
      <c r="Z326" s="120">
        <f t="shared" si="64"/>
        <v>0</v>
      </c>
      <c r="AA326" s="120">
        <f t="shared" si="64"/>
        <v>-83433.519999999553</v>
      </c>
      <c r="AB326" s="120">
        <f t="shared" si="64"/>
        <v>-214560</v>
      </c>
      <c r="AC326" s="120">
        <f t="shared" si="64"/>
        <v>0</v>
      </c>
      <c r="AD326" s="120">
        <f t="shared" si="64"/>
        <v>-109834.1100000001</v>
      </c>
      <c r="AE326" s="120">
        <f t="shared" si="64"/>
        <v>-138402</v>
      </c>
      <c r="AF326" s="120">
        <f t="shared" si="64"/>
        <v>0</v>
      </c>
      <c r="AG326" s="120">
        <f t="shared" si="64"/>
        <v>-56698.580999999889</v>
      </c>
      <c r="AH326" s="120">
        <f t="shared" si="64"/>
        <v>-188961</v>
      </c>
      <c r="AI326" s="120">
        <f t="shared" si="64"/>
        <v>0</v>
      </c>
      <c r="AJ326" s="120">
        <f t="shared" si="64"/>
        <v>0</v>
      </c>
      <c r="AK326" s="120">
        <f t="shared" si="64"/>
        <v>0</v>
      </c>
      <c r="AL326" s="120">
        <f>+AL322+AL324</f>
        <v>1333204.3689999999</v>
      </c>
      <c r="AM326" s="120">
        <f t="shared" si="64"/>
        <v>589527</v>
      </c>
      <c r="AN326" s="120"/>
      <c r="AO326" s="120">
        <f t="shared" si="64"/>
        <v>396101</v>
      </c>
    </row>
    <row r="327" spans="1:41" ht="12" thickTop="1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1"/>
      <c r="AH327" s="51"/>
      <c r="AI327" s="51"/>
      <c r="AJ327" s="51"/>
      <c r="AK327" s="51"/>
      <c r="AL327" s="137"/>
      <c r="AM327" s="51"/>
      <c r="AN327" s="51"/>
      <c r="AO327" s="51"/>
    </row>
    <row r="328" spans="1:41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>
        <f>+AD326-[1]Sheet1!$H$352</f>
        <v>-109834.1100000001</v>
      </c>
      <c r="AE328" s="39"/>
      <c r="AF328" s="39"/>
      <c r="AG328" s="51"/>
      <c r="AH328" s="51"/>
      <c r="AI328" s="51"/>
      <c r="AJ328" s="51"/>
      <c r="AK328" s="51"/>
      <c r="AL328" s="137"/>
      <c r="AM328" s="51"/>
      <c r="AN328" s="51"/>
      <c r="AO328" s="51"/>
    </row>
    <row r="329" spans="1:41" x14ac:dyDescent="0.2">
      <c r="A329" s="2" t="s">
        <v>508</v>
      </c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W329" s="39"/>
      <c r="X329" s="39"/>
      <c r="Y329" s="39"/>
      <c r="Z329" s="39"/>
      <c r="AA329" s="39"/>
      <c r="AC329" s="39"/>
      <c r="AD329" s="39"/>
      <c r="AE329" s="39"/>
      <c r="AF329" s="39"/>
      <c r="AG329" s="51"/>
      <c r="AH329" s="51"/>
      <c r="AI329" s="51"/>
      <c r="AJ329" s="51"/>
      <c r="AK329" s="39" t="s">
        <v>545</v>
      </c>
      <c r="AL329" s="137">
        <f>-'Fin Summary - Operating'!I19</f>
        <v>-395812.04350000003</v>
      </c>
      <c r="AM329" s="51"/>
      <c r="AN329" s="51"/>
      <c r="AO329" s="51"/>
    </row>
    <row r="330" spans="1:41" x14ac:dyDescent="0.2">
      <c r="A330" s="13">
        <v>4070300</v>
      </c>
      <c r="B330" s="13" t="s">
        <v>266</v>
      </c>
      <c r="C330" s="87" t="s">
        <v>43</v>
      </c>
      <c r="D330" s="123">
        <v>-73</v>
      </c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W330" s="39"/>
      <c r="X330" s="39"/>
      <c r="Y330" s="39"/>
      <c r="Z330" s="39"/>
      <c r="AA330" s="39"/>
      <c r="AC330" s="39"/>
      <c r="AD330" s="39"/>
      <c r="AE330" s="39"/>
      <c r="AF330" s="39"/>
      <c r="AG330" s="51"/>
      <c r="AH330" s="51"/>
      <c r="AI330" s="51"/>
      <c r="AJ330" s="51"/>
      <c r="AK330" s="39" t="s">
        <v>546</v>
      </c>
      <c r="AL330" s="137">
        <f>+AL329+AL326</f>
        <v>937392.32549999992</v>
      </c>
      <c r="AM330" s="51"/>
      <c r="AN330" s="51"/>
      <c r="AO330" s="51"/>
    </row>
    <row r="331" spans="1:41" x14ac:dyDescent="0.2">
      <c r="A331" s="13">
        <v>4070200</v>
      </c>
      <c r="B331" s="13" t="s">
        <v>268</v>
      </c>
      <c r="C331" s="87" t="s">
        <v>43</v>
      </c>
      <c r="D331" s="123">
        <v>-72</v>
      </c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AK331" s="1" t="s">
        <v>547</v>
      </c>
      <c r="AL331" s="138">
        <f>+'Fin Summary - Operating'!I61</f>
        <v>937391.96650000103</v>
      </c>
      <c r="AM331" s="51"/>
      <c r="AN331" s="51"/>
      <c r="AO331" s="51"/>
    </row>
    <row r="332" spans="1:41" x14ac:dyDescent="0.2">
      <c r="A332" s="13">
        <v>4070100</v>
      </c>
      <c r="B332" s="13" t="s">
        <v>270</v>
      </c>
      <c r="C332" s="87" t="s">
        <v>43</v>
      </c>
      <c r="D332" s="123">
        <v>-71</v>
      </c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W332" s="39"/>
      <c r="X332" s="39"/>
      <c r="Y332" s="39"/>
      <c r="Z332" s="39"/>
      <c r="AA332" s="39"/>
      <c r="AC332" s="39"/>
      <c r="AD332" s="39"/>
      <c r="AE332" s="39"/>
      <c r="AF332" s="39"/>
      <c r="AG332" s="51"/>
      <c r="AH332" s="51"/>
      <c r="AI332" s="51"/>
      <c r="AJ332" s="51"/>
      <c r="AK332" s="39" t="s">
        <v>539</v>
      </c>
      <c r="AL332" s="137">
        <f>+AL331-AL330</f>
        <v>-0.35899999889079481</v>
      </c>
      <c r="AM332" s="51"/>
      <c r="AN332" s="51"/>
      <c r="AO332" s="51"/>
    </row>
    <row r="333" spans="1:41" x14ac:dyDescent="0.2">
      <c r="A333" s="13">
        <v>4070400</v>
      </c>
      <c r="B333" s="13" t="s">
        <v>286</v>
      </c>
      <c r="C333" s="87" t="s">
        <v>82</v>
      </c>
      <c r="D333" s="123">
        <v>-55</v>
      </c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W333" s="39"/>
      <c r="X333" s="39"/>
      <c r="Y333" s="39"/>
      <c r="Z333" s="39"/>
      <c r="AA333" s="39"/>
      <c r="AC333" s="39"/>
      <c r="AD333" s="39"/>
      <c r="AE333" s="39"/>
      <c r="AF333" s="39"/>
      <c r="AG333" s="51"/>
      <c r="AH333" s="51"/>
      <c r="AI333" s="51"/>
      <c r="AJ333" s="51"/>
      <c r="AK333" s="39"/>
      <c r="AL333" s="137"/>
      <c r="AM333" s="51"/>
      <c r="AN333" s="51"/>
      <c r="AO333" s="51"/>
    </row>
    <row r="334" spans="1:41" x14ac:dyDescent="0.2">
      <c r="A334" s="13">
        <v>4060900</v>
      </c>
      <c r="B334" s="13" t="s">
        <v>288</v>
      </c>
      <c r="C334" s="87" t="s">
        <v>82</v>
      </c>
      <c r="D334" s="123">
        <v>-54</v>
      </c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1"/>
      <c r="AH334" s="51"/>
      <c r="AI334" s="51"/>
      <c r="AJ334" s="153"/>
      <c r="AK334" s="51"/>
      <c r="AL334" s="137"/>
      <c r="AM334" s="51"/>
      <c r="AN334" s="51"/>
      <c r="AO334" s="51"/>
    </row>
    <row r="335" spans="1:41" x14ac:dyDescent="0.2">
      <c r="A335" s="13">
        <v>4060800</v>
      </c>
      <c r="B335" s="13" t="s">
        <v>289</v>
      </c>
      <c r="C335" s="87" t="s">
        <v>82</v>
      </c>
      <c r="D335" s="123">
        <v>-53</v>
      </c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1"/>
      <c r="AH335" s="51"/>
      <c r="AI335" s="51"/>
      <c r="AJ335" s="51"/>
      <c r="AK335" s="51"/>
      <c r="AL335" s="137"/>
      <c r="AM335" s="51"/>
      <c r="AN335" s="51"/>
      <c r="AO335" s="51"/>
    </row>
    <row r="336" spans="1:41" x14ac:dyDescent="0.2">
      <c r="A336" s="13">
        <v>4060500</v>
      </c>
      <c r="B336" s="13" t="s">
        <v>290</v>
      </c>
      <c r="C336" s="87" t="s">
        <v>79</v>
      </c>
      <c r="D336" s="123">
        <v>-52</v>
      </c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1"/>
      <c r="AH336" s="51"/>
      <c r="AI336" s="51"/>
      <c r="AJ336" s="51"/>
      <c r="AK336" s="51"/>
      <c r="AL336" s="137"/>
      <c r="AM336" s="51"/>
      <c r="AN336" s="51"/>
      <c r="AO336" s="51"/>
    </row>
    <row r="337" spans="1:41" x14ac:dyDescent="0.2">
      <c r="A337" s="13">
        <v>4060400</v>
      </c>
      <c r="B337" s="13" t="s">
        <v>292</v>
      </c>
      <c r="C337" s="87" t="s">
        <v>82</v>
      </c>
      <c r="D337" s="123">
        <v>-51</v>
      </c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1"/>
      <c r="AH337" s="51"/>
      <c r="AI337" s="51"/>
      <c r="AJ337" s="51"/>
      <c r="AK337" s="51"/>
      <c r="AL337" s="137"/>
      <c r="AM337" s="51"/>
      <c r="AN337" s="51"/>
      <c r="AO337" s="51"/>
    </row>
    <row r="338" spans="1:41" x14ac:dyDescent="0.2">
      <c r="A338" s="13">
        <v>4060300</v>
      </c>
      <c r="B338" s="13" t="s">
        <v>293</v>
      </c>
      <c r="C338" s="87" t="s">
        <v>79</v>
      </c>
      <c r="D338" s="123">
        <v>-50</v>
      </c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1"/>
      <c r="AH338" s="51"/>
      <c r="AI338" s="51"/>
      <c r="AJ338" s="51"/>
      <c r="AK338" s="51"/>
      <c r="AL338" s="51"/>
      <c r="AM338" s="51"/>
      <c r="AN338" s="51"/>
      <c r="AO338" s="51"/>
    </row>
    <row r="339" spans="1:41" x14ac:dyDescent="0.2">
      <c r="A339" s="13">
        <v>4060200</v>
      </c>
      <c r="B339" s="13" t="s">
        <v>295</v>
      </c>
      <c r="C339" s="87" t="s">
        <v>82</v>
      </c>
      <c r="D339" s="123">
        <v>-49</v>
      </c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1"/>
      <c r="AH339" s="51"/>
      <c r="AI339" s="51"/>
      <c r="AJ339" s="51"/>
      <c r="AK339" s="51"/>
      <c r="AL339" s="51"/>
      <c r="AM339" s="51"/>
      <c r="AN339" s="51"/>
      <c r="AO339" s="51"/>
    </row>
    <row r="340" spans="1:41" x14ac:dyDescent="0.2">
      <c r="A340" s="13">
        <v>4060100</v>
      </c>
      <c r="B340" s="13" t="s">
        <v>297</v>
      </c>
      <c r="C340" s="87" t="s">
        <v>82</v>
      </c>
      <c r="D340" s="123">
        <v>-48</v>
      </c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1"/>
      <c r="AH340" s="51"/>
      <c r="AI340" s="51"/>
      <c r="AJ340" s="51"/>
      <c r="AK340" s="51"/>
      <c r="AL340" s="51"/>
      <c r="AM340" s="51"/>
      <c r="AN340" s="51"/>
      <c r="AO340" s="51"/>
    </row>
    <row r="341" spans="1:41" x14ac:dyDescent="0.2">
      <c r="A341" s="13">
        <v>6022050</v>
      </c>
      <c r="B341" s="13" t="s">
        <v>375</v>
      </c>
      <c r="C341" s="87" t="s">
        <v>509</v>
      </c>
      <c r="D341" s="123">
        <v>148</v>
      </c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52"/>
      <c r="AH341" s="52"/>
      <c r="AI341" s="52"/>
      <c r="AJ341" s="52"/>
      <c r="AK341" s="52"/>
      <c r="AL341" s="52"/>
      <c r="AM341" s="52"/>
      <c r="AN341" s="52"/>
      <c r="AO341" s="52"/>
    </row>
    <row r="342" spans="1:41" x14ac:dyDescent="0.2">
      <c r="A342" s="13">
        <v>6052050</v>
      </c>
      <c r="B342" s="13" t="s">
        <v>375</v>
      </c>
      <c r="C342" s="87" t="s">
        <v>509</v>
      </c>
      <c r="D342" s="123">
        <v>174</v>
      </c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52"/>
      <c r="AH342" s="52"/>
      <c r="AI342" s="52"/>
      <c r="AJ342" s="52"/>
      <c r="AK342" s="52"/>
      <c r="AL342" s="52"/>
      <c r="AM342" s="52"/>
      <c r="AN342" s="52"/>
      <c r="AO342" s="52"/>
    </row>
    <row r="343" spans="1:41" x14ac:dyDescent="0.2">
      <c r="A343" s="13">
        <v>6032050</v>
      </c>
      <c r="B343" s="13" t="s">
        <v>375</v>
      </c>
      <c r="C343" s="87" t="s">
        <v>509</v>
      </c>
      <c r="D343" s="123">
        <v>248</v>
      </c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52"/>
      <c r="AH343" s="52"/>
      <c r="AI343" s="52"/>
      <c r="AJ343" s="52"/>
      <c r="AK343" s="52"/>
      <c r="AL343" s="52"/>
      <c r="AM343" s="52"/>
      <c r="AN343" s="52"/>
      <c r="AO343" s="52"/>
    </row>
    <row r="344" spans="1:41" x14ac:dyDescent="0.2">
      <c r="A344" s="13">
        <v>6012700</v>
      </c>
      <c r="B344" s="13" t="s">
        <v>67</v>
      </c>
      <c r="C344" s="87" t="s">
        <v>79</v>
      </c>
      <c r="D344" s="123">
        <v>258</v>
      </c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52"/>
      <c r="AH344" s="52"/>
      <c r="AI344" s="52"/>
      <c r="AJ344" s="52"/>
      <c r="AK344" s="52"/>
      <c r="AL344" s="52"/>
      <c r="AM344" s="52"/>
      <c r="AN344" s="52"/>
      <c r="AO344" s="52"/>
    </row>
    <row r="345" spans="1:41" x14ac:dyDescent="0.2">
      <c r="A345" s="13">
        <v>6012725</v>
      </c>
      <c r="B345" s="13" t="s">
        <v>398</v>
      </c>
      <c r="C345" s="87" t="s">
        <v>359</v>
      </c>
      <c r="D345" s="123">
        <v>259</v>
      </c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52"/>
      <c r="AH345" s="52"/>
      <c r="AI345" s="52"/>
      <c r="AJ345" s="52"/>
      <c r="AK345" s="52"/>
      <c r="AL345" s="52"/>
      <c r="AM345" s="52"/>
      <c r="AN345" s="52"/>
      <c r="AO345" s="52"/>
    </row>
    <row r="346" spans="1:41" x14ac:dyDescent="0.2">
      <c r="A346" s="13">
        <v>6012750</v>
      </c>
      <c r="B346" s="13" t="s">
        <v>373</v>
      </c>
      <c r="C346" s="87" t="s">
        <v>79</v>
      </c>
      <c r="D346" s="123">
        <v>260</v>
      </c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52"/>
      <c r="AH346" s="52"/>
      <c r="AI346" s="52"/>
      <c r="AJ346" s="52"/>
      <c r="AK346" s="52"/>
      <c r="AL346" s="52"/>
      <c r="AM346" s="52"/>
      <c r="AN346" s="52"/>
      <c r="AO346" s="52"/>
    </row>
    <row r="347" spans="1:41" x14ac:dyDescent="0.2">
      <c r="A347" s="13">
        <v>601200</v>
      </c>
      <c r="B347" s="13" t="s">
        <v>65</v>
      </c>
      <c r="C347" s="87" t="s">
        <v>79</v>
      </c>
      <c r="D347" s="123">
        <v>261</v>
      </c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52"/>
      <c r="AH347" s="52"/>
      <c r="AI347" s="52"/>
      <c r="AJ347" s="52"/>
      <c r="AK347" s="52"/>
      <c r="AL347" s="52"/>
      <c r="AM347" s="52"/>
      <c r="AN347" s="52"/>
      <c r="AO347" s="52"/>
    </row>
    <row r="348" spans="1:41" x14ac:dyDescent="0.2">
      <c r="A348" s="13">
        <v>6042050</v>
      </c>
      <c r="B348" s="13" t="s">
        <v>375</v>
      </c>
      <c r="C348" s="87" t="s">
        <v>509</v>
      </c>
      <c r="D348" s="123">
        <v>283</v>
      </c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52"/>
      <c r="AH348" s="52"/>
      <c r="AI348" s="52"/>
      <c r="AJ348" s="52"/>
      <c r="AK348" s="52"/>
      <c r="AL348" s="52"/>
      <c r="AM348" s="52"/>
      <c r="AN348" s="52"/>
      <c r="AO348" s="52"/>
    </row>
    <row r="349" spans="1:41" x14ac:dyDescent="0.2">
      <c r="A349" s="13">
        <v>6081800</v>
      </c>
      <c r="B349" s="13" t="s">
        <v>510</v>
      </c>
      <c r="C349" s="87" t="s">
        <v>43</v>
      </c>
      <c r="D349" s="123">
        <v>311</v>
      </c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52"/>
      <c r="AH349" s="52"/>
      <c r="AI349" s="52"/>
      <c r="AJ349" s="52"/>
      <c r="AK349" s="52"/>
      <c r="AL349" s="52"/>
      <c r="AM349" s="52"/>
      <c r="AN349" s="52"/>
      <c r="AO349" s="52"/>
    </row>
    <row r="350" spans="1:41" x14ac:dyDescent="0.2">
      <c r="A350" s="13">
        <v>6082050</v>
      </c>
      <c r="B350" s="13" t="s">
        <v>375</v>
      </c>
      <c r="C350" s="87" t="s">
        <v>509</v>
      </c>
      <c r="D350" s="123">
        <v>315</v>
      </c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52"/>
      <c r="AH350" s="52"/>
      <c r="AI350" s="52"/>
      <c r="AJ350" s="52"/>
      <c r="AK350" s="52"/>
      <c r="AL350" s="52"/>
      <c r="AM350" s="52"/>
      <c r="AN350" s="52"/>
      <c r="AO350" s="52"/>
    </row>
    <row r="351" spans="1:41" x14ac:dyDescent="0.2">
      <c r="A351" s="2"/>
      <c r="B351" s="2"/>
      <c r="C351" s="58"/>
      <c r="D351" s="58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52"/>
      <c r="AH351" s="52"/>
      <c r="AI351" s="52"/>
      <c r="AJ351" s="52"/>
      <c r="AK351" s="52"/>
      <c r="AL351" s="52"/>
      <c r="AM351" s="52"/>
      <c r="AN351" s="52"/>
      <c r="AO351" s="52"/>
    </row>
    <row r="352" spans="1:41" x14ac:dyDescent="0.2">
      <c r="A352" s="2"/>
      <c r="B352" s="2"/>
      <c r="C352" s="58"/>
      <c r="D352" s="58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52"/>
      <c r="AH352" s="52"/>
      <c r="AI352" s="52"/>
      <c r="AJ352" s="52"/>
      <c r="AK352" s="52"/>
      <c r="AL352" s="52"/>
      <c r="AM352" s="52"/>
      <c r="AN352" s="52"/>
      <c r="AO352" s="52"/>
    </row>
    <row r="353" spans="1:41" x14ac:dyDescent="0.2">
      <c r="A353" s="2"/>
      <c r="B353" s="2"/>
      <c r="C353" s="58"/>
      <c r="D353" s="58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52"/>
      <c r="AH353" s="52"/>
      <c r="AI353" s="52"/>
      <c r="AJ353" s="52"/>
      <c r="AK353" s="52"/>
      <c r="AL353" s="52"/>
      <c r="AM353" s="52"/>
      <c r="AN353" s="52"/>
      <c r="AO353" s="52"/>
    </row>
    <row r="354" spans="1:41" x14ac:dyDescent="0.2">
      <c r="A354" s="2"/>
      <c r="B354" s="2"/>
      <c r="C354" s="58"/>
      <c r="D354" s="58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52"/>
      <c r="AH354" s="52"/>
      <c r="AI354" s="52"/>
      <c r="AJ354" s="52"/>
      <c r="AK354" s="52"/>
      <c r="AL354" s="52"/>
      <c r="AM354" s="52"/>
      <c r="AN354" s="52"/>
      <c r="AO354" s="52"/>
    </row>
    <row r="355" spans="1:41" x14ac:dyDescent="0.2">
      <c r="A355" s="2"/>
      <c r="B355" s="2"/>
      <c r="C355" s="58"/>
      <c r="D355" s="58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52"/>
      <c r="AH355" s="52"/>
      <c r="AI355" s="52"/>
      <c r="AJ355" s="52"/>
      <c r="AK355" s="52"/>
      <c r="AL355" s="52"/>
      <c r="AM355" s="52"/>
      <c r="AN355" s="52"/>
      <c r="AO355" s="52"/>
    </row>
    <row r="356" spans="1:41" x14ac:dyDescent="0.2">
      <c r="A356" s="2"/>
      <c r="B356" s="2"/>
      <c r="C356" s="58"/>
      <c r="D356" s="58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2"/>
      <c r="AH356" s="52"/>
      <c r="AI356" s="52"/>
      <c r="AJ356" s="52"/>
      <c r="AK356" s="52"/>
      <c r="AL356" s="52"/>
      <c r="AM356" s="52"/>
      <c r="AN356" s="52"/>
      <c r="AO356" s="52"/>
    </row>
    <row r="357" spans="1:41" x14ac:dyDescent="0.2">
      <c r="A357" s="2"/>
      <c r="B357" s="2"/>
      <c r="C357" s="58"/>
      <c r="D357" s="58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2"/>
      <c r="AH357" s="52"/>
      <c r="AI357" s="52"/>
      <c r="AJ357" s="52"/>
      <c r="AK357" s="52"/>
      <c r="AL357" s="52"/>
      <c r="AM357" s="52"/>
      <c r="AN357" s="52"/>
      <c r="AO357" s="52"/>
    </row>
    <row r="358" spans="1:41" x14ac:dyDescent="0.2">
      <c r="A358" s="2"/>
      <c r="B358" s="2"/>
      <c r="C358" s="58"/>
      <c r="D358" s="58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2"/>
      <c r="AH358" s="52"/>
      <c r="AI358" s="52"/>
      <c r="AJ358" s="52"/>
      <c r="AK358" s="52"/>
      <c r="AL358" s="52"/>
      <c r="AM358" s="52"/>
      <c r="AN358" s="52"/>
      <c r="AO358" s="52"/>
    </row>
    <row r="359" spans="1:41" x14ac:dyDescent="0.2">
      <c r="A359" s="2"/>
      <c r="B359" s="2"/>
      <c r="C359" s="58"/>
      <c r="D359" s="58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2"/>
      <c r="AH359" s="52"/>
      <c r="AI359" s="52"/>
      <c r="AJ359" s="52"/>
      <c r="AK359" s="52"/>
      <c r="AL359" s="52"/>
      <c r="AM359" s="52"/>
      <c r="AN359" s="52"/>
      <c r="AO359" s="52"/>
    </row>
    <row r="360" spans="1:41" x14ac:dyDescent="0.2">
      <c r="A360" s="2"/>
      <c r="B360" s="2"/>
      <c r="C360" s="58"/>
      <c r="D360" s="58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2"/>
      <c r="AH360" s="52"/>
      <c r="AI360" s="52"/>
      <c r="AJ360" s="52"/>
      <c r="AK360" s="52"/>
      <c r="AL360" s="52"/>
      <c r="AM360" s="52"/>
      <c r="AN360" s="52"/>
      <c r="AO360" s="52"/>
    </row>
    <row r="361" spans="1:41" x14ac:dyDescent="0.2">
      <c r="A361" s="2"/>
      <c r="B361" s="2"/>
      <c r="C361" s="58"/>
      <c r="D361" s="58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2"/>
      <c r="AH361" s="52"/>
      <c r="AI361" s="52"/>
      <c r="AJ361" s="52"/>
      <c r="AK361" s="52"/>
      <c r="AL361" s="52"/>
      <c r="AM361" s="52"/>
      <c r="AN361" s="52"/>
      <c r="AO361" s="52"/>
    </row>
    <row r="362" spans="1:41" x14ac:dyDescent="0.2">
      <c r="A362" s="2"/>
      <c r="B362" s="2"/>
      <c r="C362" s="58"/>
      <c r="D362" s="58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2"/>
      <c r="AH362" s="52"/>
      <c r="AI362" s="52"/>
      <c r="AJ362" s="52"/>
      <c r="AK362" s="52"/>
      <c r="AL362" s="52"/>
      <c r="AM362" s="52"/>
      <c r="AN362" s="52"/>
      <c r="AO362" s="52"/>
    </row>
    <row r="363" spans="1:41" x14ac:dyDescent="0.2">
      <c r="A363" s="2"/>
      <c r="B363" s="2"/>
      <c r="C363" s="58"/>
      <c r="D363" s="58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2"/>
      <c r="AH363" s="52"/>
      <c r="AI363" s="52"/>
      <c r="AJ363" s="52"/>
      <c r="AK363" s="52"/>
      <c r="AL363" s="52"/>
      <c r="AM363" s="52"/>
      <c r="AN363" s="52"/>
      <c r="AO363" s="52"/>
    </row>
    <row r="364" spans="1:41" x14ac:dyDescent="0.2">
      <c r="A364" s="2"/>
      <c r="B364" s="2"/>
      <c r="C364" s="58"/>
      <c r="D364" s="58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2"/>
      <c r="AH364" s="52"/>
      <c r="AI364" s="52"/>
      <c r="AJ364" s="52"/>
      <c r="AK364" s="52"/>
      <c r="AL364" s="52"/>
      <c r="AM364" s="52"/>
      <c r="AN364" s="52"/>
      <c r="AO364" s="52"/>
    </row>
    <row r="365" spans="1:41" x14ac:dyDescent="0.2">
      <c r="A365" s="2"/>
      <c r="B365" s="2"/>
      <c r="C365" s="58"/>
      <c r="D365" s="58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2"/>
      <c r="AH365" s="52"/>
      <c r="AI365" s="52"/>
      <c r="AJ365" s="52"/>
      <c r="AK365" s="52"/>
      <c r="AL365" s="52"/>
      <c r="AM365" s="52"/>
      <c r="AN365" s="52"/>
      <c r="AO365" s="52"/>
    </row>
    <row r="366" spans="1:41" x14ac:dyDescent="0.2">
      <c r="A366" s="2"/>
      <c r="B366" s="2"/>
      <c r="C366" s="58"/>
      <c r="D366" s="58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2"/>
      <c r="AH366" s="52"/>
      <c r="AI366" s="52"/>
      <c r="AJ366" s="52"/>
      <c r="AK366" s="52"/>
      <c r="AL366" s="52"/>
      <c r="AM366" s="52"/>
      <c r="AN366" s="52"/>
      <c r="AO366" s="52"/>
    </row>
    <row r="367" spans="1:41" x14ac:dyDescent="0.2">
      <c r="A367" s="2"/>
      <c r="B367" s="2"/>
      <c r="C367" s="58"/>
      <c r="D367" s="58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2"/>
      <c r="AH367" s="52"/>
      <c r="AI367" s="52"/>
      <c r="AJ367" s="52"/>
      <c r="AK367" s="52"/>
      <c r="AL367" s="52"/>
      <c r="AM367" s="52"/>
      <c r="AN367" s="52"/>
      <c r="AO367" s="52"/>
    </row>
    <row r="368" spans="1:41" x14ac:dyDescent="0.2">
      <c r="A368" s="2"/>
      <c r="B368" s="2"/>
      <c r="C368" s="58"/>
      <c r="D368" s="58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2"/>
      <c r="AH368" s="52"/>
      <c r="AI368" s="52"/>
      <c r="AJ368" s="52"/>
      <c r="AK368" s="52"/>
      <c r="AL368" s="52"/>
      <c r="AM368" s="52"/>
      <c r="AN368" s="52"/>
      <c r="AO368" s="52"/>
    </row>
    <row r="369" spans="1:41" x14ac:dyDescent="0.2">
      <c r="A369" s="2"/>
      <c r="B369" s="2"/>
      <c r="C369" s="58"/>
      <c r="D369" s="58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2"/>
      <c r="AH369" s="52"/>
      <c r="AI369" s="52"/>
      <c r="AJ369" s="52"/>
      <c r="AK369" s="52"/>
      <c r="AL369" s="52"/>
      <c r="AM369" s="52"/>
      <c r="AN369" s="52"/>
      <c r="AO369" s="52"/>
    </row>
    <row r="370" spans="1:41" x14ac:dyDescent="0.2">
      <c r="A370" s="2"/>
      <c r="B370" s="2"/>
      <c r="C370" s="58"/>
      <c r="D370" s="58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2"/>
      <c r="AH370" s="52"/>
      <c r="AI370" s="52"/>
      <c r="AJ370" s="52"/>
      <c r="AK370" s="52"/>
      <c r="AL370" s="52"/>
      <c r="AM370" s="52"/>
      <c r="AN370" s="52"/>
      <c r="AO370" s="52"/>
    </row>
    <row r="371" spans="1:41" x14ac:dyDescent="0.2">
      <c r="A371" s="2"/>
      <c r="B371" s="2"/>
      <c r="C371" s="58"/>
      <c r="D371" s="58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2"/>
      <c r="AH371" s="52"/>
      <c r="AI371" s="52"/>
      <c r="AJ371" s="52"/>
      <c r="AK371" s="52"/>
      <c r="AL371" s="52"/>
      <c r="AM371" s="52"/>
      <c r="AN371" s="52"/>
      <c r="AO371" s="52"/>
    </row>
    <row r="372" spans="1:41" x14ac:dyDescent="0.2">
      <c r="A372" s="2"/>
      <c r="B372" s="2"/>
      <c r="C372" s="58"/>
      <c r="D372" s="58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2"/>
      <c r="AH372" s="52"/>
      <c r="AI372" s="52"/>
      <c r="AJ372" s="52"/>
      <c r="AK372" s="52"/>
      <c r="AL372" s="52"/>
      <c r="AM372" s="52"/>
      <c r="AN372" s="52"/>
      <c r="AO372" s="52"/>
    </row>
    <row r="373" spans="1:41" x14ac:dyDescent="0.2">
      <c r="A373" s="2"/>
      <c r="B373" s="2"/>
      <c r="C373" s="58"/>
      <c r="D373" s="58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2"/>
      <c r="AH373" s="52"/>
      <c r="AI373" s="52"/>
      <c r="AJ373" s="52"/>
      <c r="AK373" s="52"/>
      <c r="AL373" s="52"/>
      <c r="AM373" s="52"/>
      <c r="AN373" s="52"/>
      <c r="AO373" s="52"/>
    </row>
  </sheetData>
  <sortState xmlns:xlrd2="http://schemas.microsoft.com/office/spreadsheetml/2017/richdata2" ref="A330:D350">
    <sortCondition ref="D330:D350"/>
    <sortCondition ref="B330:B350"/>
  </sortState>
  <mergeCells count="29"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</mergeCells>
  <conditionalFormatting sqref="AQ206:AQ247">
    <cfRule type="containsText" dxfId="2" priority="1" operator="containsText" text="over">
      <formula>NOT(ISERROR(SEARCH("over",AQ206)))</formula>
    </cfRule>
  </conditionalFormatting>
  <pageMargins left="0.2" right="0.2" top="0.75" bottom="0.75" header="0.3" footer="0.3"/>
  <pageSetup scale="29" fitToHeight="0" orientation="landscape" r:id="rId1"/>
  <headerFooter>
    <oddHeader>&amp;C&amp;14Overall Budget</oddHeader>
    <oddFooter>&amp;R&amp;P of &amp;N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0A112-165D-4574-A64E-E10BF64AABA9}">
  <dimension ref="A2:Q48"/>
  <sheetViews>
    <sheetView zoomScale="80" zoomScaleNormal="80" workbookViewId="0">
      <selection activeCell="O1" sqref="O1"/>
    </sheetView>
  </sheetViews>
  <sheetFormatPr defaultRowHeight="15" x14ac:dyDescent="0.25"/>
  <cols>
    <col min="1" max="1" width="11.5703125" bestFit="1" customWidth="1"/>
    <col min="2" max="2" width="34.85546875" bestFit="1" customWidth="1"/>
    <col min="3" max="3" width="38.5703125" customWidth="1"/>
    <col min="4" max="4" width="7.140625" bestFit="1" customWidth="1"/>
    <col min="5" max="16" width="15.140625" customWidth="1"/>
    <col min="17" max="17" width="16.140625" bestFit="1" customWidth="1"/>
    <col min="18" max="18" width="16.28515625" customWidth="1"/>
  </cols>
  <sheetData>
    <row r="2" spans="1:17" x14ac:dyDescent="0.25">
      <c r="E2" t="s">
        <v>517</v>
      </c>
      <c r="F2" t="s">
        <v>516</v>
      </c>
      <c r="G2" t="s">
        <v>515</v>
      </c>
      <c r="H2" t="s">
        <v>514</v>
      </c>
      <c r="I2" t="s">
        <v>513</v>
      </c>
      <c r="J2" t="s">
        <v>512</v>
      </c>
      <c r="K2" t="s">
        <v>511</v>
      </c>
      <c r="L2" t="s">
        <v>817</v>
      </c>
      <c r="M2" t="s">
        <v>818</v>
      </c>
      <c r="N2" t="s">
        <v>819</v>
      </c>
      <c r="O2" t="s">
        <v>820</v>
      </c>
      <c r="P2" t="s">
        <v>821</v>
      </c>
      <c r="Q2" t="s">
        <v>479</v>
      </c>
    </row>
    <row r="3" spans="1:17" ht="15.75" x14ac:dyDescent="0.25">
      <c r="A3" s="128">
        <v>4070100</v>
      </c>
      <c r="B3" s="128" t="s">
        <v>270</v>
      </c>
      <c r="C3" s="127" t="s">
        <v>43</v>
      </c>
      <c r="D3" s="126">
        <v>-71</v>
      </c>
      <c r="E3" s="59">
        <f>+'Full Data'!C71</f>
        <v>0</v>
      </c>
      <c r="F3" s="59">
        <f>+'Full Data'!F71</f>
        <v>1000</v>
      </c>
      <c r="G3" s="59">
        <f>+'Full Data'!I71</f>
        <v>0</v>
      </c>
      <c r="H3" s="59">
        <f>+'Full Data'!L71</f>
        <v>0</v>
      </c>
      <c r="I3" s="59">
        <f>+'Full Data'!O71</f>
        <v>0</v>
      </c>
      <c r="J3" s="59">
        <f>+'Full Data'!R71</f>
        <v>5250</v>
      </c>
      <c r="K3" s="59">
        <f>+'Full Data'!U71</f>
        <v>500</v>
      </c>
      <c r="L3" s="59">
        <f>+'Full Data'!X71</f>
        <v>1779.29</v>
      </c>
      <c r="M3" s="59">
        <f>+'Full Data'!AA71</f>
        <v>0</v>
      </c>
      <c r="N3" s="59">
        <f>+'Full Data'!AD71</f>
        <v>0</v>
      </c>
      <c r="O3" s="59">
        <f>+'Full Data'!AG71</f>
        <v>0</v>
      </c>
      <c r="P3" s="59">
        <f>+'Full Data'!AJ71</f>
        <v>0</v>
      </c>
      <c r="Q3" s="59">
        <f>SUM(E3:P3)</f>
        <v>8529.2900000000009</v>
      </c>
    </row>
    <row r="4" spans="1:17" ht="15.75" x14ac:dyDescent="0.25">
      <c r="A4" s="128">
        <v>4070300</v>
      </c>
      <c r="B4" s="128" t="s">
        <v>266</v>
      </c>
      <c r="C4" s="127" t="s">
        <v>43</v>
      </c>
      <c r="D4" s="126">
        <v>-73</v>
      </c>
      <c r="E4" s="59">
        <f>+'Full Data'!C73</f>
        <v>0</v>
      </c>
      <c r="F4" s="59">
        <f>+'Full Data'!F73</f>
        <v>0</v>
      </c>
      <c r="G4" s="59">
        <f>+'Full Data'!I73</f>
        <v>2205</v>
      </c>
      <c r="H4" s="59">
        <f>+'Full Data'!L73</f>
        <v>100</v>
      </c>
      <c r="I4" s="59">
        <f>+'Full Data'!O73</f>
        <v>0</v>
      </c>
      <c r="J4" s="59">
        <f>+'Full Data'!R73</f>
        <v>0</v>
      </c>
      <c r="K4" s="59">
        <f>+'Full Data'!U73</f>
        <v>0</v>
      </c>
      <c r="L4" s="59">
        <f>+'Full Data'!X73</f>
        <v>0</v>
      </c>
      <c r="M4" s="59">
        <f>+'Full Data'!AA73</f>
        <v>0</v>
      </c>
      <c r="N4" s="59">
        <f>+'Full Data'!AD73</f>
        <v>0</v>
      </c>
      <c r="O4" s="59">
        <f>+'Full Data'!AG73</f>
        <v>0</v>
      </c>
      <c r="P4" s="59">
        <f>+'Full Data'!AJ73</f>
        <v>0</v>
      </c>
      <c r="Q4" s="59">
        <f>SUM(E4:P4)</f>
        <v>2305</v>
      </c>
    </row>
    <row r="5" spans="1:17" ht="15.75" x14ac:dyDescent="0.25">
      <c r="A5" s="128">
        <v>4070200</v>
      </c>
      <c r="B5" s="128" t="s">
        <v>268</v>
      </c>
      <c r="C5" s="127" t="s">
        <v>43</v>
      </c>
      <c r="D5" s="126">
        <v>-72</v>
      </c>
      <c r="E5" s="59">
        <f>+'Full Data'!C72</f>
        <v>660</v>
      </c>
      <c r="F5" s="59">
        <f>+'Full Data'!F72</f>
        <v>950</v>
      </c>
      <c r="G5" s="59">
        <f>+'Full Data'!I72</f>
        <v>1615</v>
      </c>
      <c r="H5" s="59">
        <f>+'Full Data'!L72</f>
        <v>1405</v>
      </c>
      <c r="I5" s="59">
        <f>+'Full Data'!O72</f>
        <v>185</v>
      </c>
      <c r="J5" s="59">
        <f>+'Full Data'!R72</f>
        <v>0</v>
      </c>
      <c r="K5" s="59">
        <f>+'Full Data'!U72</f>
        <v>0</v>
      </c>
      <c r="L5" s="59">
        <f>+'Full Data'!V72</f>
        <v>0</v>
      </c>
      <c r="M5" s="59">
        <f>+'Full Data'!AA72</f>
        <v>0</v>
      </c>
      <c r="N5" s="59">
        <f>+'Full Data'!AD72</f>
        <v>0</v>
      </c>
      <c r="O5" s="59">
        <f>+'Full Data'!AG72</f>
        <v>0</v>
      </c>
      <c r="P5" s="59">
        <f>+'Full Data'!AJ72</f>
        <v>0</v>
      </c>
      <c r="Q5" s="59">
        <f>SUM(E5:P5)</f>
        <v>4815</v>
      </c>
    </row>
    <row r="6" spans="1:17" x14ac:dyDescent="0.25">
      <c r="E6" s="132">
        <f>SUM(E3:E5)</f>
        <v>660</v>
      </c>
      <c r="F6" s="132">
        <f t="shared" ref="F6:Q6" si="0">SUM(F3:F5)</f>
        <v>1950</v>
      </c>
      <c r="G6" s="132">
        <f t="shared" si="0"/>
        <v>3820</v>
      </c>
      <c r="H6" s="132">
        <f t="shared" si="0"/>
        <v>1505</v>
      </c>
      <c r="I6" s="132">
        <f t="shared" si="0"/>
        <v>185</v>
      </c>
      <c r="J6" s="132">
        <f t="shared" si="0"/>
        <v>5250</v>
      </c>
      <c r="K6" s="132">
        <f t="shared" si="0"/>
        <v>500</v>
      </c>
      <c r="L6" s="132">
        <f t="shared" si="0"/>
        <v>1779.29</v>
      </c>
      <c r="M6" s="132">
        <f t="shared" si="0"/>
        <v>0</v>
      </c>
      <c r="N6" s="132">
        <f t="shared" si="0"/>
        <v>0</v>
      </c>
      <c r="O6" s="132">
        <f t="shared" si="0"/>
        <v>0</v>
      </c>
      <c r="P6" s="132">
        <f t="shared" si="0"/>
        <v>0</v>
      </c>
      <c r="Q6" s="132">
        <f t="shared" si="0"/>
        <v>15649.29</v>
      </c>
    </row>
    <row r="7" spans="1:17" ht="15.75" x14ac:dyDescent="0.25">
      <c r="A7" s="128">
        <v>6081800</v>
      </c>
      <c r="B7" s="128" t="s">
        <v>510</v>
      </c>
      <c r="C7" s="127" t="s">
        <v>43</v>
      </c>
      <c r="D7" s="126">
        <v>311</v>
      </c>
      <c r="E7" s="59">
        <v>820</v>
      </c>
      <c r="F7" s="59">
        <f>+'Full Data'!F311</f>
        <v>0</v>
      </c>
      <c r="G7" s="59">
        <f>+'Full Data'!I311</f>
        <v>60</v>
      </c>
      <c r="H7" s="59">
        <f>+'Full Data'!L311</f>
        <v>284.95</v>
      </c>
      <c r="I7" s="59">
        <f>+'Full Data'!O311</f>
        <v>9224.5499999999993</v>
      </c>
      <c r="J7" s="59">
        <f>+'Full Data'!R311</f>
        <v>98.4</v>
      </c>
      <c r="K7" s="59">
        <f>+'Full Data'!U311</f>
        <v>0</v>
      </c>
      <c r="L7" s="59">
        <f>+'Full Data'!X311</f>
        <v>0</v>
      </c>
      <c r="M7" s="59">
        <f>+'Full Data'!AA311</f>
        <v>0</v>
      </c>
      <c r="N7" s="59">
        <f>+'Full Data'!AD311</f>
        <v>0</v>
      </c>
      <c r="O7" s="59">
        <f>+'Full Data'!AG311</f>
        <v>0</v>
      </c>
      <c r="P7" s="59">
        <f>+'Full Data'!AJ311</f>
        <v>0</v>
      </c>
      <c r="Q7" s="59">
        <f>SUM(E7:P7)</f>
        <v>10487.9</v>
      </c>
    </row>
    <row r="8" spans="1:17" ht="15.75" x14ac:dyDescent="0.25">
      <c r="A8" s="128">
        <v>6082050</v>
      </c>
      <c r="B8" s="128" t="s">
        <v>375</v>
      </c>
      <c r="C8" s="127" t="s">
        <v>521</v>
      </c>
      <c r="D8" s="126">
        <v>315</v>
      </c>
      <c r="E8" s="59">
        <f>+'Full Data'!C315</f>
        <v>12498</v>
      </c>
      <c r="F8" s="59">
        <f>+'Full Data'!F315</f>
        <v>0</v>
      </c>
      <c r="G8" s="59">
        <f>+'Full Data'!I315</f>
        <v>0</v>
      </c>
      <c r="H8" s="59">
        <f>+'Full Data'!L315</f>
        <v>0</v>
      </c>
      <c r="I8" s="59">
        <f>+'Full Data'!O315</f>
        <v>0</v>
      </c>
      <c r="J8" s="59">
        <f>+'Full Data'!R315</f>
        <v>0</v>
      </c>
      <c r="K8" s="59">
        <f>+'Full Data'!U315</f>
        <v>0</v>
      </c>
      <c r="L8" s="59">
        <f>+'Full Data'!X315</f>
        <v>0</v>
      </c>
      <c r="M8" s="59">
        <f>+'Full Data'!AA315</f>
        <v>0</v>
      </c>
      <c r="N8" s="59">
        <f>+'Full Data'!AD315</f>
        <v>0</v>
      </c>
      <c r="O8" s="59">
        <f>+'Full Data'!AG315</f>
        <v>0</v>
      </c>
      <c r="P8" s="59">
        <f>+'Full Data'!AJ315</f>
        <v>0</v>
      </c>
      <c r="Q8" s="59">
        <f>SUM(E8:P8)</f>
        <v>12498</v>
      </c>
    </row>
    <row r="9" spans="1:17" ht="15.75" x14ac:dyDescent="0.25">
      <c r="A9" s="128"/>
      <c r="B9" s="128"/>
      <c r="C9" s="127"/>
      <c r="D9" s="126"/>
      <c r="E9" s="131">
        <f>SUM(E7:E8)</f>
        <v>13318</v>
      </c>
      <c r="F9" s="131">
        <f t="shared" ref="F9:Q9" si="1">SUM(F7:F8)</f>
        <v>0</v>
      </c>
      <c r="G9" s="131">
        <f t="shared" si="1"/>
        <v>60</v>
      </c>
      <c r="H9" s="131">
        <f t="shared" si="1"/>
        <v>284.95</v>
      </c>
      <c r="I9" s="131">
        <f t="shared" si="1"/>
        <v>9224.5499999999993</v>
      </c>
      <c r="J9" s="131">
        <f t="shared" si="1"/>
        <v>98.4</v>
      </c>
      <c r="K9" s="131">
        <f t="shared" si="1"/>
        <v>0</v>
      </c>
      <c r="L9" s="131">
        <f t="shared" ref="L9:P9" si="2">SUM(L7:L8)</f>
        <v>0</v>
      </c>
      <c r="M9" s="131">
        <f t="shared" si="2"/>
        <v>0</v>
      </c>
      <c r="N9" s="131">
        <f t="shared" si="2"/>
        <v>0</v>
      </c>
      <c r="O9" s="131">
        <f t="shared" si="2"/>
        <v>0</v>
      </c>
      <c r="P9" s="131">
        <f t="shared" si="2"/>
        <v>0</v>
      </c>
      <c r="Q9" s="131">
        <f t="shared" si="1"/>
        <v>22985.9</v>
      </c>
    </row>
    <row r="10" spans="1:17" ht="15.75" x14ac:dyDescent="0.25">
      <c r="A10" s="128"/>
      <c r="B10" s="128"/>
      <c r="C10" s="127"/>
      <c r="D10" s="126"/>
      <c r="E10" s="129">
        <f>+E6-E9</f>
        <v>-12658</v>
      </c>
      <c r="F10" s="129">
        <f t="shared" ref="F10:Q10" si="3">+F6-F9</f>
        <v>1950</v>
      </c>
      <c r="G10" s="129">
        <f t="shared" si="3"/>
        <v>3760</v>
      </c>
      <c r="H10" s="129">
        <f t="shared" si="3"/>
        <v>1220.05</v>
      </c>
      <c r="I10" s="129">
        <f t="shared" si="3"/>
        <v>-9039.5499999999993</v>
      </c>
      <c r="J10" s="129">
        <f t="shared" si="3"/>
        <v>5151.6000000000004</v>
      </c>
      <c r="K10" s="129">
        <f t="shared" si="3"/>
        <v>500</v>
      </c>
      <c r="L10" s="129">
        <f t="shared" ref="L10:P10" si="4">+L6-L9</f>
        <v>1779.29</v>
      </c>
      <c r="M10" s="129">
        <f t="shared" si="4"/>
        <v>0</v>
      </c>
      <c r="N10" s="129">
        <f t="shared" si="4"/>
        <v>0</v>
      </c>
      <c r="O10" s="129">
        <f t="shared" si="4"/>
        <v>0</v>
      </c>
      <c r="P10" s="129">
        <f t="shared" si="4"/>
        <v>0</v>
      </c>
      <c r="Q10" s="129">
        <f t="shared" si="3"/>
        <v>-7336.6100000000006</v>
      </c>
    </row>
    <row r="11" spans="1:17" ht="15.75" x14ac:dyDescent="0.25">
      <c r="A11" s="128"/>
      <c r="B11" s="128"/>
      <c r="C11" s="127"/>
      <c r="D11" s="126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</row>
    <row r="12" spans="1:17" ht="15.75" x14ac:dyDescent="0.25">
      <c r="A12" s="149">
        <v>4040525</v>
      </c>
      <c r="B12" s="128" t="s">
        <v>385</v>
      </c>
      <c r="C12" s="127" t="s">
        <v>359</v>
      </c>
      <c r="D12" s="126">
        <v>-61</v>
      </c>
      <c r="E12" s="59"/>
      <c r="F12" s="59"/>
      <c r="G12" s="59"/>
      <c r="H12" s="59"/>
      <c r="I12" s="59"/>
      <c r="J12" s="59"/>
      <c r="K12" s="59"/>
      <c r="L12" s="59"/>
      <c r="M12" s="59">
        <v>65000</v>
      </c>
      <c r="N12" s="59"/>
      <c r="O12" s="59"/>
      <c r="P12" s="59"/>
      <c r="Q12" s="59">
        <f>SUM(E12:P12)</f>
        <v>65000</v>
      </c>
    </row>
    <row r="13" spans="1:17" ht="15.75" x14ac:dyDescent="0.25">
      <c r="A13" s="149" t="s">
        <v>247</v>
      </c>
      <c r="B13" s="128" t="s">
        <v>246</v>
      </c>
      <c r="C13" s="127" t="s">
        <v>359</v>
      </c>
      <c r="D13" s="126">
        <v>-92</v>
      </c>
      <c r="E13" s="59"/>
      <c r="F13" s="59"/>
      <c r="G13" s="59"/>
      <c r="H13" s="59"/>
      <c r="I13" s="59"/>
      <c r="J13" s="59"/>
      <c r="K13" s="59"/>
      <c r="L13" s="59"/>
      <c r="M13" s="59">
        <v>2861444.45</v>
      </c>
      <c r="N13" s="59"/>
      <c r="O13" s="59"/>
      <c r="P13" s="59"/>
      <c r="Q13" s="59">
        <f>SUM(E13:P13)</f>
        <v>2861444.45</v>
      </c>
    </row>
    <row r="14" spans="1:17" ht="15.75" x14ac:dyDescent="0.25">
      <c r="A14" s="128"/>
      <c r="B14" s="128"/>
      <c r="C14" s="127"/>
      <c r="D14" s="126"/>
      <c r="E14" s="132">
        <f>SUM(E11:E13)</f>
        <v>0</v>
      </c>
      <c r="F14" s="132">
        <f t="shared" ref="F14:Q14" si="5">SUM(F11:F13)</f>
        <v>0</v>
      </c>
      <c r="G14" s="132">
        <f t="shared" si="5"/>
        <v>0</v>
      </c>
      <c r="H14" s="132">
        <f t="shared" si="5"/>
        <v>0</v>
      </c>
      <c r="I14" s="132">
        <f t="shared" si="5"/>
        <v>0</v>
      </c>
      <c r="J14" s="132">
        <f t="shared" si="5"/>
        <v>0</v>
      </c>
      <c r="K14" s="132">
        <f t="shared" si="5"/>
        <v>0</v>
      </c>
      <c r="L14" s="132">
        <f t="shared" si="5"/>
        <v>0</v>
      </c>
      <c r="M14" s="132">
        <f t="shared" si="5"/>
        <v>2926444.45</v>
      </c>
      <c r="N14" s="132">
        <f t="shared" si="5"/>
        <v>0</v>
      </c>
      <c r="O14" s="132">
        <f t="shared" si="5"/>
        <v>0</v>
      </c>
      <c r="P14" s="132">
        <f t="shared" si="5"/>
        <v>0</v>
      </c>
      <c r="Q14" s="132">
        <f t="shared" si="5"/>
        <v>2926444.45</v>
      </c>
    </row>
    <row r="15" spans="1:17" ht="15.75" x14ac:dyDescent="0.25">
      <c r="A15" s="128">
        <v>6052050</v>
      </c>
      <c r="B15" s="128" t="s">
        <v>375</v>
      </c>
      <c r="C15" s="127" t="s">
        <v>522</v>
      </c>
      <c r="D15" s="126">
        <v>174</v>
      </c>
      <c r="E15" s="59">
        <f>+'Full Data'!C174</f>
        <v>0</v>
      </c>
      <c r="F15" s="59">
        <f>+'Full Data'!F174</f>
        <v>0</v>
      </c>
      <c r="G15" s="59">
        <f>+'Full Data'!I174</f>
        <v>0</v>
      </c>
      <c r="H15" s="59">
        <f>+'Full Data'!L174</f>
        <v>0</v>
      </c>
      <c r="I15" s="59">
        <f>+'Full Data'!O174</f>
        <v>0</v>
      </c>
      <c r="J15" s="59">
        <f>+'Full Data'!R174</f>
        <v>0</v>
      </c>
      <c r="K15" s="59">
        <f>+'Full Data'!U174</f>
        <v>0</v>
      </c>
      <c r="L15" s="59">
        <f>+'Full Data'!X174</f>
        <v>0</v>
      </c>
      <c r="M15" s="59">
        <f>+'Full Data'!AA174</f>
        <v>0</v>
      </c>
      <c r="N15" s="59">
        <f>+'Full Data'!AD174</f>
        <v>0</v>
      </c>
      <c r="O15" s="59">
        <f>+'Full Data'!AG174</f>
        <v>0</v>
      </c>
      <c r="P15" s="59">
        <f>+'Full Data'!AJ174</f>
        <v>0</v>
      </c>
      <c r="Q15" s="59">
        <f>SUM(E15:P15)</f>
        <v>0</v>
      </c>
    </row>
    <row r="16" spans="1:17" ht="15.75" x14ac:dyDescent="0.25">
      <c r="A16" s="128"/>
      <c r="B16" s="128" t="s">
        <v>523</v>
      </c>
      <c r="C16" s="127"/>
      <c r="D16" s="126"/>
      <c r="E16" s="129">
        <f t="shared" ref="E16:Q16" si="6">-SUM(E15:E15)</f>
        <v>0</v>
      </c>
      <c r="F16" s="129">
        <f t="shared" si="6"/>
        <v>0</v>
      </c>
      <c r="G16" s="129">
        <f t="shared" si="6"/>
        <v>0</v>
      </c>
      <c r="H16" s="129">
        <f t="shared" si="6"/>
        <v>0</v>
      </c>
      <c r="I16" s="129">
        <f t="shared" si="6"/>
        <v>0</v>
      </c>
      <c r="J16" s="129">
        <f t="shared" si="6"/>
        <v>0</v>
      </c>
      <c r="K16" s="129">
        <f t="shared" si="6"/>
        <v>0</v>
      </c>
      <c r="L16" s="129">
        <f t="shared" si="6"/>
        <v>0</v>
      </c>
      <c r="M16" s="129">
        <f t="shared" si="6"/>
        <v>0</v>
      </c>
      <c r="N16" s="129">
        <f t="shared" si="6"/>
        <v>0</v>
      </c>
      <c r="O16" s="129">
        <f t="shared" si="6"/>
        <v>0</v>
      </c>
      <c r="P16" s="129">
        <f t="shared" si="6"/>
        <v>0</v>
      </c>
      <c r="Q16" s="129">
        <f t="shared" si="6"/>
        <v>0</v>
      </c>
    </row>
    <row r="17" spans="1:17" ht="15.75" x14ac:dyDescent="0.25">
      <c r="A17" s="128"/>
      <c r="B17" s="128"/>
      <c r="C17" s="127"/>
      <c r="D17" s="126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</row>
    <row r="18" spans="1:17" ht="15.75" x14ac:dyDescent="0.25">
      <c r="A18" s="128">
        <v>6022050</v>
      </c>
      <c r="B18" s="128" t="s">
        <v>375</v>
      </c>
      <c r="C18" s="127" t="s">
        <v>359</v>
      </c>
      <c r="D18" s="126">
        <v>148</v>
      </c>
      <c r="E18" s="59">
        <f>+'Full Data'!C148</f>
        <v>16118.84</v>
      </c>
      <c r="F18" s="59">
        <f>+'Full Data'!F148</f>
        <v>205632.1</v>
      </c>
      <c r="G18" s="59">
        <f>+'Full Data'!I148</f>
        <v>586997.51</v>
      </c>
      <c r="H18" s="59">
        <f>+'Full Data'!L148</f>
        <v>219527.76</v>
      </c>
      <c r="I18" s="59">
        <f>+'Full Data'!O148</f>
        <v>732679.17</v>
      </c>
      <c r="J18" s="59">
        <f>+'Full Data'!R148</f>
        <v>5355.01</v>
      </c>
      <c r="K18" s="59">
        <f>+'Full Data'!U148</f>
        <v>580612.65</v>
      </c>
      <c r="L18" s="59">
        <f>+'Full Data'!X148</f>
        <v>741089.19</v>
      </c>
      <c r="M18" s="59">
        <f>+'Full Data'!AA148</f>
        <v>713576.77</v>
      </c>
      <c r="N18" s="59">
        <f>+'Full Data'!AD148</f>
        <v>797404.99</v>
      </c>
      <c r="O18" s="59">
        <f>+'Full Data'!AG148</f>
        <v>923316.33</v>
      </c>
      <c r="P18" s="59">
        <f>+'Full Data'!AJ148</f>
        <v>0</v>
      </c>
      <c r="Q18" s="59">
        <f>SUM(E18:P18)</f>
        <v>5522310.3200000003</v>
      </c>
    </row>
    <row r="19" spans="1:17" ht="15.75" x14ac:dyDescent="0.25">
      <c r="A19" s="128">
        <v>6012725</v>
      </c>
      <c r="B19" s="128" t="s">
        <v>398</v>
      </c>
      <c r="C19" s="127" t="s">
        <v>359</v>
      </c>
      <c r="D19" s="126">
        <v>259</v>
      </c>
      <c r="E19" s="59">
        <f>+'Full Data'!C259</f>
        <v>836.33</v>
      </c>
      <c r="F19" s="59">
        <f>+'Full Data'!F259</f>
        <v>836.33</v>
      </c>
      <c r="G19" s="59">
        <f>+'Full Data'!I259</f>
        <v>836.33</v>
      </c>
      <c r="H19" s="59">
        <f>+'Full Data'!L259</f>
        <v>836.33</v>
      </c>
      <c r="I19" s="59">
        <f>+'Full Data'!O259</f>
        <v>836.33</v>
      </c>
      <c r="J19" s="59">
        <f>+'Full Data'!R259</f>
        <v>836.33</v>
      </c>
      <c r="K19" s="59">
        <f>+'Full Data'!U259</f>
        <v>836.33</v>
      </c>
      <c r="L19" s="59">
        <f>+'Full Data'!X259</f>
        <v>836.33</v>
      </c>
      <c r="M19" s="59">
        <f>+'Full Data'!AA259</f>
        <v>1672.66</v>
      </c>
      <c r="N19" s="59">
        <f>+'Full Data'!AD259</f>
        <v>836.33</v>
      </c>
      <c r="O19" s="59">
        <f>+'Full Data'!AG259</f>
        <v>0</v>
      </c>
      <c r="P19" s="59">
        <f>+'Full Data'!AJ259</f>
        <v>0</v>
      </c>
      <c r="Q19" s="59">
        <f>SUM(E19:P19)</f>
        <v>9199.630000000001</v>
      </c>
    </row>
    <row r="20" spans="1:17" ht="15.75" x14ac:dyDescent="0.25">
      <c r="A20" s="128"/>
      <c r="B20" s="128"/>
      <c r="C20" s="127"/>
      <c r="D20" s="126"/>
      <c r="E20" s="132">
        <f>SUM(E17:E19)</f>
        <v>16955.170000000002</v>
      </c>
      <c r="F20" s="132">
        <f t="shared" ref="F20:Q20" si="7">SUM(F17:F19)</f>
        <v>206468.43</v>
      </c>
      <c r="G20" s="132">
        <f t="shared" si="7"/>
        <v>587833.84</v>
      </c>
      <c r="H20" s="132">
        <f t="shared" si="7"/>
        <v>220364.09</v>
      </c>
      <c r="I20" s="132">
        <f t="shared" si="7"/>
        <v>733515.5</v>
      </c>
      <c r="J20" s="132">
        <f t="shared" si="7"/>
        <v>6191.34</v>
      </c>
      <c r="K20" s="132">
        <f t="shared" si="7"/>
        <v>581448.98</v>
      </c>
      <c r="L20" s="132">
        <f t="shared" si="7"/>
        <v>741925.5199999999</v>
      </c>
      <c r="M20" s="132">
        <f t="shared" si="7"/>
        <v>715249.43</v>
      </c>
      <c r="N20" s="132">
        <f t="shared" si="7"/>
        <v>798241.32</v>
      </c>
      <c r="O20" s="132">
        <f t="shared" si="7"/>
        <v>923316.33</v>
      </c>
      <c r="P20" s="132">
        <f t="shared" si="7"/>
        <v>0</v>
      </c>
      <c r="Q20" s="132">
        <f t="shared" si="7"/>
        <v>5531509.9500000002</v>
      </c>
    </row>
    <row r="21" spans="1:17" ht="15.75" x14ac:dyDescent="0.25">
      <c r="A21" s="128"/>
      <c r="B21" s="128"/>
      <c r="C21" s="127"/>
      <c r="D21" s="126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</row>
    <row r="22" spans="1:17" ht="15.75" x14ac:dyDescent="0.25">
      <c r="A22" s="128"/>
      <c r="B22" s="128"/>
      <c r="C22" s="127"/>
      <c r="D22" s="126"/>
      <c r="E22" s="129">
        <f>+E14-E20</f>
        <v>-16955.170000000002</v>
      </c>
      <c r="F22" s="129">
        <f t="shared" ref="F22:Q22" si="8">+F14-F20</f>
        <v>-206468.43</v>
      </c>
      <c r="G22" s="129">
        <f t="shared" si="8"/>
        <v>-587833.84</v>
      </c>
      <c r="H22" s="129">
        <f t="shared" si="8"/>
        <v>-220364.09</v>
      </c>
      <c r="I22" s="129">
        <f t="shared" si="8"/>
        <v>-733515.5</v>
      </c>
      <c r="J22" s="129">
        <f t="shared" si="8"/>
        <v>-6191.34</v>
      </c>
      <c r="K22" s="129">
        <f t="shared" si="8"/>
        <v>-581448.98</v>
      </c>
      <c r="L22" s="129">
        <f t="shared" si="8"/>
        <v>-741925.5199999999</v>
      </c>
      <c r="M22" s="129">
        <f t="shared" si="8"/>
        <v>2211195.02</v>
      </c>
      <c r="N22" s="129">
        <f t="shared" si="8"/>
        <v>-798241.32</v>
      </c>
      <c r="O22" s="129">
        <f t="shared" si="8"/>
        <v>-923316.33</v>
      </c>
      <c r="P22" s="129">
        <f t="shared" si="8"/>
        <v>0</v>
      </c>
      <c r="Q22" s="129">
        <f t="shared" si="8"/>
        <v>-2605065.5</v>
      </c>
    </row>
    <row r="23" spans="1:17" ht="15.75" x14ac:dyDescent="0.25">
      <c r="A23" s="128"/>
      <c r="B23" s="128"/>
      <c r="C23" s="127"/>
      <c r="D23" s="126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1:17" ht="15.75" x14ac:dyDescent="0.25">
      <c r="A24" s="128">
        <v>4060200</v>
      </c>
      <c r="B24" s="128" t="s">
        <v>295</v>
      </c>
      <c r="C24" s="127" t="s">
        <v>82</v>
      </c>
      <c r="D24" s="126">
        <v>-49</v>
      </c>
      <c r="E24" s="59">
        <f>+'Full Data'!C49</f>
        <v>0</v>
      </c>
      <c r="F24" s="59">
        <f>+'Full Data'!F49</f>
        <v>0</v>
      </c>
      <c r="G24" s="59">
        <f>+'Full Data'!I49</f>
        <v>0</v>
      </c>
      <c r="H24" s="59">
        <f>+'Full Data'!L49</f>
        <v>0</v>
      </c>
      <c r="I24" s="59">
        <f>+'Full Data'!O49</f>
        <v>0</v>
      </c>
      <c r="J24" s="59">
        <f>+'Full Data'!R49</f>
        <v>0</v>
      </c>
      <c r="K24" s="59">
        <f>+'Full Data'!U49</f>
        <v>0</v>
      </c>
      <c r="L24" s="59">
        <f>+'Full Data'!X49</f>
        <v>0</v>
      </c>
      <c r="M24" s="59">
        <f>+'Full Data'!AA49</f>
        <v>0</v>
      </c>
      <c r="N24" s="59">
        <f>+'Full Data'!AD49</f>
        <v>0</v>
      </c>
      <c r="O24" s="59">
        <f>+'Full Data'!AG49</f>
        <v>0</v>
      </c>
      <c r="P24" s="59">
        <f>+'Full Data'!AJ49</f>
        <v>0</v>
      </c>
      <c r="Q24" s="59">
        <f t="shared" ref="Q24:Q29" si="9">SUM(E24:P24)</f>
        <v>0</v>
      </c>
    </row>
    <row r="25" spans="1:17" ht="15.75" x14ac:dyDescent="0.25">
      <c r="A25" s="128">
        <v>4070400</v>
      </c>
      <c r="B25" s="128" t="s">
        <v>286</v>
      </c>
      <c r="C25" s="127" t="s">
        <v>82</v>
      </c>
      <c r="D25" s="126">
        <v>-55</v>
      </c>
      <c r="E25" s="59">
        <f>+'Full Data'!C55</f>
        <v>33098.949999999997</v>
      </c>
      <c r="F25" s="59">
        <f>+'Full Data'!F55</f>
        <v>6503.5</v>
      </c>
      <c r="G25" s="59">
        <f>+'Full Data'!I55</f>
        <v>2821</v>
      </c>
      <c r="H25" s="59">
        <f>+'Full Data'!L55</f>
        <v>108058</v>
      </c>
      <c r="I25" s="59">
        <f>+'Full Data'!O55</f>
        <v>57007</v>
      </c>
      <c r="J25" s="59">
        <f>+'Full Data'!R55</f>
        <v>2173.4499999999998</v>
      </c>
      <c r="K25" s="59">
        <f>+'Full Data'!U55</f>
        <v>265</v>
      </c>
      <c r="L25" s="59">
        <f>+'Full Data'!X55</f>
        <v>324.82</v>
      </c>
      <c r="M25" s="59">
        <f>+'Full Data'!AA55</f>
        <v>116.5</v>
      </c>
      <c r="N25" s="59">
        <f>+'Full Data'!AD55</f>
        <v>15000</v>
      </c>
      <c r="O25" s="59">
        <f>+'Full Data'!AG55</f>
        <v>460</v>
      </c>
      <c r="P25" s="59">
        <f>+'Full Data'!AJ55</f>
        <v>0</v>
      </c>
      <c r="Q25" s="59">
        <f t="shared" si="9"/>
        <v>225828.22000000003</v>
      </c>
    </row>
    <row r="26" spans="1:17" ht="15.75" x14ac:dyDescent="0.25">
      <c r="A26" s="128">
        <v>4060100</v>
      </c>
      <c r="B26" s="128" t="s">
        <v>297</v>
      </c>
      <c r="C26" s="127" t="s">
        <v>82</v>
      </c>
      <c r="D26" s="126">
        <v>-48</v>
      </c>
      <c r="E26" s="59">
        <f>+'Full Data'!C48</f>
        <v>0</v>
      </c>
      <c r="F26" s="59">
        <f>+'Full Data'!F48</f>
        <v>0</v>
      </c>
      <c r="G26" s="59">
        <f>+'Full Data'!I48</f>
        <v>0</v>
      </c>
      <c r="H26" s="59">
        <f>+'Full Data'!L48</f>
        <v>0</v>
      </c>
      <c r="I26" s="59">
        <f>+'Full Data'!O48</f>
        <v>0</v>
      </c>
      <c r="J26" s="59">
        <f>+'Full Data'!R48</f>
        <v>0</v>
      </c>
      <c r="K26" s="59">
        <f>+'Full Data'!U48</f>
        <v>0</v>
      </c>
      <c r="L26" s="59">
        <f>+'Full Data'!X48</f>
        <v>0</v>
      </c>
      <c r="M26" s="59">
        <f>+'Full Data'!AA48</f>
        <v>0</v>
      </c>
      <c r="N26" s="59">
        <f>+'Full Data'!AD48</f>
        <v>0</v>
      </c>
      <c r="O26" s="59">
        <f>+'Full Data'!AG48</f>
        <v>0</v>
      </c>
      <c r="P26" s="59">
        <f>+'Full Data'!AJ48</f>
        <v>0</v>
      </c>
      <c r="Q26" s="59">
        <f t="shared" si="9"/>
        <v>0</v>
      </c>
    </row>
    <row r="27" spans="1:17" ht="15.75" x14ac:dyDescent="0.25">
      <c r="A27" s="128">
        <v>4060400</v>
      </c>
      <c r="B27" s="128" t="s">
        <v>292</v>
      </c>
      <c r="C27" s="127" t="s">
        <v>82</v>
      </c>
      <c r="D27" s="126">
        <v>-51</v>
      </c>
      <c r="E27" s="59">
        <f>+'Full Data'!C51</f>
        <v>0</v>
      </c>
      <c r="F27" s="59">
        <f>+'Full Data'!F51</f>
        <v>0</v>
      </c>
      <c r="G27" s="59">
        <f>+'Full Data'!I51</f>
        <v>1750</v>
      </c>
      <c r="H27" s="59">
        <f>+'Full Data'!L51</f>
        <v>0</v>
      </c>
      <c r="I27" s="59">
        <f>+'Full Data'!O51</f>
        <v>0</v>
      </c>
      <c r="J27" s="59">
        <f>+'Full Data'!R51</f>
        <v>0</v>
      </c>
      <c r="K27" s="59">
        <f>+'Full Data'!U51</f>
        <v>0</v>
      </c>
      <c r="L27" s="59">
        <f>+'Full Data'!X51</f>
        <v>0</v>
      </c>
      <c r="M27" s="59">
        <f>+'Full Data'!AA51</f>
        <v>0</v>
      </c>
      <c r="N27" s="59">
        <f>+'Full Data'!AD51</f>
        <v>0</v>
      </c>
      <c r="O27" s="59">
        <f>+'Full Data'!AG51</f>
        <v>0</v>
      </c>
      <c r="P27" s="59">
        <f>+'Full Data'!AJ51</f>
        <v>0</v>
      </c>
      <c r="Q27" s="59">
        <f t="shared" si="9"/>
        <v>1750</v>
      </c>
    </row>
    <row r="28" spans="1:17" ht="15.75" x14ac:dyDescent="0.25">
      <c r="A28" s="128">
        <v>4060900</v>
      </c>
      <c r="B28" s="128" t="s">
        <v>288</v>
      </c>
      <c r="C28" s="127" t="s">
        <v>82</v>
      </c>
      <c r="D28" s="126">
        <v>-54</v>
      </c>
      <c r="E28" s="59">
        <f>+'Full Data'!C54</f>
        <v>0</v>
      </c>
      <c r="F28" s="59">
        <f>+'Full Data'!F54</f>
        <v>0</v>
      </c>
      <c r="G28" s="59">
        <f>+'Full Data'!I54</f>
        <v>0</v>
      </c>
      <c r="H28" s="59">
        <f>+'Full Data'!L54</f>
        <v>0</v>
      </c>
      <c r="I28" s="59">
        <f>+'Full Data'!O54</f>
        <v>0</v>
      </c>
      <c r="J28" s="59">
        <f>+'Full Data'!R54</f>
        <v>0</v>
      </c>
      <c r="K28" s="59">
        <f>+'Full Data'!U54</f>
        <v>0</v>
      </c>
      <c r="L28" s="59">
        <f>+'Full Data'!X54</f>
        <v>0</v>
      </c>
      <c r="M28" s="59">
        <f>+'Full Data'!AA54</f>
        <v>0</v>
      </c>
      <c r="N28" s="59">
        <f>+'Full Data'!AD54</f>
        <v>0</v>
      </c>
      <c r="O28" s="59">
        <f>+'Full Data'!AG54</f>
        <v>0</v>
      </c>
      <c r="P28" s="59">
        <f>+'Full Data'!AJ54</f>
        <v>0</v>
      </c>
      <c r="Q28" s="59">
        <f t="shared" si="9"/>
        <v>0</v>
      </c>
    </row>
    <row r="29" spans="1:17" ht="15.75" x14ac:dyDescent="0.25">
      <c r="A29" s="128">
        <v>4060800</v>
      </c>
      <c r="B29" s="128" t="s">
        <v>289</v>
      </c>
      <c r="C29" s="127" t="s">
        <v>82</v>
      </c>
      <c r="D29" s="126">
        <v>-53</v>
      </c>
      <c r="E29" s="59">
        <f>+'Full Data'!C53</f>
        <v>0</v>
      </c>
      <c r="F29" s="59">
        <f>+'Full Data'!F53</f>
        <v>0</v>
      </c>
      <c r="G29" s="59">
        <f>+'Full Data'!I53</f>
        <v>0</v>
      </c>
      <c r="H29" s="59">
        <f>+'Full Data'!L53</f>
        <v>1365</v>
      </c>
      <c r="I29" s="59">
        <f>+'Full Data'!O53</f>
        <v>0</v>
      </c>
      <c r="J29" s="59">
        <f>+'Full Data'!R53</f>
        <v>0</v>
      </c>
      <c r="K29" s="59">
        <f>+'Full Data'!U53</f>
        <v>0</v>
      </c>
      <c r="L29" s="59">
        <f>+'Full Data'!X53</f>
        <v>0</v>
      </c>
      <c r="M29" s="59">
        <f>+'Full Data'!AA53</f>
        <v>0</v>
      </c>
      <c r="N29" s="59">
        <f>+'Full Data'!AD53</f>
        <v>0</v>
      </c>
      <c r="O29" s="59">
        <f>+'Full Data'!AG53</f>
        <v>0</v>
      </c>
      <c r="P29" s="59">
        <f>+'Full Data'!AJ53</f>
        <v>0</v>
      </c>
      <c r="Q29" s="59">
        <f t="shared" si="9"/>
        <v>1365</v>
      </c>
    </row>
    <row r="30" spans="1:17" ht="15.75" x14ac:dyDescent="0.25">
      <c r="A30" s="128"/>
      <c r="B30" s="128"/>
      <c r="C30" s="127"/>
      <c r="D30" s="126"/>
      <c r="E30" s="131">
        <f>SUM(E24:E29)</f>
        <v>33098.949999999997</v>
      </c>
      <c r="F30" s="131">
        <f t="shared" ref="F30:Q30" si="10">SUM(F24:F29)</f>
        <v>6503.5</v>
      </c>
      <c r="G30" s="131">
        <f t="shared" si="10"/>
        <v>4571</v>
      </c>
      <c r="H30" s="131">
        <f t="shared" si="10"/>
        <v>109423</v>
      </c>
      <c r="I30" s="131">
        <f t="shared" si="10"/>
        <v>57007</v>
      </c>
      <c r="J30" s="131">
        <f t="shared" si="10"/>
        <v>2173.4499999999998</v>
      </c>
      <c r="K30" s="131">
        <f t="shared" si="10"/>
        <v>265</v>
      </c>
      <c r="L30" s="131">
        <f t="shared" si="10"/>
        <v>324.82</v>
      </c>
      <c r="M30" s="131">
        <f t="shared" si="10"/>
        <v>116.5</v>
      </c>
      <c r="N30" s="131">
        <f t="shared" si="10"/>
        <v>15000</v>
      </c>
      <c r="O30" s="131">
        <f t="shared" si="10"/>
        <v>460</v>
      </c>
      <c r="P30" s="131">
        <f t="shared" si="10"/>
        <v>0</v>
      </c>
      <c r="Q30" s="131">
        <f t="shared" si="10"/>
        <v>228943.22000000003</v>
      </c>
    </row>
    <row r="31" spans="1:17" ht="15.75" x14ac:dyDescent="0.25">
      <c r="A31" s="128">
        <v>6032050</v>
      </c>
      <c r="B31" s="128" t="s">
        <v>375</v>
      </c>
      <c r="C31" s="127" t="s">
        <v>519</v>
      </c>
      <c r="D31" s="126">
        <v>248</v>
      </c>
      <c r="E31" s="131">
        <f>+'Full Data'!C248</f>
        <v>155001.17000000001</v>
      </c>
      <c r="F31" s="131">
        <f>+'Full Data'!F248</f>
        <v>41910.33</v>
      </c>
      <c r="G31" s="131">
        <f>+'Full Data'!I248</f>
        <v>50000</v>
      </c>
      <c r="H31" s="131">
        <f>+'Full Data'!L248</f>
        <v>36165</v>
      </c>
      <c r="I31" s="131">
        <f>+'Full Data'!O248</f>
        <v>0</v>
      </c>
      <c r="J31" s="131">
        <f>+'Full Data'!R248</f>
        <v>18698.009999999998</v>
      </c>
      <c r="K31" s="131">
        <f>+'Full Data'!U248</f>
        <v>104476.5</v>
      </c>
      <c r="L31" s="131">
        <f>+'Full Data'!X248</f>
        <v>0</v>
      </c>
      <c r="M31" s="131">
        <f>+'Full Data'!AA248</f>
        <v>48075</v>
      </c>
      <c r="N31" s="131">
        <f>+'Full Data'!AD248</f>
        <v>0</v>
      </c>
      <c r="O31" s="131">
        <f>+'Full Data'!AG248</f>
        <v>0</v>
      </c>
      <c r="P31" s="131">
        <f>+'Full Data'!AJ248</f>
        <v>0</v>
      </c>
      <c r="Q31" s="59">
        <f>SUM(E31:P31)</f>
        <v>454326.01</v>
      </c>
    </row>
    <row r="32" spans="1:17" ht="15.75" x14ac:dyDescent="0.25">
      <c r="A32" s="128"/>
      <c r="B32" s="128"/>
      <c r="C32" s="127"/>
      <c r="D32" s="126"/>
      <c r="E32" s="129">
        <f>+E30-E31</f>
        <v>-121902.22000000002</v>
      </c>
      <c r="F32" s="129">
        <f t="shared" ref="F32:Q32" si="11">+F30-F31</f>
        <v>-35406.83</v>
      </c>
      <c r="G32" s="129">
        <f t="shared" si="11"/>
        <v>-45429</v>
      </c>
      <c r="H32" s="129">
        <f t="shared" si="11"/>
        <v>73258</v>
      </c>
      <c r="I32" s="129">
        <f t="shared" si="11"/>
        <v>57007</v>
      </c>
      <c r="J32" s="129">
        <f t="shared" si="11"/>
        <v>-16524.559999999998</v>
      </c>
      <c r="K32" s="129">
        <f t="shared" si="11"/>
        <v>-104211.5</v>
      </c>
      <c r="L32" s="129">
        <f t="shared" si="11"/>
        <v>324.82</v>
      </c>
      <c r="M32" s="129">
        <f t="shared" si="11"/>
        <v>-47958.5</v>
      </c>
      <c r="N32" s="129">
        <f t="shared" si="11"/>
        <v>15000</v>
      </c>
      <c r="O32" s="129">
        <f t="shared" si="11"/>
        <v>460</v>
      </c>
      <c r="P32" s="129">
        <f t="shared" si="11"/>
        <v>0</v>
      </c>
      <c r="Q32" s="129">
        <f t="shared" si="11"/>
        <v>-225382.78999999998</v>
      </c>
    </row>
    <row r="33" spans="1:17" ht="15.75" x14ac:dyDescent="0.25">
      <c r="A33" s="128"/>
      <c r="B33" s="128"/>
      <c r="C33" s="127"/>
      <c r="D33" s="126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1:17" ht="15.75" x14ac:dyDescent="0.25">
      <c r="A34" s="128">
        <v>4060500</v>
      </c>
      <c r="B34" s="128" t="s">
        <v>290</v>
      </c>
      <c r="C34" s="127" t="s">
        <v>79</v>
      </c>
      <c r="D34" s="126">
        <v>-52</v>
      </c>
      <c r="E34" s="59">
        <f>+'Full Data'!C52</f>
        <v>0</v>
      </c>
      <c r="F34" s="59">
        <f>+'Full Data'!F52</f>
        <v>0</v>
      </c>
      <c r="G34" s="59">
        <f>+'Full Data'!I52</f>
        <v>0</v>
      </c>
      <c r="H34" s="59">
        <f>+'Full Data'!L52</f>
        <v>53751.5</v>
      </c>
      <c r="I34" s="59">
        <f>+'Full Data'!O52</f>
        <v>0</v>
      </c>
      <c r="J34" s="59">
        <f>+'Full Data'!R52</f>
        <v>0</v>
      </c>
      <c r="K34" s="59">
        <f>+'Full Data'!U52</f>
        <v>0</v>
      </c>
      <c r="L34" s="59">
        <f>+'Full Data'!X50</f>
        <v>0</v>
      </c>
      <c r="M34" s="59">
        <f>+'Full Data'!AA50</f>
        <v>0</v>
      </c>
      <c r="N34" s="59">
        <f>+'Full Data'!AD52</f>
        <v>0</v>
      </c>
      <c r="O34" s="59">
        <f>+'Full Data'!AG52</f>
        <v>0</v>
      </c>
      <c r="P34" s="59">
        <f>+'Full Data'!AJ52</f>
        <v>0</v>
      </c>
      <c r="Q34" s="59">
        <f>SUM(E34:P34)</f>
        <v>53751.5</v>
      </c>
    </row>
    <row r="35" spans="1:17" ht="15.75" x14ac:dyDescent="0.25">
      <c r="A35" s="128">
        <v>4060300</v>
      </c>
      <c r="B35" s="128" t="s">
        <v>293</v>
      </c>
      <c r="C35" s="127" t="s">
        <v>79</v>
      </c>
      <c r="D35" s="126">
        <v>-50</v>
      </c>
      <c r="E35" s="59">
        <f>+'Full Data'!C50</f>
        <v>0</v>
      </c>
      <c r="F35" s="59">
        <f>+'Full Data'!F50</f>
        <v>0</v>
      </c>
      <c r="G35" s="59">
        <f>+'Full Data'!I50</f>
        <v>0</v>
      </c>
      <c r="H35" s="59">
        <f>+'Full Data'!L50</f>
        <v>0</v>
      </c>
      <c r="I35" s="59">
        <f>+'Full Data'!O50</f>
        <v>0</v>
      </c>
      <c r="J35" s="59">
        <f>+'Full Data'!R50</f>
        <v>0</v>
      </c>
      <c r="K35" s="59">
        <f>+'Full Data'!U50</f>
        <v>0</v>
      </c>
      <c r="L35" s="59">
        <f>+'Full Data'!X52</f>
        <v>0</v>
      </c>
      <c r="M35" s="59">
        <f>+'Full Data'!AA52</f>
        <v>0</v>
      </c>
      <c r="N35" s="59">
        <f>+'Full Data'!AD50</f>
        <v>0</v>
      </c>
      <c r="O35" s="59">
        <f>+'Full Data'!AG50</f>
        <v>0</v>
      </c>
      <c r="P35" s="59">
        <f>+'Full Data'!AJ50</f>
        <v>0</v>
      </c>
      <c r="Q35" s="59">
        <f>SUM(E35:P35)</f>
        <v>0</v>
      </c>
    </row>
    <row r="36" spans="1:17" ht="15.75" x14ac:dyDescent="0.25">
      <c r="A36" s="128"/>
      <c r="B36" s="128"/>
      <c r="C36" s="127"/>
      <c r="D36" s="126"/>
      <c r="E36" s="131">
        <f>SUM(E34:E35)</f>
        <v>0</v>
      </c>
      <c r="F36" s="131">
        <f t="shared" ref="F36:Q36" si="12">SUM(F34:F35)</f>
        <v>0</v>
      </c>
      <c r="G36" s="131">
        <f t="shared" si="12"/>
        <v>0</v>
      </c>
      <c r="H36" s="131">
        <f t="shared" si="12"/>
        <v>53751.5</v>
      </c>
      <c r="I36" s="131">
        <f t="shared" si="12"/>
        <v>0</v>
      </c>
      <c r="J36" s="131">
        <f t="shared" si="12"/>
        <v>0</v>
      </c>
      <c r="K36" s="131">
        <f t="shared" si="12"/>
        <v>0</v>
      </c>
      <c r="L36" s="131">
        <f t="shared" si="12"/>
        <v>0</v>
      </c>
      <c r="M36" s="131">
        <f t="shared" si="12"/>
        <v>0</v>
      </c>
      <c r="N36" s="131">
        <f t="shared" si="12"/>
        <v>0</v>
      </c>
      <c r="O36" s="131">
        <f t="shared" si="12"/>
        <v>0</v>
      </c>
      <c r="P36" s="131">
        <f t="shared" si="12"/>
        <v>0</v>
      </c>
      <c r="Q36" s="131">
        <f t="shared" si="12"/>
        <v>53751.5</v>
      </c>
    </row>
    <row r="37" spans="1:17" ht="15.75" x14ac:dyDescent="0.25">
      <c r="A37" s="128">
        <v>6012800</v>
      </c>
      <c r="B37" s="128" t="s">
        <v>65</v>
      </c>
      <c r="C37" s="127" t="s">
        <v>79</v>
      </c>
      <c r="D37" s="126">
        <v>261</v>
      </c>
      <c r="E37" s="59">
        <f>+'Full Data'!C261</f>
        <v>0</v>
      </c>
      <c r="F37" s="59">
        <f>+'Full Data'!F261</f>
        <v>0</v>
      </c>
      <c r="G37" s="59">
        <f>+'Full Data'!I261</f>
        <v>6.48</v>
      </c>
      <c r="H37" s="59">
        <f>+'Full Data'!L261</f>
        <v>0</v>
      </c>
      <c r="I37" s="59">
        <f>+'Full Data'!O261</f>
        <v>51.18</v>
      </c>
      <c r="J37" s="59">
        <f>+'Full Data'!R261</f>
        <v>742.3</v>
      </c>
      <c r="K37" s="59">
        <f>+'Full Data'!U261</f>
        <v>0</v>
      </c>
      <c r="L37" s="59">
        <f>+'Full Data'!X261</f>
        <v>0</v>
      </c>
      <c r="M37" s="59">
        <f>+'Full Data'!AA261</f>
        <v>631.54999999999995</v>
      </c>
      <c r="N37" s="59">
        <f>+'Full Data'!AD261</f>
        <v>226.99</v>
      </c>
      <c r="O37" s="59">
        <f>+'Full Data'!AG261</f>
        <v>96.87</v>
      </c>
      <c r="P37" s="59">
        <f>+'Full Data'!AJ261</f>
        <v>0</v>
      </c>
      <c r="Q37" s="59">
        <f>SUM(E37:P37)</f>
        <v>1755.37</v>
      </c>
    </row>
    <row r="38" spans="1:17" ht="15.75" x14ac:dyDescent="0.25">
      <c r="A38" s="128">
        <v>6012700</v>
      </c>
      <c r="B38" s="128" t="s">
        <v>67</v>
      </c>
      <c r="C38" s="127" t="s">
        <v>79</v>
      </c>
      <c r="D38" s="126">
        <v>258</v>
      </c>
      <c r="E38" s="59">
        <f>+'Full Data'!C258</f>
        <v>240.31</v>
      </c>
      <c r="F38" s="59">
        <f>+'Full Data'!F258</f>
        <v>909.31</v>
      </c>
      <c r="G38" s="59">
        <f>+'Full Data'!I258</f>
        <v>15588.5</v>
      </c>
      <c r="H38" s="59">
        <f>+'Full Data'!L258</f>
        <v>108</v>
      </c>
      <c r="I38" s="59">
        <f>+'Full Data'!O258</f>
        <v>0</v>
      </c>
      <c r="J38" s="59">
        <f>+'Full Data'!R258</f>
        <v>5528.38</v>
      </c>
      <c r="K38" s="59">
        <f>+'Full Data'!U258</f>
        <v>2708.56</v>
      </c>
      <c r="L38" s="59">
        <f>+'Full Data'!X258</f>
        <v>32710</v>
      </c>
      <c r="M38" s="59">
        <f>+'Full Data'!AA258</f>
        <v>17166.27</v>
      </c>
      <c r="N38" s="59">
        <f>+'Full Data'!AD258</f>
        <v>6622.07</v>
      </c>
      <c r="O38" s="59">
        <f>+'Full Data'!AG258</f>
        <v>1621.56</v>
      </c>
      <c r="P38" s="59">
        <f>+'Full Data'!AJ258</f>
        <v>0</v>
      </c>
      <c r="Q38" s="59">
        <f>SUM(E38:P38)</f>
        <v>83202.959999999992</v>
      </c>
    </row>
    <row r="39" spans="1:17" ht="15.75" x14ac:dyDescent="0.25">
      <c r="A39" s="128">
        <v>6012750</v>
      </c>
      <c r="B39" s="128" t="s">
        <v>373</v>
      </c>
      <c r="C39" s="127" t="s">
        <v>79</v>
      </c>
      <c r="D39" s="126">
        <v>260</v>
      </c>
      <c r="E39" s="59">
        <f>+'Full Data'!C260</f>
        <v>3391.28</v>
      </c>
      <c r="F39" s="59">
        <f>+'Full Data'!F260</f>
        <v>17374.77</v>
      </c>
      <c r="G39" s="59">
        <f>+'Full Data'!I260</f>
        <v>100133.75</v>
      </c>
      <c r="H39" s="59">
        <f>+'Full Data'!L260</f>
        <v>0</v>
      </c>
      <c r="I39" s="59">
        <f>+'Full Data'!O260</f>
        <v>13.33</v>
      </c>
      <c r="J39" s="59">
        <f>+'Full Data'!R260</f>
        <v>570</v>
      </c>
      <c r="K39" s="59">
        <f>+'Full Data'!U260</f>
        <v>3471.1</v>
      </c>
      <c r="L39" s="59">
        <f>+'Full Data'!X260</f>
        <v>3452.06</v>
      </c>
      <c r="M39" s="59">
        <f>+'Full Data'!AA260</f>
        <v>75517.75</v>
      </c>
      <c r="N39" s="59">
        <f>+'Full Data'!AD260</f>
        <v>934.66</v>
      </c>
      <c r="O39" s="59">
        <f>+'Full Data'!AG260</f>
        <v>2340.1</v>
      </c>
      <c r="P39" s="59">
        <f>+'Full Data'!AJ260</f>
        <v>0</v>
      </c>
      <c r="Q39" s="59">
        <f>SUM(E39:P39)</f>
        <v>207198.80000000002</v>
      </c>
    </row>
    <row r="40" spans="1:17" ht="15.75" x14ac:dyDescent="0.25">
      <c r="A40" s="128">
        <v>6042050</v>
      </c>
      <c r="B40" s="128" t="s">
        <v>375</v>
      </c>
      <c r="C40" s="127" t="s">
        <v>520</v>
      </c>
      <c r="D40" s="126">
        <v>283</v>
      </c>
      <c r="E40" s="59">
        <f>+'Full Data'!C283</f>
        <v>0</v>
      </c>
      <c r="F40" s="59">
        <f>+'Full Data'!F283</f>
        <v>0</v>
      </c>
      <c r="G40" s="59">
        <f>+'Full Data'!I283</f>
        <v>0</v>
      </c>
      <c r="H40" s="59">
        <f>+'Full Data'!L283</f>
        <v>0</v>
      </c>
      <c r="I40" s="59">
        <f>+'Full Data'!O283</f>
        <v>0</v>
      </c>
      <c r="J40" s="59">
        <f>+'Full Data'!R283</f>
        <v>0</v>
      </c>
      <c r="K40" s="59">
        <f>+'Full Data'!U283</f>
        <v>0</v>
      </c>
      <c r="L40" s="59">
        <f>+'Full Data'!X283</f>
        <v>0</v>
      </c>
      <c r="M40" s="59">
        <f>+'Full Data'!AA283</f>
        <v>0</v>
      </c>
      <c r="N40" s="59">
        <f>+'Full Data'!AD283</f>
        <v>0</v>
      </c>
      <c r="O40" s="59">
        <f>+'Full Data'!AG283</f>
        <v>0</v>
      </c>
      <c r="P40" s="59">
        <f>+'Full Data'!AJ283</f>
        <v>0</v>
      </c>
      <c r="Q40" s="59">
        <f>SUM(E40:K40)</f>
        <v>0</v>
      </c>
    </row>
    <row r="41" spans="1:17" ht="15.75" x14ac:dyDescent="0.25">
      <c r="A41" s="128"/>
      <c r="B41" s="128"/>
      <c r="C41" s="127"/>
      <c r="D41" s="126"/>
      <c r="E41" s="131">
        <f t="shared" ref="E41:K41" si="13">SUM(E37:E40)</f>
        <v>3631.59</v>
      </c>
      <c r="F41" s="131">
        <f t="shared" si="13"/>
        <v>18284.080000000002</v>
      </c>
      <c r="G41" s="131">
        <f t="shared" si="13"/>
        <v>115728.73</v>
      </c>
      <c r="H41" s="131">
        <f t="shared" si="13"/>
        <v>108</v>
      </c>
      <c r="I41" s="131">
        <f t="shared" si="13"/>
        <v>64.510000000000005</v>
      </c>
      <c r="J41" s="131">
        <f t="shared" si="13"/>
        <v>6840.68</v>
      </c>
      <c r="K41" s="131">
        <f t="shared" si="13"/>
        <v>6179.66</v>
      </c>
      <c r="L41" s="131">
        <f t="shared" ref="L41:P41" si="14">SUM(L37:L40)</f>
        <v>36162.06</v>
      </c>
      <c r="M41" s="131">
        <f t="shared" si="14"/>
        <v>93315.57</v>
      </c>
      <c r="N41" s="131">
        <f t="shared" si="14"/>
        <v>7783.7199999999993</v>
      </c>
      <c r="O41" s="131">
        <f t="shared" si="14"/>
        <v>4058.5299999999997</v>
      </c>
      <c r="P41" s="131">
        <f t="shared" si="14"/>
        <v>0</v>
      </c>
      <c r="Q41" s="131">
        <f>SUM(Q37:Q40)</f>
        <v>292157.13</v>
      </c>
    </row>
    <row r="42" spans="1:17" ht="15.75" x14ac:dyDescent="0.25">
      <c r="A42" s="133"/>
      <c r="E42" s="125">
        <f>+E36-E41</f>
        <v>-3631.59</v>
      </c>
      <c r="F42" s="125">
        <f t="shared" ref="F42:K42" si="15">+F36-F41</f>
        <v>-18284.080000000002</v>
      </c>
      <c r="G42" s="125">
        <f t="shared" si="15"/>
        <v>-115728.73</v>
      </c>
      <c r="H42" s="125">
        <f t="shared" si="15"/>
        <v>53643.5</v>
      </c>
      <c r="I42" s="125">
        <f t="shared" si="15"/>
        <v>-64.510000000000005</v>
      </c>
      <c r="J42" s="125">
        <f t="shared" si="15"/>
        <v>-6840.68</v>
      </c>
      <c r="K42" s="125">
        <f t="shared" si="15"/>
        <v>-6179.66</v>
      </c>
      <c r="L42" s="125">
        <f t="shared" ref="L42:P42" si="16">+L36-L41</f>
        <v>-36162.06</v>
      </c>
      <c r="M42" s="125">
        <f t="shared" si="16"/>
        <v>-93315.57</v>
      </c>
      <c r="N42" s="125">
        <f t="shared" si="16"/>
        <v>-7783.7199999999993</v>
      </c>
      <c r="O42" s="125">
        <f t="shared" si="16"/>
        <v>-4058.5299999999997</v>
      </c>
      <c r="P42" s="125">
        <f t="shared" si="16"/>
        <v>0</v>
      </c>
      <c r="Q42" s="125">
        <f>SUM(Q34:Q35)-SUM(Q37:Q39)</f>
        <v>-238405.63</v>
      </c>
    </row>
    <row r="44" spans="1:17" x14ac:dyDescent="0.25">
      <c r="E44" s="125">
        <f t="shared" ref="E44:Q44" si="17">-E10-E16-E22-E32-E42</f>
        <v>155146.98000000001</v>
      </c>
      <c r="F44" s="125">
        <f t="shared" si="17"/>
        <v>258209.34000000003</v>
      </c>
      <c r="G44" s="125">
        <f t="shared" si="17"/>
        <v>745231.57</v>
      </c>
      <c r="H44" s="125">
        <f t="shared" si="17"/>
        <v>92242.540000000008</v>
      </c>
      <c r="I44" s="125">
        <f t="shared" si="17"/>
        <v>685612.56</v>
      </c>
      <c r="J44" s="125">
        <f t="shared" si="17"/>
        <v>24404.979999999996</v>
      </c>
      <c r="K44" s="125">
        <f t="shared" si="17"/>
        <v>691340.14</v>
      </c>
      <c r="L44" s="125">
        <f t="shared" ref="L44:P44" si="18">-L10-L16-L22-L32-L42</f>
        <v>775983.47</v>
      </c>
      <c r="M44" s="125">
        <f t="shared" si="18"/>
        <v>-2069920.95</v>
      </c>
      <c r="N44" s="125">
        <f t="shared" si="18"/>
        <v>791025.03999999992</v>
      </c>
      <c r="O44" s="125">
        <f t="shared" si="18"/>
        <v>926914.86</v>
      </c>
      <c r="P44" s="125">
        <f t="shared" si="18"/>
        <v>0</v>
      </c>
      <c r="Q44" s="125">
        <f t="shared" si="17"/>
        <v>3076190.53</v>
      </c>
    </row>
    <row r="46" spans="1:17" x14ac:dyDescent="0.25">
      <c r="E46" s="59">
        <f>+'Full Data'!C324</f>
        <v>155146.98000000001</v>
      </c>
      <c r="F46" s="59">
        <f>+'Full Data'!F324</f>
        <v>258209.33999999997</v>
      </c>
      <c r="G46" s="59">
        <f>+'Full Data'!I324</f>
        <v>745231.57</v>
      </c>
      <c r="H46" s="59">
        <f>+'Full Data'!L324</f>
        <v>92242.540000000008</v>
      </c>
      <c r="I46" s="59">
        <f>+'Full Data'!O324</f>
        <v>685612.56</v>
      </c>
      <c r="J46" s="59">
        <f>+'Full Data'!R324</f>
        <v>24404.980000000003</v>
      </c>
      <c r="K46" s="59">
        <f>+'Full Data'!U324</f>
        <v>691340.14</v>
      </c>
      <c r="L46" s="59">
        <f>+'Full Data'!X324</f>
        <v>775983.47</v>
      </c>
      <c r="M46" s="59">
        <f>+'Full Data'!AA324</f>
        <v>-2069920.9500000002</v>
      </c>
      <c r="N46" s="59">
        <f>+'Full Data'!AD324</f>
        <v>791025.03999999992</v>
      </c>
      <c r="O46" s="59">
        <f>+'Full Data'!AG324</f>
        <v>926914.86</v>
      </c>
      <c r="P46" s="59">
        <f>+'Full Data'!AJ324</f>
        <v>0</v>
      </c>
    </row>
    <row r="47" spans="1:17" x14ac:dyDescent="0.25"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1:17" x14ac:dyDescent="0.25">
      <c r="E48" s="59">
        <f t="shared" ref="E48:Q48" si="19">+E44-E46</f>
        <v>0</v>
      </c>
      <c r="F48" s="59">
        <f t="shared" si="19"/>
        <v>0</v>
      </c>
      <c r="G48" s="59">
        <f t="shared" si="19"/>
        <v>0</v>
      </c>
      <c r="H48" s="59">
        <f t="shared" si="19"/>
        <v>0</v>
      </c>
      <c r="I48" s="59">
        <f t="shared" si="19"/>
        <v>0</v>
      </c>
      <c r="J48" s="59">
        <f t="shared" si="19"/>
        <v>0</v>
      </c>
      <c r="K48" s="59">
        <f t="shared" si="19"/>
        <v>0</v>
      </c>
      <c r="L48" s="59">
        <f t="shared" si="19"/>
        <v>0</v>
      </c>
      <c r="M48" s="59">
        <f t="shared" si="19"/>
        <v>0</v>
      </c>
      <c r="N48" s="59">
        <f t="shared" si="19"/>
        <v>0</v>
      </c>
      <c r="O48" s="59">
        <f t="shared" si="19"/>
        <v>0</v>
      </c>
      <c r="P48" s="59">
        <f t="shared" si="19"/>
        <v>0</v>
      </c>
      <c r="Q48" s="59">
        <f t="shared" si="19"/>
        <v>3076190.53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C6F7F-3B52-4492-8E68-8DE2CF4090C4}">
  <dimension ref="A1:BU69"/>
  <sheetViews>
    <sheetView zoomScale="85" zoomScaleNormal="85" workbookViewId="0">
      <pane xSplit="2" ySplit="4" topLeftCell="C41" activePane="bottomRight" state="frozen"/>
      <selection pane="topRight" activeCell="C1" sqref="C1"/>
      <selection pane="bottomLeft" activeCell="A5" sqref="A5"/>
      <selection pane="bottomRight" activeCell="M52" sqref="M52"/>
    </sheetView>
  </sheetViews>
  <sheetFormatPr defaultColWidth="0" defaultRowHeight="15" x14ac:dyDescent="0.25"/>
  <cols>
    <col min="1" max="1" width="56.5703125" customWidth="1"/>
    <col min="2" max="2" width="2.5703125" bestFit="1" customWidth="1"/>
    <col min="3" max="3" width="15.42578125" customWidth="1"/>
    <col min="4" max="5" width="15.42578125" bestFit="1" customWidth="1"/>
    <col min="6" max="7" width="15" bestFit="1" customWidth="1"/>
    <col min="8" max="14" width="15.42578125" bestFit="1" customWidth="1"/>
    <col min="15" max="15" width="16.28515625" bestFit="1" customWidth="1"/>
    <col min="16" max="16" width="17.42578125" bestFit="1" customWidth="1"/>
    <col min="17" max="17" width="15.5703125" customWidth="1"/>
    <col min="18" max="18" width="12" bestFit="1" customWidth="1"/>
    <col min="19" max="19" width="14.42578125" bestFit="1" customWidth="1"/>
    <col min="20" max="20" width="2.7109375" customWidth="1"/>
    <col min="21" max="21" width="7.5703125" bestFit="1" customWidth="1"/>
    <col min="22" max="22" width="17.42578125" bestFit="1" customWidth="1"/>
    <col min="23" max="23" width="9.5703125" hidden="1" customWidth="1"/>
    <col min="24" max="24" width="12" hidden="1" customWidth="1"/>
    <col min="25" max="25" width="14.42578125" hidden="1" customWidth="1"/>
    <col min="26" max="53" width="9.140625" hidden="1" customWidth="1"/>
    <col min="54" max="73" width="0" hidden="1" customWidth="1"/>
    <col min="74" max="16384" width="9.140625" hidden="1"/>
  </cols>
  <sheetData>
    <row r="1" spans="1:15" x14ac:dyDescent="0.25">
      <c r="A1" s="136" t="s">
        <v>524</v>
      </c>
    </row>
    <row r="2" spans="1:15" x14ac:dyDescent="0.25">
      <c r="A2" s="136" t="s">
        <v>525</v>
      </c>
    </row>
    <row r="4" spans="1:15" x14ac:dyDescent="0.25">
      <c r="C4" s="134">
        <v>45777</v>
      </c>
      <c r="D4" s="134">
        <v>45778</v>
      </c>
      <c r="E4" s="134">
        <v>45809</v>
      </c>
      <c r="F4" s="134">
        <v>45839</v>
      </c>
      <c r="G4" s="134">
        <v>45870</v>
      </c>
      <c r="H4" s="134">
        <v>45930</v>
      </c>
      <c r="I4" s="134">
        <v>45961</v>
      </c>
      <c r="J4" s="134">
        <v>45991</v>
      </c>
      <c r="K4" s="134">
        <v>46022</v>
      </c>
      <c r="L4" s="134">
        <v>46053</v>
      </c>
      <c r="M4" s="134">
        <v>46081</v>
      </c>
      <c r="N4" s="134">
        <v>46112</v>
      </c>
      <c r="O4" s="134" t="s">
        <v>526</v>
      </c>
    </row>
    <row r="5" spans="1:15" x14ac:dyDescent="0.25">
      <c r="A5" s="136" t="s">
        <v>503</v>
      </c>
      <c r="O5" s="130"/>
    </row>
    <row r="6" spans="1:15" x14ac:dyDescent="0.25">
      <c r="A6" t="s">
        <v>501</v>
      </c>
      <c r="C6" s="116">
        <v>841672</v>
      </c>
      <c r="D6" s="116">
        <f t="shared" ref="D6:N6" si="0">+C10</f>
        <v>845274.78800000006</v>
      </c>
      <c r="E6" s="116">
        <f t="shared" si="0"/>
        <v>840318.38600000006</v>
      </c>
      <c r="F6" s="116">
        <f t="shared" si="0"/>
        <v>734529.22400000005</v>
      </c>
      <c r="G6" s="116">
        <f t="shared" si="0"/>
        <v>791943.21600000001</v>
      </c>
      <c r="H6" s="116">
        <f t="shared" si="0"/>
        <v>796503.23199999996</v>
      </c>
      <c r="I6" s="116">
        <f t="shared" si="0"/>
        <v>804651.92799999996</v>
      </c>
      <c r="J6" s="116">
        <f t="shared" si="0"/>
        <v>813632.99599999993</v>
      </c>
      <c r="K6" s="116">
        <f t="shared" si="0"/>
        <v>786661.12399999984</v>
      </c>
      <c r="L6" s="116">
        <f t="shared" si="0"/>
        <v>703793.19</v>
      </c>
      <c r="M6" s="116">
        <f t="shared" si="0"/>
        <v>709173.34399999992</v>
      </c>
      <c r="N6" s="116">
        <f t="shared" si="0"/>
        <v>713504.61999999988</v>
      </c>
      <c r="O6" s="104">
        <f>+C6</f>
        <v>841672</v>
      </c>
    </row>
    <row r="7" spans="1:15" x14ac:dyDescent="0.25">
      <c r="A7" t="s">
        <v>518</v>
      </c>
      <c r="C7" s="116">
        <f>+'Full Data'!C5</f>
        <v>7234.3780000000006</v>
      </c>
      <c r="D7" s="116">
        <f>+'Full Data'!F5</f>
        <v>13327.678</v>
      </c>
      <c r="E7" s="116">
        <f>+'Full Data'!I5</f>
        <v>9939.5679999999993</v>
      </c>
      <c r="F7" s="116">
        <f>+'Full Data'!L5</f>
        <v>3770.4920000000002</v>
      </c>
      <c r="G7" s="116">
        <f>+'Full Data'!O5</f>
        <v>4624.5260000000007</v>
      </c>
      <c r="H7" s="116">
        <f>+'Full Data'!R5</f>
        <v>14989.376000000002</v>
      </c>
      <c r="I7" s="116">
        <f>+'Full Data'!U5</f>
        <v>15160.728000000001</v>
      </c>
      <c r="J7" s="116">
        <f>+'Full Data'!X5</f>
        <v>9190.1880000000001</v>
      </c>
      <c r="K7" s="116">
        <f>+'Full Data'!AA5</f>
        <v>10447.636</v>
      </c>
      <c r="L7" s="116">
        <f>+'Full Data'!AD5</f>
        <v>13163.874</v>
      </c>
      <c r="M7" s="116">
        <f>+'Full Data'!AG5</f>
        <v>8389.8060000000005</v>
      </c>
      <c r="N7" s="116">
        <f>+'Full Data'!AJ5</f>
        <v>0</v>
      </c>
      <c r="O7" s="104">
        <f>SUM(C7:N7)</f>
        <v>110238.24999999999</v>
      </c>
    </row>
    <row r="8" spans="1:15" x14ac:dyDescent="0.25">
      <c r="A8" t="s">
        <v>527</v>
      </c>
      <c r="C8" s="116">
        <f>+'Monthly Pull Outs'!E36</f>
        <v>0</v>
      </c>
      <c r="D8" s="116">
        <f>+'Monthly Pull Outs'!F36</f>
        <v>0</v>
      </c>
      <c r="E8" s="116">
        <f>+'Monthly Pull Outs'!G36</f>
        <v>0</v>
      </c>
      <c r="F8" s="116">
        <f>+'Monthly Pull Outs'!H36</f>
        <v>53751.5</v>
      </c>
      <c r="G8" s="116">
        <f>+'Monthly Pull Outs'!I36</f>
        <v>0</v>
      </c>
      <c r="H8" s="116">
        <f>+'Monthly Pull Outs'!J36</f>
        <v>0</v>
      </c>
      <c r="I8" s="116">
        <f>+'Monthly Pull Outs'!K36</f>
        <v>0</v>
      </c>
      <c r="J8" s="116">
        <f>+'Monthly Pull Outs'!L36</f>
        <v>0</v>
      </c>
      <c r="K8" s="116">
        <f>+'Monthly Pull Outs'!M36</f>
        <v>0</v>
      </c>
      <c r="L8" s="116">
        <f>+'Monthly Pull Outs'!N36</f>
        <v>0</v>
      </c>
      <c r="M8" s="116">
        <f>+'Monthly Pull Outs'!O36</f>
        <v>0</v>
      </c>
      <c r="N8" s="116">
        <f>+'Monthly Pull Outs'!P36</f>
        <v>0</v>
      </c>
      <c r="O8" s="104">
        <f t="shared" ref="O8:O9" si="1">SUM(C8:N8)</f>
        <v>53751.5</v>
      </c>
    </row>
    <row r="9" spans="1:15" x14ac:dyDescent="0.25">
      <c r="A9" t="s">
        <v>544</v>
      </c>
      <c r="C9" s="116">
        <f>-'Monthly Pull Outs'!E41</f>
        <v>-3631.59</v>
      </c>
      <c r="D9" s="116">
        <f>-'Monthly Pull Outs'!F41</f>
        <v>-18284.080000000002</v>
      </c>
      <c r="E9" s="116">
        <f>-'Monthly Pull Outs'!G41</f>
        <v>-115728.73</v>
      </c>
      <c r="F9" s="116">
        <f>-'Monthly Pull Outs'!H41</f>
        <v>-108</v>
      </c>
      <c r="G9" s="116">
        <f>-'Monthly Pull Outs'!I41</f>
        <v>-64.510000000000005</v>
      </c>
      <c r="H9" s="116">
        <f>-'Monthly Pull Outs'!J41</f>
        <v>-6840.68</v>
      </c>
      <c r="I9" s="116">
        <f>-'Monthly Pull Outs'!K41</f>
        <v>-6179.66</v>
      </c>
      <c r="J9" s="116">
        <f>-'Monthly Pull Outs'!L41</f>
        <v>-36162.06</v>
      </c>
      <c r="K9" s="116">
        <f>-'Monthly Pull Outs'!M41</f>
        <v>-93315.57</v>
      </c>
      <c r="L9" s="116">
        <f>-'Monthly Pull Outs'!N41</f>
        <v>-7783.7199999999993</v>
      </c>
      <c r="M9" s="116">
        <f>-'Monthly Pull Outs'!O41</f>
        <v>-4058.5299999999997</v>
      </c>
      <c r="N9" s="116">
        <f>-'Monthly Pull Outs'!P41</f>
        <v>0</v>
      </c>
      <c r="O9" s="104">
        <f t="shared" si="1"/>
        <v>-292157.13</v>
      </c>
    </row>
    <row r="10" spans="1:15" x14ac:dyDescent="0.25">
      <c r="A10" t="s">
        <v>502</v>
      </c>
      <c r="C10" s="135">
        <f t="shared" ref="C10:N10" si="2">SUM(C6:C9)</f>
        <v>845274.78800000006</v>
      </c>
      <c r="D10" s="135">
        <f t="shared" si="2"/>
        <v>840318.38600000006</v>
      </c>
      <c r="E10" s="135">
        <f t="shared" si="2"/>
        <v>734529.22400000005</v>
      </c>
      <c r="F10" s="135">
        <f t="shared" si="2"/>
        <v>791943.21600000001</v>
      </c>
      <c r="G10" s="135">
        <f t="shared" si="2"/>
        <v>796503.23199999996</v>
      </c>
      <c r="H10" s="135">
        <f t="shared" si="2"/>
        <v>804651.92799999996</v>
      </c>
      <c r="I10" s="135">
        <f t="shared" si="2"/>
        <v>813632.99599999993</v>
      </c>
      <c r="J10" s="135">
        <f t="shared" si="2"/>
        <v>786661.12399999984</v>
      </c>
      <c r="K10" s="135">
        <f t="shared" si="2"/>
        <v>703793.19</v>
      </c>
      <c r="L10" s="135">
        <f t="shared" si="2"/>
        <v>709173.34399999992</v>
      </c>
      <c r="M10" s="135">
        <f t="shared" si="2"/>
        <v>713504.61999999988</v>
      </c>
      <c r="N10" s="135">
        <f t="shared" si="2"/>
        <v>713504.61999999988</v>
      </c>
      <c r="O10" s="135">
        <f>SUM(O6:O9)</f>
        <v>713504.62</v>
      </c>
    </row>
    <row r="12" spans="1:15" x14ac:dyDescent="0.25">
      <c r="A12" s="136" t="s">
        <v>528</v>
      </c>
    </row>
    <row r="13" spans="1:15" x14ac:dyDescent="0.25">
      <c r="A13" t="s">
        <v>501</v>
      </c>
      <c r="C13" s="116">
        <v>112052</v>
      </c>
      <c r="D13" s="116">
        <f t="shared" ref="D13:N13" si="3">+C20</f>
        <v>70830</v>
      </c>
      <c r="E13" s="116">
        <f t="shared" si="3"/>
        <v>28919.67</v>
      </c>
      <c r="F13" s="116">
        <f t="shared" si="3"/>
        <v>43919.67</v>
      </c>
      <c r="G13" s="116">
        <f t="shared" si="3"/>
        <v>43919.67</v>
      </c>
      <c r="H13" s="116">
        <f t="shared" si="3"/>
        <v>43919.67</v>
      </c>
      <c r="I13" s="116">
        <f t="shared" si="3"/>
        <v>25221.66</v>
      </c>
      <c r="J13" s="116">
        <f t="shared" si="3"/>
        <v>25221.66</v>
      </c>
      <c r="K13" s="116">
        <f t="shared" si="3"/>
        <v>25221.66</v>
      </c>
      <c r="L13" s="116">
        <f t="shared" si="3"/>
        <v>0</v>
      </c>
      <c r="M13" s="116">
        <f t="shared" si="3"/>
        <v>0</v>
      </c>
      <c r="N13" s="116">
        <f t="shared" si="3"/>
        <v>0</v>
      </c>
      <c r="O13" s="104">
        <f>+C13</f>
        <v>112052</v>
      </c>
    </row>
    <row r="14" spans="1:15" x14ac:dyDescent="0.25">
      <c r="A14" t="s">
        <v>531</v>
      </c>
      <c r="B14" t="s">
        <v>543</v>
      </c>
      <c r="C14" s="116">
        <v>30428</v>
      </c>
      <c r="D14" s="116">
        <v>0</v>
      </c>
      <c r="E14" s="116">
        <v>65000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v>0</v>
      </c>
      <c r="M14" s="116">
        <v>0</v>
      </c>
      <c r="N14" s="116">
        <v>0</v>
      </c>
      <c r="O14" s="104">
        <f>SUM(C14:N14)</f>
        <v>95428</v>
      </c>
    </row>
    <row r="15" spans="1:15" x14ac:dyDescent="0.25">
      <c r="A15" t="s">
        <v>549</v>
      </c>
      <c r="C15" s="116">
        <f>-'Capital Expenditures'!D199-'Capital Expenditures'!D200+40000</f>
        <v>-59152</v>
      </c>
      <c r="D15" s="116">
        <f>-'Capital Expenditures'!D203-'Capital Expenditures'!D204-'Capital Expenditures'!D205</f>
        <v>-41910.33</v>
      </c>
      <c r="E15" s="116">
        <f>-'Capital Expenditures'!D206</f>
        <v>-50000</v>
      </c>
      <c r="F15" s="116">
        <v>0</v>
      </c>
      <c r="G15" s="116">
        <f>-'Monthly Pull Outs'!I16</f>
        <v>0</v>
      </c>
      <c r="H15" s="116">
        <f>-'Capital Expenditures'!D209</f>
        <v>-18698.009999999998</v>
      </c>
      <c r="I15" s="116">
        <f>-'Monthly Pull Outs'!K16</f>
        <v>0</v>
      </c>
      <c r="J15" s="116">
        <f>-'Monthly Pull Outs'!Q16</f>
        <v>0</v>
      </c>
      <c r="K15" s="116">
        <f>-'Monthly Pull Outs'!R16</f>
        <v>0</v>
      </c>
      <c r="L15" s="116">
        <f>-'Monthly Pull Outs'!S16</f>
        <v>0</v>
      </c>
      <c r="M15" s="116">
        <f>-'Monthly Pull Outs'!T16</f>
        <v>0</v>
      </c>
      <c r="N15" s="116">
        <f>-'Monthly Pull Outs'!U16</f>
        <v>0</v>
      </c>
      <c r="O15" s="104">
        <f>SUM(C15:N15)</f>
        <v>-169760.34000000003</v>
      </c>
    </row>
    <row r="16" spans="1:15" x14ac:dyDescent="0.25">
      <c r="A16" t="s">
        <v>550</v>
      </c>
      <c r="C16" s="116">
        <f>-'Monthly Pull Outs'!E8</f>
        <v>-12498</v>
      </c>
      <c r="D16" s="116">
        <f>-'Monthly Pull Outs'!F8</f>
        <v>0</v>
      </c>
      <c r="E16" s="116">
        <f>-'Monthly Pull Outs'!G8</f>
        <v>0</v>
      </c>
      <c r="F16" s="116">
        <f>-'Monthly Pull Outs'!H8</f>
        <v>0</v>
      </c>
      <c r="G16" s="116">
        <f>-'Monthly Pull Outs'!I8</f>
        <v>0</v>
      </c>
      <c r="H16" s="116">
        <f>-'Monthly Pull Outs'!J8</f>
        <v>0</v>
      </c>
      <c r="I16" s="116">
        <f>-'Monthly Pull Outs'!K8</f>
        <v>0</v>
      </c>
      <c r="J16" s="116">
        <f>-'Monthly Pull Outs'!L8</f>
        <v>0</v>
      </c>
      <c r="K16" s="116">
        <f>-'Monthly Pull Outs'!M8</f>
        <v>0</v>
      </c>
      <c r="L16" s="116">
        <f>-'Monthly Pull Outs'!N8</f>
        <v>0</v>
      </c>
      <c r="M16" s="116">
        <f>-'Monthly Pull Outs'!O8</f>
        <v>0</v>
      </c>
      <c r="N16" s="116">
        <f>-'Monthly Pull Outs'!P8</f>
        <v>0</v>
      </c>
      <c r="O16" s="104">
        <f>SUM(C16:N16)</f>
        <v>-12498</v>
      </c>
    </row>
    <row r="17" spans="1:15" x14ac:dyDescent="0.25">
      <c r="A17" t="s">
        <v>518</v>
      </c>
      <c r="C17" s="116">
        <v>0</v>
      </c>
      <c r="D17" s="116">
        <v>0</v>
      </c>
      <c r="E17" s="116">
        <v>0</v>
      </c>
      <c r="F17" s="116">
        <v>0</v>
      </c>
      <c r="G17" s="116">
        <v>0</v>
      </c>
      <c r="H17" s="116">
        <v>0</v>
      </c>
      <c r="I17" s="116">
        <v>0</v>
      </c>
      <c r="J17" s="116">
        <v>0</v>
      </c>
      <c r="K17" s="116">
        <v>0</v>
      </c>
      <c r="L17" s="116">
        <v>0</v>
      </c>
      <c r="M17" s="116">
        <v>0</v>
      </c>
      <c r="N17" s="116">
        <v>0</v>
      </c>
      <c r="O17" s="104">
        <f t="shared" ref="O17:O18" si="4">SUM(C17:N17)</f>
        <v>0</v>
      </c>
    </row>
    <row r="18" spans="1:15" x14ac:dyDescent="0.25">
      <c r="A18" t="s">
        <v>861</v>
      </c>
      <c r="C18" s="116"/>
      <c r="D18" s="116"/>
      <c r="E18" s="116"/>
      <c r="F18" s="116"/>
      <c r="G18" s="116"/>
      <c r="H18" s="116"/>
      <c r="I18" s="116"/>
      <c r="J18" s="116"/>
      <c r="K18" s="116">
        <f>-K34</f>
        <v>-33615.449999999997</v>
      </c>
      <c r="L18" s="116"/>
      <c r="M18" s="116"/>
      <c r="N18" s="116"/>
      <c r="O18" s="104">
        <f t="shared" si="4"/>
        <v>-33615.449999999997</v>
      </c>
    </row>
    <row r="19" spans="1:15" x14ac:dyDescent="0.25">
      <c r="A19" t="s">
        <v>862</v>
      </c>
      <c r="C19" s="116">
        <v>0</v>
      </c>
      <c r="D19" s="116">
        <v>0</v>
      </c>
      <c r="E19" s="116"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8393.7900000000009</v>
      </c>
      <c r="L19" s="116">
        <v>0</v>
      </c>
      <c r="M19" s="116">
        <v>0</v>
      </c>
      <c r="N19" s="116">
        <v>0</v>
      </c>
      <c r="O19" s="104">
        <f t="shared" ref="O19" si="5">SUM(C19:N19)</f>
        <v>8393.7900000000009</v>
      </c>
    </row>
    <row r="20" spans="1:15" x14ac:dyDescent="0.25">
      <c r="A20" t="s">
        <v>502</v>
      </c>
      <c r="C20" s="135">
        <f t="shared" ref="C20:N20" si="6">SUM(C13:C19)</f>
        <v>70830</v>
      </c>
      <c r="D20" s="135">
        <f t="shared" si="6"/>
        <v>28919.67</v>
      </c>
      <c r="E20" s="135">
        <f t="shared" si="6"/>
        <v>43919.67</v>
      </c>
      <c r="F20" s="135">
        <f t="shared" si="6"/>
        <v>43919.67</v>
      </c>
      <c r="G20" s="135">
        <f t="shared" si="6"/>
        <v>43919.67</v>
      </c>
      <c r="H20" s="135">
        <f t="shared" si="6"/>
        <v>25221.66</v>
      </c>
      <c r="I20" s="135">
        <f t="shared" si="6"/>
        <v>25221.66</v>
      </c>
      <c r="J20" s="135">
        <f t="shared" si="6"/>
        <v>25221.66</v>
      </c>
      <c r="K20" s="135">
        <f t="shared" si="6"/>
        <v>0</v>
      </c>
      <c r="L20" s="135">
        <f t="shared" si="6"/>
        <v>0</v>
      </c>
      <c r="M20" s="135">
        <f t="shared" si="6"/>
        <v>0</v>
      </c>
      <c r="N20" s="135">
        <f t="shared" si="6"/>
        <v>0</v>
      </c>
      <c r="O20" s="135">
        <f>SUM(O13:O19)</f>
        <v>-2.1827872842550278E-11</v>
      </c>
    </row>
    <row r="22" spans="1:15" x14ac:dyDescent="0.25">
      <c r="A22" s="136" t="s">
        <v>529</v>
      </c>
    </row>
    <row r="23" spans="1:15" x14ac:dyDescent="0.25">
      <c r="A23" t="s">
        <v>501</v>
      </c>
      <c r="C23" s="116">
        <v>3433978</v>
      </c>
      <c r="D23" s="116">
        <f t="shared" ref="D23:N23" si="7">+C28</f>
        <v>3417022.83</v>
      </c>
      <c r="E23" s="116">
        <f t="shared" si="7"/>
        <v>3217670.3449999997</v>
      </c>
      <c r="F23" s="116">
        <f t="shared" si="7"/>
        <v>2651121.3899999997</v>
      </c>
      <c r="G23" s="116">
        <f t="shared" si="7"/>
        <v>2469819.9849999999</v>
      </c>
      <c r="H23" s="116">
        <f t="shared" si="7"/>
        <v>1791219.585</v>
      </c>
      <c r="I23" s="116">
        <f t="shared" si="7"/>
        <v>1853450.65</v>
      </c>
      <c r="J23" s="116">
        <f t="shared" si="7"/>
        <v>1298139.3499999999</v>
      </c>
      <c r="K23" s="116">
        <f t="shared" si="7"/>
        <v>569093.86499999987</v>
      </c>
      <c r="L23" s="116">
        <f t="shared" si="7"/>
        <v>2783721.6899999995</v>
      </c>
      <c r="M23" s="116">
        <f t="shared" si="7"/>
        <v>1989099.7799999998</v>
      </c>
      <c r="N23" s="116">
        <f t="shared" si="7"/>
        <v>1067551.2999999998</v>
      </c>
      <c r="O23" s="104">
        <f>+C23</f>
        <v>3433978</v>
      </c>
    </row>
    <row r="24" spans="1:15" x14ac:dyDescent="0.25">
      <c r="A24" t="s">
        <v>518</v>
      </c>
      <c r="C24" s="116">
        <f>+'Full Data'!C6</f>
        <v>0</v>
      </c>
      <c r="D24" s="116">
        <f>+'Full Data'!F6</f>
        <v>7115.9449999999997</v>
      </c>
      <c r="E24" s="116">
        <f>+'Full Data'!I6</f>
        <v>21284.884999999998</v>
      </c>
      <c r="F24" s="116">
        <f>+'Full Data'!L6</f>
        <v>39062.684999999998</v>
      </c>
      <c r="G24" s="116">
        <f>+'Full Data'!O6</f>
        <v>54915.1</v>
      </c>
      <c r="H24" s="116">
        <f>+'Full Data'!R6</f>
        <v>68422.404999999999</v>
      </c>
      <c r="I24" s="116">
        <f>+'Full Data'!U6</f>
        <v>26137.68</v>
      </c>
      <c r="J24" s="116">
        <f>+'Full Data'!X6</f>
        <v>12880.035</v>
      </c>
      <c r="K24" s="116">
        <f>+'Full Data'!AA6-0.01</f>
        <v>3432.8049999999998</v>
      </c>
      <c r="L24" s="116">
        <f>+'Full Data'!AD6</f>
        <v>3619.41</v>
      </c>
      <c r="M24" s="116">
        <f>+'Full Data'!AG6</f>
        <v>1767.85</v>
      </c>
      <c r="N24" s="116">
        <f>+'Full Data'!AJ6</f>
        <v>0</v>
      </c>
      <c r="O24" s="104">
        <f>SUM(C24:N24)</f>
        <v>238638.8</v>
      </c>
    </row>
    <row r="25" spans="1:15" x14ac:dyDescent="0.25">
      <c r="A25" t="s">
        <v>527</v>
      </c>
      <c r="C25" s="116">
        <v>0</v>
      </c>
      <c r="D25" s="116">
        <f>+'Monthly Pull Outs'!F50</f>
        <v>0</v>
      </c>
      <c r="E25" s="116">
        <f>+'Monthly Pull Outs'!G50</f>
        <v>0</v>
      </c>
      <c r="F25" s="116">
        <f>+'Monthly Pull Outs'!H50</f>
        <v>0</v>
      </c>
      <c r="G25" s="116">
        <f>+'Monthly Pull Outs'!I50</f>
        <v>0</v>
      </c>
      <c r="H25" s="116">
        <f>+'Monthly Pull Outs'!J50</f>
        <v>0</v>
      </c>
      <c r="I25" s="116">
        <v>0</v>
      </c>
      <c r="J25" s="116">
        <v>0</v>
      </c>
      <c r="K25" s="116">
        <f>288154.55+138924+432627.12+565434+730413.63+705891.15</f>
        <v>2861444.4499999997</v>
      </c>
      <c r="L25" s="116">
        <v>0</v>
      </c>
      <c r="M25" s="116">
        <f>+'Monthly Pull Outs'!T50</f>
        <v>0</v>
      </c>
      <c r="N25" s="116">
        <v>0</v>
      </c>
      <c r="O25" s="104">
        <f t="shared" ref="O25:O27" si="8">SUM(C25:N25)</f>
        <v>2861444.4499999997</v>
      </c>
    </row>
    <row r="26" spans="1:15" x14ac:dyDescent="0.25">
      <c r="A26" t="s">
        <v>551</v>
      </c>
      <c r="C26" s="116"/>
      <c r="D26" s="116"/>
      <c r="E26" s="116"/>
      <c r="F26" s="116"/>
      <c r="G26" s="116"/>
      <c r="H26" s="116"/>
      <c r="I26" s="116"/>
      <c r="J26" s="116"/>
      <c r="K26" s="116">
        <v>65000</v>
      </c>
      <c r="L26" s="116"/>
      <c r="M26" s="116"/>
      <c r="N26" s="116"/>
      <c r="O26" s="104">
        <f t="shared" si="8"/>
        <v>65000</v>
      </c>
    </row>
    <row r="27" spans="1:15" x14ac:dyDescent="0.25">
      <c r="A27" t="s">
        <v>544</v>
      </c>
      <c r="C27" s="116">
        <f>-'Monthly Pull Outs'!E20</f>
        <v>-16955.170000000002</v>
      </c>
      <c r="D27" s="116">
        <f>-'Monthly Pull Outs'!F20</f>
        <v>-206468.43</v>
      </c>
      <c r="E27" s="116">
        <f>-'Monthly Pull Outs'!G20</f>
        <v>-587833.84</v>
      </c>
      <c r="F27" s="116">
        <f>-'Monthly Pull Outs'!H20</f>
        <v>-220364.09</v>
      </c>
      <c r="G27" s="116">
        <f>-'Monthly Pull Outs'!I20</f>
        <v>-733515.5</v>
      </c>
      <c r="H27" s="116">
        <f>-'Monthly Pull Outs'!J20</f>
        <v>-6191.34</v>
      </c>
      <c r="I27" s="116">
        <f>-'Monthly Pull Outs'!K20</f>
        <v>-581448.98</v>
      </c>
      <c r="J27" s="116">
        <f>-'Monthly Pull Outs'!L20</f>
        <v>-741925.5199999999</v>
      </c>
      <c r="K27" s="116">
        <f>-'Monthly Pull Outs'!M20</f>
        <v>-715249.43</v>
      </c>
      <c r="L27" s="116">
        <f>'Monthly Pull Outs'!N22</f>
        <v>-798241.32</v>
      </c>
      <c r="M27" s="116">
        <f>'Monthly Pull Outs'!O22</f>
        <v>-923316.33</v>
      </c>
      <c r="N27" s="116">
        <f>'Monthly Pull Outs'!P22</f>
        <v>0</v>
      </c>
      <c r="O27" s="104">
        <f t="shared" si="8"/>
        <v>-5531509.9500000002</v>
      </c>
    </row>
    <row r="28" spans="1:15" x14ac:dyDescent="0.25">
      <c r="A28" t="s">
        <v>502</v>
      </c>
      <c r="C28" s="135">
        <f t="shared" ref="C28:N28" si="9">SUM(C23:C27)</f>
        <v>3417022.83</v>
      </c>
      <c r="D28" s="135">
        <f t="shared" si="9"/>
        <v>3217670.3449999997</v>
      </c>
      <c r="E28" s="135">
        <f t="shared" si="9"/>
        <v>2651121.3899999997</v>
      </c>
      <c r="F28" s="135">
        <f t="shared" si="9"/>
        <v>2469819.9849999999</v>
      </c>
      <c r="G28" s="135">
        <f t="shared" si="9"/>
        <v>1791219.585</v>
      </c>
      <c r="H28" s="135">
        <f t="shared" si="9"/>
        <v>1853450.65</v>
      </c>
      <c r="I28" s="135">
        <f t="shared" si="9"/>
        <v>1298139.3499999999</v>
      </c>
      <c r="J28" s="135">
        <f t="shared" si="9"/>
        <v>569093.86499999987</v>
      </c>
      <c r="K28" s="135">
        <f>SUM(K23:K27)</f>
        <v>2783721.6899999995</v>
      </c>
      <c r="L28" s="135">
        <f t="shared" si="9"/>
        <v>1989099.7799999998</v>
      </c>
      <c r="M28" s="135">
        <f t="shared" si="9"/>
        <v>1067551.2999999998</v>
      </c>
      <c r="N28" s="135">
        <f t="shared" si="9"/>
        <v>1067551.2999999998</v>
      </c>
      <c r="O28" s="135">
        <f>SUM(O23:O27)</f>
        <v>1067551.2999999998</v>
      </c>
    </row>
    <row r="30" spans="1:15" x14ac:dyDescent="0.25">
      <c r="A30" s="136" t="s">
        <v>530</v>
      </c>
    </row>
    <row r="31" spans="1:15" x14ac:dyDescent="0.25">
      <c r="A31" t="s">
        <v>501</v>
      </c>
      <c r="C31" s="116">
        <v>37467</v>
      </c>
      <c r="D31" s="116">
        <f t="shared" ref="D31:N31" si="10">+C35</f>
        <v>-25283.220000000016</v>
      </c>
      <c r="E31" s="116">
        <f t="shared" si="10"/>
        <v>-18779.720000000016</v>
      </c>
      <c r="F31" s="116">
        <f t="shared" si="10"/>
        <v>-14208.720000000016</v>
      </c>
      <c r="G31" s="116">
        <f t="shared" si="10"/>
        <v>59049.279999999984</v>
      </c>
      <c r="H31" s="116">
        <f t="shared" si="10"/>
        <v>116056.27999999998</v>
      </c>
      <c r="I31" s="116">
        <f t="shared" si="10"/>
        <v>118229.72999999998</v>
      </c>
      <c r="J31" s="116">
        <f t="shared" si="10"/>
        <v>14018.229999999981</v>
      </c>
      <c r="K31" s="116">
        <f t="shared" si="10"/>
        <v>14343.049999999981</v>
      </c>
      <c r="L31" s="116">
        <f t="shared" si="10"/>
        <v>0</v>
      </c>
      <c r="M31" s="116">
        <f t="shared" si="10"/>
        <v>15000</v>
      </c>
      <c r="N31" s="116">
        <f t="shared" si="10"/>
        <v>15460</v>
      </c>
      <c r="O31" s="104">
        <f>+C31</f>
        <v>37467</v>
      </c>
    </row>
    <row r="32" spans="1:15" x14ac:dyDescent="0.25">
      <c r="A32" t="s">
        <v>527</v>
      </c>
      <c r="C32" s="116">
        <f>+'Monthly Pull Outs'!E30</f>
        <v>33098.949999999997</v>
      </c>
      <c r="D32" s="116">
        <f>+'Monthly Pull Outs'!F30</f>
        <v>6503.5</v>
      </c>
      <c r="E32" s="116">
        <f>+'Monthly Pull Outs'!G30</f>
        <v>4571</v>
      </c>
      <c r="F32" s="116">
        <f>+'Monthly Pull Outs'!H30</f>
        <v>109423</v>
      </c>
      <c r="G32" s="116">
        <f>+'Monthly Pull Outs'!I30</f>
        <v>57007</v>
      </c>
      <c r="H32" s="116">
        <f>+'Monthly Pull Outs'!J30</f>
        <v>2173.4499999999998</v>
      </c>
      <c r="I32" s="116">
        <f>+'Monthly Pull Outs'!K30</f>
        <v>265</v>
      </c>
      <c r="J32" s="116">
        <f>+'Monthly Pull Outs'!L30</f>
        <v>324.82</v>
      </c>
      <c r="K32" s="116">
        <f>+'Monthly Pull Outs'!M30</f>
        <v>116.5</v>
      </c>
      <c r="L32" s="116">
        <f>+'Monthly Pull Outs'!N30</f>
        <v>15000</v>
      </c>
      <c r="M32" s="116">
        <f>+'Monthly Pull Outs'!O30</f>
        <v>460</v>
      </c>
      <c r="N32" s="116">
        <f>+'Monthly Pull Outs'!P30</f>
        <v>0</v>
      </c>
      <c r="O32" s="104">
        <f>SUM(C32:N32)</f>
        <v>228943.22000000003</v>
      </c>
    </row>
    <row r="33" spans="1:15" x14ac:dyDescent="0.25">
      <c r="A33" t="s">
        <v>548</v>
      </c>
      <c r="C33" s="116">
        <f>-'Monthly Pull Outs'!E31-C15</f>
        <v>-95849.170000000013</v>
      </c>
      <c r="D33" s="116">
        <f>-'Monthly Pull Outs'!F31-D15</f>
        <v>0</v>
      </c>
      <c r="E33" s="116">
        <f>-'Monthly Pull Outs'!G31-E15</f>
        <v>0</v>
      </c>
      <c r="F33" s="116">
        <f>-'Monthly Pull Outs'!H31-F15</f>
        <v>-36165</v>
      </c>
      <c r="G33" s="116">
        <f>-'Monthly Pull Outs'!I31-G15</f>
        <v>0</v>
      </c>
      <c r="H33" s="116">
        <f>-'Monthly Pull Outs'!J31-H15</f>
        <v>0</v>
      </c>
      <c r="I33" s="116">
        <f>-'Monthly Pull Outs'!K31-I15</f>
        <v>-104476.5</v>
      </c>
      <c r="J33" s="116">
        <v>0</v>
      </c>
      <c r="K33" s="116">
        <f>-'Monthly Pull Outs'!M31</f>
        <v>-48075</v>
      </c>
      <c r="L33" s="116">
        <f>-'Monthly Pull Outs'!S31-L15</f>
        <v>0</v>
      </c>
      <c r="M33" s="116">
        <f>-'Monthly Pull Outs'!T31-M15</f>
        <v>0</v>
      </c>
      <c r="N33" s="116">
        <f>-'Monthly Pull Outs'!U31-N15</f>
        <v>0</v>
      </c>
      <c r="O33" s="104">
        <f>SUM(C33:N33)</f>
        <v>-284565.67000000004</v>
      </c>
    </row>
    <row r="34" spans="1:15" x14ac:dyDescent="0.25">
      <c r="A34" t="s">
        <v>538</v>
      </c>
      <c r="C34" s="116">
        <v>0</v>
      </c>
      <c r="D34" s="116">
        <v>0</v>
      </c>
      <c r="E34" s="116">
        <v>0</v>
      </c>
      <c r="F34" s="116">
        <v>0</v>
      </c>
      <c r="G34" s="116">
        <v>0</v>
      </c>
      <c r="H34" s="116">
        <v>0</v>
      </c>
      <c r="I34" s="116">
        <v>0</v>
      </c>
      <c r="J34" s="116"/>
      <c r="K34" s="116">
        <v>33615.449999999997</v>
      </c>
      <c r="L34" s="116"/>
      <c r="M34" s="116"/>
      <c r="N34" s="116"/>
      <c r="O34" s="104">
        <f>SUM(C34:N34)</f>
        <v>33615.449999999997</v>
      </c>
    </row>
    <row r="35" spans="1:15" x14ac:dyDescent="0.25">
      <c r="A35" t="s">
        <v>502</v>
      </c>
      <c r="C35" s="135">
        <f t="shared" ref="C35:N35" si="11">SUM(C31:C34)</f>
        <v>-25283.220000000016</v>
      </c>
      <c r="D35" s="135">
        <f t="shared" si="11"/>
        <v>-18779.720000000016</v>
      </c>
      <c r="E35" s="135">
        <f t="shared" si="11"/>
        <v>-14208.720000000016</v>
      </c>
      <c r="F35" s="135">
        <f t="shared" si="11"/>
        <v>59049.279999999984</v>
      </c>
      <c r="G35" s="135">
        <f t="shared" si="11"/>
        <v>116056.27999999998</v>
      </c>
      <c r="H35" s="135">
        <f t="shared" si="11"/>
        <v>118229.72999999998</v>
      </c>
      <c r="I35" s="135">
        <f t="shared" si="11"/>
        <v>14018.229999999981</v>
      </c>
      <c r="J35" s="135">
        <f t="shared" si="11"/>
        <v>14343.049999999981</v>
      </c>
      <c r="K35" s="135">
        <f t="shared" si="11"/>
        <v>0</v>
      </c>
      <c r="L35" s="135">
        <f t="shared" si="11"/>
        <v>15000</v>
      </c>
      <c r="M35" s="135">
        <f t="shared" si="11"/>
        <v>15460</v>
      </c>
      <c r="N35" s="135">
        <f t="shared" si="11"/>
        <v>15460</v>
      </c>
      <c r="O35" s="135">
        <f>SUM(O31:O34)</f>
        <v>15459.999999999985</v>
      </c>
    </row>
    <row r="37" spans="1:15" x14ac:dyDescent="0.25">
      <c r="A37" s="136" t="s">
        <v>535</v>
      </c>
    </row>
    <row r="38" spans="1:15" x14ac:dyDescent="0.25">
      <c r="A38" t="s">
        <v>501</v>
      </c>
      <c r="C38" s="116">
        <v>33209</v>
      </c>
      <c r="D38" s="116">
        <f t="shared" ref="D38:N38" si="12">+C41</f>
        <v>33049</v>
      </c>
      <c r="E38" s="116">
        <f t="shared" si="12"/>
        <v>34999</v>
      </c>
      <c r="F38" s="116">
        <f t="shared" si="12"/>
        <v>38759</v>
      </c>
      <c r="G38" s="116">
        <f t="shared" si="12"/>
        <v>39979.050000000003</v>
      </c>
      <c r="H38" s="116">
        <f t="shared" si="12"/>
        <v>30939.500000000004</v>
      </c>
      <c r="I38" s="116">
        <f t="shared" si="12"/>
        <v>36091.1</v>
      </c>
      <c r="J38" s="116">
        <f t="shared" si="12"/>
        <v>36591.1</v>
      </c>
      <c r="K38" s="116">
        <f t="shared" si="12"/>
        <v>38370.39</v>
      </c>
      <c r="L38" s="116">
        <f t="shared" si="12"/>
        <v>38370.39</v>
      </c>
      <c r="M38" s="116">
        <f t="shared" si="12"/>
        <v>38370.39</v>
      </c>
      <c r="N38" s="116">
        <f t="shared" si="12"/>
        <v>38370.39</v>
      </c>
      <c r="O38" s="104">
        <f>+C38</f>
        <v>33209</v>
      </c>
    </row>
    <row r="39" spans="1:15" x14ac:dyDescent="0.25">
      <c r="A39" t="s">
        <v>540</v>
      </c>
      <c r="C39" s="116">
        <f>+'Monthly Pull Outs'!E6</f>
        <v>660</v>
      </c>
      <c r="D39" s="116">
        <f>+'Monthly Pull Outs'!F6</f>
        <v>1950</v>
      </c>
      <c r="E39" s="116">
        <f>+'Monthly Pull Outs'!G6</f>
        <v>3820</v>
      </c>
      <c r="F39" s="116">
        <f>+'Monthly Pull Outs'!H6</f>
        <v>1505</v>
      </c>
      <c r="G39" s="116">
        <f>+'Monthly Pull Outs'!I6</f>
        <v>185</v>
      </c>
      <c r="H39" s="116">
        <f>+'Monthly Pull Outs'!J6</f>
        <v>5250</v>
      </c>
      <c r="I39" s="116">
        <f>+'Monthly Pull Outs'!K6</f>
        <v>500</v>
      </c>
      <c r="J39" s="116">
        <f>+'Monthly Pull Outs'!L3</f>
        <v>1779.29</v>
      </c>
      <c r="K39" s="116">
        <v>0</v>
      </c>
      <c r="L39" s="116">
        <v>0</v>
      </c>
      <c r="M39" s="116">
        <v>0</v>
      </c>
      <c r="N39" s="116">
        <v>0</v>
      </c>
      <c r="O39" s="104">
        <f t="shared" ref="O39:O40" si="13">SUM(C39:N39)</f>
        <v>15649.29</v>
      </c>
    </row>
    <row r="40" spans="1:15" x14ac:dyDescent="0.25">
      <c r="A40" t="s">
        <v>541</v>
      </c>
      <c r="C40" s="116">
        <f>-'Monthly Pull Outs'!E7</f>
        <v>-820</v>
      </c>
      <c r="D40" s="116">
        <f>-'Monthly Pull Outs'!F7</f>
        <v>0</v>
      </c>
      <c r="E40" s="116">
        <f>-'Monthly Pull Outs'!G7</f>
        <v>-60</v>
      </c>
      <c r="F40" s="116">
        <f>-'Monthly Pull Outs'!H7</f>
        <v>-284.95</v>
      </c>
      <c r="G40" s="116">
        <f>-'Monthly Pull Outs'!I7</f>
        <v>-9224.5499999999993</v>
      </c>
      <c r="H40" s="116">
        <f>-'Monthly Pull Outs'!J7</f>
        <v>-98.4</v>
      </c>
      <c r="I40" s="116">
        <f>-'Monthly Pull Outs'!K7</f>
        <v>0</v>
      </c>
      <c r="J40" s="116">
        <v>0</v>
      </c>
      <c r="K40" s="116">
        <v>0</v>
      </c>
      <c r="L40" s="116">
        <v>0</v>
      </c>
      <c r="M40" s="116">
        <v>0</v>
      </c>
      <c r="N40" s="116">
        <v>0</v>
      </c>
      <c r="O40" s="104">
        <f t="shared" si="13"/>
        <v>-10487.9</v>
      </c>
    </row>
    <row r="41" spans="1:15" x14ac:dyDescent="0.25">
      <c r="A41" t="s">
        <v>502</v>
      </c>
      <c r="C41" s="135">
        <f t="shared" ref="C41:N41" si="14">SUM(C38:C40)</f>
        <v>33049</v>
      </c>
      <c r="D41" s="135">
        <f t="shared" si="14"/>
        <v>34999</v>
      </c>
      <c r="E41" s="135">
        <f t="shared" si="14"/>
        <v>38759</v>
      </c>
      <c r="F41" s="135">
        <f t="shared" si="14"/>
        <v>39979.050000000003</v>
      </c>
      <c r="G41" s="135">
        <f t="shared" si="14"/>
        <v>30939.500000000004</v>
      </c>
      <c r="H41" s="135">
        <f t="shared" si="14"/>
        <v>36091.1</v>
      </c>
      <c r="I41" s="135">
        <f t="shared" si="14"/>
        <v>36591.1</v>
      </c>
      <c r="J41" s="135">
        <f t="shared" si="14"/>
        <v>38370.39</v>
      </c>
      <c r="K41" s="135">
        <f t="shared" si="14"/>
        <v>38370.39</v>
      </c>
      <c r="L41" s="135">
        <f t="shared" si="14"/>
        <v>38370.39</v>
      </c>
      <c r="M41" s="135">
        <f t="shared" si="14"/>
        <v>38370.39</v>
      </c>
      <c r="N41" s="135">
        <f t="shared" si="14"/>
        <v>38370.39</v>
      </c>
      <c r="O41" s="135">
        <f>SUM(O38:O40)</f>
        <v>38370.39</v>
      </c>
    </row>
    <row r="42" spans="1:15" x14ac:dyDescent="0.25"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</row>
    <row r="43" spans="1:15" x14ac:dyDescent="0.25">
      <c r="A43" s="136" t="s">
        <v>532</v>
      </c>
    </row>
    <row r="44" spans="1:15" x14ac:dyDescent="0.25">
      <c r="A44" t="s">
        <v>501</v>
      </c>
      <c r="C44" s="116">
        <v>2899450</v>
      </c>
      <c r="D44" s="116">
        <f t="shared" ref="D44:N44" si="15">+C47</f>
        <v>2899450</v>
      </c>
      <c r="E44" s="116">
        <f t="shared" si="15"/>
        <v>2904036.25</v>
      </c>
      <c r="F44" s="116">
        <f t="shared" si="15"/>
        <v>2914209.63</v>
      </c>
      <c r="G44" s="116">
        <f t="shared" si="15"/>
        <v>2917348.46</v>
      </c>
      <c r="H44" s="116">
        <f t="shared" si="15"/>
        <v>2921576.96</v>
      </c>
      <c r="I44" s="116">
        <f t="shared" si="15"/>
        <v>2921576.96</v>
      </c>
      <c r="J44" s="116">
        <f t="shared" si="15"/>
        <v>2925539.2</v>
      </c>
      <c r="K44" s="116">
        <f t="shared" si="15"/>
        <v>2925985</v>
      </c>
      <c r="L44" s="116">
        <f t="shared" si="15"/>
        <v>2933844.9249999998</v>
      </c>
      <c r="M44" s="116">
        <f t="shared" si="15"/>
        <v>2938847.9334999998</v>
      </c>
      <c r="N44" s="116">
        <f t="shared" si="15"/>
        <v>2938847.9334999998</v>
      </c>
      <c r="O44" s="104">
        <f>+C44</f>
        <v>2899450</v>
      </c>
    </row>
    <row r="45" spans="1:15" x14ac:dyDescent="0.25">
      <c r="A45" t="s">
        <v>518</v>
      </c>
      <c r="C45" s="116">
        <v>0</v>
      </c>
      <c r="D45" s="116">
        <v>4586.25</v>
      </c>
      <c r="E45" s="116">
        <v>10173.379999999999</v>
      </c>
      <c r="F45" s="116">
        <v>3138.83</v>
      </c>
      <c r="G45" s="116">
        <v>4228.5</v>
      </c>
      <c r="H45" s="116">
        <v>0</v>
      </c>
      <c r="I45" s="116">
        <v>3962.24</v>
      </c>
      <c r="J45" s="116">
        <f>26535-I45-H45-G45-F45-E45-D45-C45</f>
        <v>445.80000000000291</v>
      </c>
      <c r="K45" s="151">
        <f>+'Full Data'!AA7</f>
        <v>7859.9250000000002</v>
      </c>
      <c r="L45" s="116">
        <f>+'Full Data'!AD7</f>
        <v>5003.0084999999999</v>
      </c>
      <c r="M45" s="116"/>
      <c r="N45" s="116"/>
      <c r="O45" s="104">
        <f>SUM(C45:N45)</f>
        <v>39397.933499999999</v>
      </c>
    </row>
    <row r="46" spans="1:15" x14ac:dyDescent="0.25">
      <c r="A46" t="s">
        <v>538</v>
      </c>
      <c r="C46" s="116">
        <v>0</v>
      </c>
      <c r="D46" s="116">
        <f>+'Monthly Pull Outs'!F64</f>
        <v>0</v>
      </c>
      <c r="E46" s="116">
        <f>+'Monthly Pull Outs'!G64</f>
        <v>0</v>
      </c>
      <c r="F46" s="116">
        <f>+'Monthly Pull Outs'!H64</f>
        <v>0</v>
      </c>
      <c r="G46" s="116">
        <f>+'Monthly Pull Outs'!I64</f>
        <v>0</v>
      </c>
      <c r="H46" s="116">
        <f>+'Monthly Pull Outs'!J64</f>
        <v>0</v>
      </c>
      <c r="I46" s="116">
        <v>0</v>
      </c>
      <c r="J46" s="116">
        <v>0</v>
      </c>
      <c r="K46" s="116">
        <v>0</v>
      </c>
      <c r="L46" s="116">
        <v>0</v>
      </c>
      <c r="M46" s="116">
        <f>+'Monthly Pull Outs'!T64</f>
        <v>0</v>
      </c>
      <c r="N46" s="116">
        <v>0</v>
      </c>
      <c r="O46" s="104">
        <f t="shared" ref="O46" si="16">SUM(C46:N46)</f>
        <v>0</v>
      </c>
    </row>
    <row r="47" spans="1:15" x14ac:dyDescent="0.25">
      <c r="A47" t="s">
        <v>502</v>
      </c>
      <c r="C47" s="135">
        <f>SUM(C44:C46)</f>
        <v>2899450</v>
      </c>
      <c r="D47" s="135">
        <f t="shared" ref="D47:N47" si="17">SUM(D44:D46)</f>
        <v>2904036.25</v>
      </c>
      <c r="E47" s="135">
        <f t="shared" si="17"/>
        <v>2914209.63</v>
      </c>
      <c r="F47" s="135">
        <f t="shared" si="17"/>
        <v>2917348.46</v>
      </c>
      <c r="G47" s="135">
        <f t="shared" si="17"/>
        <v>2921576.96</v>
      </c>
      <c r="H47" s="135">
        <f t="shared" si="17"/>
        <v>2921576.96</v>
      </c>
      <c r="I47" s="135">
        <f t="shared" si="17"/>
        <v>2925539.2</v>
      </c>
      <c r="J47" s="135">
        <f t="shared" si="17"/>
        <v>2925985</v>
      </c>
      <c r="K47" s="135">
        <f t="shared" si="17"/>
        <v>2933844.9249999998</v>
      </c>
      <c r="L47" s="135">
        <f t="shared" si="17"/>
        <v>2938847.9334999998</v>
      </c>
      <c r="M47" s="135">
        <f t="shared" si="17"/>
        <v>2938847.9334999998</v>
      </c>
      <c r="N47" s="135">
        <f t="shared" si="17"/>
        <v>2938847.9334999998</v>
      </c>
      <c r="O47" s="135">
        <f>SUM(O44:O46)</f>
        <v>2938847.9334999998</v>
      </c>
    </row>
    <row r="49" spans="1:15" x14ac:dyDescent="0.25">
      <c r="A49" s="136" t="s">
        <v>500</v>
      </c>
    </row>
    <row r="50" spans="1:15" x14ac:dyDescent="0.25">
      <c r="A50" t="s">
        <v>501</v>
      </c>
      <c r="C50" s="116">
        <v>869835</v>
      </c>
      <c r="D50" s="116">
        <f t="shared" ref="D50:N50" si="18">+C55</f>
        <v>900581.44</v>
      </c>
      <c r="E50" s="116">
        <f t="shared" si="18"/>
        <v>1196013</v>
      </c>
      <c r="F50" s="116">
        <f t="shared" si="18"/>
        <v>1594580</v>
      </c>
      <c r="G50" s="116">
        <f t="shared" si="18"/>
        <v>1481822</v>
      </c>
      <c r="H50" s="116">
        <f t="shared" si="18"/>
        <v>1661578</v>
      </c>
      <c r="I50" s="116">
        <f t="shared" si="18"/>
        <v>1618662</v>
      </c>
      <c r="J50" s="116">
        <f t="shared" si="18"/>
        <v>2183766</v>
      </c>
      <c r="K50" s="116">
        <f t="shared" si="18"/>
        <v>2019666</v>
      </c>
      <c r="L50" s="116">
        <f t="shared" si="18"/>
        <v>1906858.9</v>
      </c>
      <c r="M50" s="116">
        <f t="shared" si="18"/>
        <v>1776668.9029999999</v>
      </c>
      <c r="N50" s="116">
        <f t="shared" si="18"/>
        <v>1703404.9029999999</v>
      </c>
      <c r="O50" s="104">
        <f>+C50</f>
        <v>869835</v>
      </c>
    </row>
    <row r="51" spans="1:15" x14ac:dyDescent="0.25">
      <c r="A51" t="s">
        <v>863</v>
      </c>
      <c r="B51" t="s">
        <v>543</v>
      </c>
      <c r="C51" s="116">
        <f>-C14</f>
        <v>-30428</v>
      </c>
      <c r="D51" s="116">
        <f t="shared" ref="D51:I51" si="19">-D14</f>
        <v>0</v>
      </c>
      <c r="E51" s="116">
        <f t="shared" si="19"/>
        <v>-65000</v>
      </c>
      <c r="F51" s="116">
        <f t="shared" si="19"/>
        <v>0</v>
      </c>
      <c r="G51" s="116">
        <f t="shared" si="19"/>
        <v>0</v>
      </c>
      <c r="H51" s="116">
        <f t="shared" si="19"/>
        <v>0</v>
      </c>
      <c r="I51" s="116">
        <f t="shared" si="19"/>
        <v>0</v>
      </c>
      <c r="J51" s="116"/>
      <c r="K51" s="116">
        <f>-K19</f>
        <v>-8393.7900000000009</v>
      </c>
      <c r="L51" s="116"/>
      <c r="M51" s="116"/>
      <c r="N51" s="116"/>
      <c r="O51" s="104">
        <f t="shared" ref="O51:O52" si="20">SUM(C51:N51)</f>
        <v>-103821.79000000001</v>
      </c>
    </row>
    <row r="52" spans="1:15" x14ac:dyDescent="0.25">
      <c r="A52" t="s">
        <v>533</v>
      </c>
      <c r="C52" s="59">
        <v>61174.44</v>
      </c>
      <c r="D52" s="59">
        <f>356606-C52</f>
        <v>295431.56</v>
      </c>
      <c r="E52" s="59">
        <f>820173-D52-C52</f>
        <v>463566.99999999994</v>
      </c>
      <c r="F52" s="59">
        <f>707415-E52-D52-C52</f>
        <v>-112757.99999999994</v>
      </c>
      <c r="G52" s="59">
        <f>887171-F52-E52-D52-C52</f>
        <v>179756</v>
      </c>
      <c r="H52" s="59">
        <f>844255-G52-F52-E52-D52-C52</f>
        <v>-42915.999999999942</v>
      </c>
      <c r="I52" s="116">
        <f>1409359-H52-G52-F52-E52-D52-C52</f>
        <v>565104</v>
      </c>
      <c r="J52" s="116">
        <f>1245259-I52-H52-G52-F52-E52-D52-C52</f>
        <v>-164099.99999999994</v>
      </c>
      <c r="K52" s="116">
        <v>-104413.31</v>
      </c>
      <c r="L52" s="116">
        <f>1010655.693-1140845.69</f>
        <v>-130189.99699999997</v>
      </c>
      <c r="M52" s="116">
        <f>-74189+925</f>
        <v>-73264</v>
      </c>
      <c r="N52" s="116"/>
      <c r="O52" s="104">
        <f t="shared" si="20"/>
        <v>937391.69299999997</v>
      </c>
    </row>
    <row r="53" spans="1:15" x14ac:dyDescent="0.25">
      <c r="A53" t="s">
        <v>864</v>
      </c>
      <c r="C53" s="116">
        <v>0</v>
      </c>
      <c r="D53" s="116">
        <f>+'Monthly Pull Outs'!F71</f>
        <v>0</v>
      </c>
      <c r="E53" s="116">
        <f>+'Monthly Pull Outs'!G71</f>
        <v>0</v>
      </c>
      <c r="F53" s="116">
        <f>+'Monthly Pull Outs'!H71</f>
        <v>0</v>
      </c>
      <c r="G53" s="116">
        <f>+'Monthly Pull Outs'!I71</f>
        <v>0</v>
      </c>
      <c r="H53" s="116">
        <f>+'Monthly Pull Outs'!J71</f>
        <v>0</v>
      </c>
      <c r="I53" s="116">
        <v>0</v>
      </c>
      <c r="J53" s="116">
        <v>0</v>
      </c>
      <c r="K53" s="116">
        <v>0</v>
      </c>
      <c r="L53" s="116">
        <v>0</v>
      </c>
      <c r="M53" s="116">
        <f>+'Monthly Pull Outs'!T71</f>
        <v>0</v>
      </c>
      <c r="N53" s="116">
        <v>0</v>
      </c>
      <c r="O53" s="104">
        <f>SUM(C53:N53)</f>
        <v>0</v>
      </c>
    </row>
    <row r="54" spans="1:15" x14ac:dyDescent="0.25">
      <c r="A54" t="s">
        <v>534</v>
      </c>
      <c r="C54" s="116">
        <v>0</v>
      </c>
      <c r="D54" s="116">
        <f>-'Monthly Pull Outs'!F43</f>
        <v>0</v>
      </c>
      <c r="E54" s="116">
        <f>-'Monthly Pull Outs'!G43</f>
        <v>0</v>
      </c>
      <c r="F54" s="116">
        <f>-'Monthly Pull Outs'!H43</f>
        <v>0</v>
      </c>
      <c r="G54" s="116">
        <f>-'Monthly Pull Outs'!I43</f>
        <v>0</v>
      </c>
      <c r="H54" s="116">
        <f>-'Monthly Pull Outs'!J43</f>
        <v>0</v>
      </c>
      <c r="I54" s="116">
        <f>-'Monthly Pull Outs'!K43</f>
        <v>0</v>
      </c>
      <c r="J54" s="116">
        <v>0</v>
      </c>
      <c r="K54" s="116">
        <v>0</v>
      </c>
      <c r="L54" s="116">
        <v>0</v>
      </c>
      <c r="M54" s="116">
        <v>0</v>
      </c>
      <c r="N54" s="116">
        <v>0</v>
      </c>
      <c r="O54" s="104">
        <f>SUM(C54:N54)</f>
        <v>0</v>
      </c>
    </row>
    <row r="55" spans="1:15" x14ac:dyDescent="0.25">
      <c r="A55" t="s">
        <v>502</v>
      </c>
      <c r="C55" s="135">
        <f t="shared" ref="C55:O55" si="21">SUM(C50:C54)</f>
        <v>900581.44</v>
      </c>
      <c r="D55" s="135">
        <f t="shared" si="21"/>
        <v>1196013</v>
      </c>
      <c r="E55" s="135">
        <f t="shared" si="21"/>
        <v>1594580</v>
      </c>
      <c r="F55" s="135">
        <f t="shared" si="21"/>
        <v>1481822</v>
      </c>
      <c r="G55" s="135">
        <f t="shared" si="21"/>
        <v>1661578</v>
      </c>
      <c r="H55" s="135">
        <f t="shared" si="21"/>
        <v>1618662</v>
      </c>
      <c r="I55" s="135">
        <f t="shared" si="21"/>
        <v>2183766</v>
      </c>
      <c r="J55" s="135">
        <f t="shared" si="21"/>
        <v>2019666</v>
      </c>
      <c r="K55" s="135">
        <f t="shared" si="21"/>
        <v>1906858.9</v>
      </c>
      <c r="L55" s="135">
        <f t="shared" si="21"/>
        <v>1776668.9029999999</v>
      </c>
      <c r="M55" s="135">
        <f t="shared" si="21"/>
        <v>1703404.9029999999</v>
      </c>
      <c r="N55" s="135">
        <f t="shared" si="21"/>
        <v>1703404.9029999999</v>
      </c>
      <c r="O55" s="135">
        <f t="shared" si="21"/>
        <v>1703404.9029999999</v>
      </c>
    </row>
    <row r="57" spans="1:15" x14ac:dyDescent="0.25">
      <c r="A57" s="136" t="s">
        <v>526</v>
      </c>
    </row>
    <row r="58" spans="1:15" x14ac:dyDescent="0.25">
      <c r="A58" t="s">
        <v>501</v>
      </c>
      <c r="C58" s="116">
        <f>+C50+C44+C38+C31+C23+C6+C13</f>
        <v>8227663</v>
      </c>
      <c r="D58" s="116">
        <f t="shared" ref="D58:N58" si="22">+C66</f>
        <v>8140924.8380000005</v>
      </c>
      <c r="E58" s="116">
        <f t="shared" si="22"/>
        <v>8203176.9309999999</v>
      </c>
      <c r="F58" s="116">
        <f t="shared" si="22"/>
        <v>7962910.1939999992</v>
      </c>
      <c r="G58" s="116">
        <f t="shared" si="22"/>
        <v>7803881.6609999994</v>
      </c>
      <c r="H58" s="116">
        <f t="shared" si="22"/>
        <v>7361793.227</v>
      </c>
      <c r="I58" s="116">
        <f t="shared" si="22"/>
        <v>7377884.0280000009</v>
      </c>
      <c r="J58" s="116">
        <f t="shared" si="22"/>
        <v>7296908.5360000012</v>
      </c>
      <c r="K58" s="116">
        <f t="shared" si="22"/>
        <v>6379341.0890000015</v>
      </c>
      <c r="L58" s="116">
        <f t="shared" si="22"/>
        <v>8366589.0950000016</v>
      </c>
      <c r="M58" s="116">
        <f t="shared" si="22"/>
        <v>7467160.3505000025</v>
      </c>
      <c r="N58" s="116">
        <f t="shared" si="22"/>
        <v>6477139.1465000026</v>
      </c>
      <c r="O58" s="104">
        <f>+C58</f>
        <v>8227663</v>
      </c>
    </row>
    <row r="59" spans="1:15" x14ac:dyDescent="0.25">
      <c r="A59" t="s">
        <v>537</v>
      </c>
      <c r="C59" s="59">
        <f t="shared" ref="C59:N59" si="23">+C45+C24+C17+C7</f>
        <v>7234.3780000000006</v>
      </c>
      <c r="D59" s="59">
        <f t="shared" si="23"/>
        <v>25029.873</v>
      </c>
      <c r="E59" s="59">
        <f t="shared" si="23"/>
        <v>41397.832999999999</v>
      </c>
      <c r="F59" s="59">
        <f t="shared" si="23"/>
        <v>45972.006999999998</v>
      </c>
      <c r="G59" s="59">
        <f t="shared" si="23"/>
        <v>63768.125999999997</v>
      </c>
      <c r="H59" s="59">
        <f t="shared" si="23"/>
        <v>83411.781000000003</v>
      </c>
      <c r="I59" s="59">
        <f t="shared" si="23"/>
        <v>45260.648000000001</v>
      </c>
      <c r="J59" s="59">
        <f t="shared" si="23"/>
        <v>22516.023000000001</v>
      </c>
      <c r="K59" s="59">
        <f>+K45+K24+K7</f>
        <v>21740.366000000002</v>
      </c>
      <c r="L59" s="59">
        <f t="shared" si="23"/>
        <v>21786.2925</v>
      </c>
      <c r="M59" s="59">
        <f t="shared" si="23"/>
        <v>10157.656000000001</v>
      </c>
      <c r="N59" s="59">
        <f t="shared" si="23"/>
        <v>0</v>
      </c>
      <c r="O59" s="104">
        <f>SUM(C59:N59)</f>
        <v>388274.98349999997</v>
      </c>
    </row>
    <row r="60" spans="1:15" x14ac:dyDescent="0.25">
      <c r="A60" t="s">
        <v>531</v>
      </c>
      <c r="C60" s="59">
        <f>+C51+C14</f>
        <v>0</v>
      </c>
      <c r="D60" s="59">
        <f t="shared" ref="D60:N60" si="24">+D51+D14</f>
        <v>0</v>
      </c>
      <c r="E60" s="59">
        <f t="shared" si="24"/>
        <v>0</v>
      </c>
      <c r="F60" s="59">
        <f t="shared" si="24"/>
        <v>0</v>
      </c>
      <c r="G60" s="59">
        <f t="shared" si="24"/>
        <v>0</v>
      </c>
      <c r="H60" s="59">
        <f t="shared" si="24"/>
        <v>0</v>
      </c>
      <c r="I60" s="59">
        <f t="shared" si="24"/>
        <v>0</v>
      </c>
      <c r="J60" s="59">
        <f t="shared" si="24"/>
        <v>0</v>
      </c>
      <c r="K60" s="59">
        <f>K14</f>
        <v>0</v>
      </c>
      <c r="L60" s="59">
        <f t="shared" si="24"/>
        <v>0</v>
      </c>
      <c r="M60" s="59">
        <f t="shared" si="24"/>
        <v>0</v>
      </c>
      <c r="N60" s="59">
        <f t="shared" si="24"/>
        <v>0</v>
      </c>
      <c r="O60" s="104">
        <f t="shared" ref="O60:O61" si="25">SUM(C60:N60)</f>
        <v>0</v>
      </c>
    </row>
    <row r="61" spans="1:15" x14ac:dyDescent="0.25">
      <c r="A61" t="s">
        <v>542</v>
      </c>
      <c r="C61" s="59">
        <f>+C33+C15+C16</f>
        <v>-167499.17000000001</v>
      </c>
      <c r="D61" s="59">
        <f t="shared" ref="D61:N61" si="26">+D33+D15+D16</f>
        <v>-41910.33</v>
      </c>
      <c r="E61" s="59">
        <f t="shared" si="26"/>
        <v>-50000</v>
      </c>
      <c r="F61" s="59">
        <f t="shared" si="26"/>
        <v>-36165</v>
      </c>
      <c r="G61" s="59">
        <f t="shared" si="26"/>
        <v>0</v>
      </c>
      <c r="H61" s="59">
        <f t="shared" si="26"/>
        <v>-18698.009999999998</v>
      </c>
      <c r="I61" s="59">
        <f t="shared" si="26"/>
        <v>-104476.5</v>
      </c>
      <c r="J61" s="59">
        <f t="shared" si="26"/>
        <v>0</v>
      </c>
      <c r="K61" s="59">
        <f t="shared" si="26"/>
        <v>-48075</v>
      </c>
      <c r="L61" s="59">
        <f t="shared" si="26"/>
        <v>0</v>
      </c>
      <c r="M61" s="59">
        <f t="shared" si="26"/>
        <v>0</v>
      </c>
      <c r="N61" s="59">
        <f t="shared" si="26"/>
        <v>0</v>
      </c>
      <c r="O61" s="104">
        <f t="shared" si="25"/>
        <v>-466824.01</v>
      </c>
    </row>
    <row r="62" spans="1:15" x14ac:dyDescent="0.25">
      <c r="A62" t="s">
        <v>540</v>
      </c>
      <c r="C62" s="59">
        <f>+C8+C25+C32+C39+C26</f>
        <v>33758.949999999997</v>
      </c>
      <c r="D62" s="59">
        <f t="shared" ref="D62:O62" si="27">+D8+D25+D32+D39+D26</f>
        <v>8453.5</v>
      </c>
      <c r="E62" s="59">
        <f t="shared" si="27"/>
        <v>8391</v>
      </c>
      <c r="F62" s="59">
        <f t="shared" si="27"/>
        <v>164679.5</v>
      </c>
      <c r="G62" s="59">
        <f t="shared" si="27"/>
        <v>57192</v>
      </c>
      <c r="H62" s="59">
        <f t="shared" si="27"/>
        <v>7423.45</v>
      </c>
      <c r="I62" s="59">
        <f t="shared" si="27"/>
        <v>765</v>
      </c>
      <c r="J62" s="59">
        <f t="shared" si="27"/>
        <v>2104.11</v>
      </c>
      <c r="K62" s="59">
        <f t="shared" si="27"/>
        <v>2926560.9499999997</v>
      </c>
      <c r="L62" s="59">
        <f t="shared" si="27"/>
        <v>15000</v>
      </c>
      <c r="M62" s="59">
        <f t="shared" si="27"/>
        <v>460</v>
      </c>
      <c r="N62" s="59">
        <f t="shared" si="27"/>
        <v>0</v>
      </c>
      <c r="O62" s="59">
        <f t="shared" si="27"/>
        <v>3224788.46</v>
      </c>
    </row>
    <row r="63" spans="1:15" x14ac:dyDescent="0.25">
      <c r="A63" t="s">
        <v>544</v>
      </c>
      <c r="C63" s="59">
        <f t="shared" ref="C63:N63" si="28">+C9+C27+C40</f>
        <v>-21406.760000000002</v>
      </c>
      <c r="D63" s="59">
        <f t="shared" si="28"/>
        <v>-224752.51</v>
      </c>
      <c r="E63" s="59">
        <f t="shared" si="28"/>
        <v>-703622.57</v>
      </c>
      <c r="F63" s="59">
        <f t="shared" si="28"/>
        <v>-220757.04</v>
      </c>
      <c r="G63" s="59">
        <f t="shared" si="28"/>
        <v>-742804.56</v>
      </c>
      <c r="H63" s="59">
        <f t="shared" si="28"/>
        <v>-13130.42</v>
      </c>
      <c r="I63" s="59">
        <f t="shared" si="28"/>
        <v>-587628.64</v>
      </c>
      <c r="J63" s="59">
        <f t="shared" si="28"/>
        <v>-778087.57999999984</v>
      </c>
      <c r="K63" s="59">
        <f t="shared" si="28"/>
        <v>-808565</v>
      </c>
      <c r="L63" s="59">
        <f t="shared" si="28"/>
        <v>-806025.03999999992</v>
      </c>
      <c r="M63" s="59">
        <f t="shared" si="28"/>
        <v>-927374.86</v>
      </c>
      <c r="N63" s="59">
        <f t="shared" si="28"/>
        <v>0</v>
      </c>
      <c r="O63" s="104">
        <f t="shared" ref="O63:O64" si="29">SUM(C63:N63)</f>
        <v>-5834154.9800000004</v>
      </c>
    </row>
    <row r="64" spans="1:15" x14ac:dyDescent="0.25">
      <c r="A64" t="s">
        <v>533</v>
      </c>
      <c r="C64" s="116">
        <f t="shared" ref="C64:N64" si="30">+C52</f>
        <v>61174.44</v>
      </c>
      <c r="D64" s="116">
        <f t="shared" si="30"/>
        <v>295431.56</v>
      </c>
      <c r="E64" s="116">
        <f t="shared" si="30"/>
        <v>463566.99999999994</v>
      </c>
      <c r="F64" s="116">
        <f t="shared" si="30"/>
        <v>-112757.99999999994</v>
      </c>
      <c r="G64" s="116">
        <f t="shared" si="30"/>
        <v>179756</v>
      </c>
      <c r="H64" s="116">
        <f t="shared" si="30"/>
        <v>-42915.999999999942</v>
      </c>
      <c r="I64" s="116">
        <f t="shared" si="30"/>
        <v>565104</v>
      </c>
      <c r="J64" s="116">
        <f t="shared" si="30"/>
        <v>-164099.99999999994</v>
      </c>
      <c r="K64" s="116">
        <f t="shared" si="30"/>
        <v>-104413.31</v>
      </c>
      <c r="L64" s="116">
        <f t="shared" si="30"/>
        <v>-130189.99699999997</v>
      </c>
      <c r="M64" s="116">
        <f t="shared" si="30"/>
        <v>-73264</v>
      </c>
      <c r="N64" s="116">
        <f t="shared" si="30"/>
        <v>0</v>
      </c>
      <c r="O64" s="104">
        <f t="shared" si="29"/>
        <v>937391.69299999997</v>
      </c>
    </row>
    <row r="65" spans="1:15" x14ac:dyDescent="0.25">
      <c r="C65" s="116"/>
      <c r="D65" s="116">
        <f>-'Monthly Pull Outs'!F50</f>
        <v>0</v>
      </c>
      <c r="E65" s="116">
        <f>-'Monthly Pull Outs'!G50</f>
        <v>0</v>
      </c>
      <c r="F65" s="116">
        <f>-'Monthly Pull Outs'!H50</f>
        <v>0</v>
      </c>
      <c r="G65" s="116">
        <f>-'Monthly Pull Outs'!I50</f>
        <v>0</v>
      </c>
      <c r="H65" s="116">
        <f>-'Monthly Pull Outs'!J50</f>
        <v>0</v>
      </c>
      <c r="I65" s="116">
        <f>-'Monthly Pull Outs'!K50</f>
        <v>0</v>
      </c>
      <c r="J65" s="116">
        <v>0</v>
      </c>
      <c r="K65" s="116">
        <v>0</v>
      </c>
      <c r="L65" s="116">
        <v>0</v>
      </c>
      <c r="M65" s="116">
        <v>0</v>
      </c>
      <c r="N65" s="116">
        <v>0</v>
      </c>
      <c r="O65" s="104">
        <f t="shared" ref="O65" si="31">SUM(C65:N65)</f>
        <v>0</v>
      </c>
    </row>
    <row r="66" spans="1:15" x14ac:dyDescent="0.25">
      <c r="A66" t="s">
        <v>502</v>
      </c>
      <c r="C66" s="135">
        <f t="shared" ref="C66:O66" si="32">SUM(C58:C65)</f>
        <v>8140924.8380000005</v>
      </c>
      <c r="D66" s="135">
        <f t="shared" si="32"/>
        <v>8203176.9309999999</v>
      </c>
      <c r="E66" s="135">
        <f t="shared" si="32"/>
        <v>7962910.1939999992</v>
      </c>
      <c r="F66" s="135">
        <f t="shared" si="32"/>
        <v>7803881.6609999994</v>
      </c>
      <c r="G66" s="135">
        <f t="shared" si="32"/>
        <v>7361793.227</v>
      </c>
      <c r="H66" s="135">
        <f t="shared" si="32"/>
        <v>7377884.0280000009</v>
      </c>
      <c r="I66" s="135">
        <f t="shared" si="32"/>
        <v>7296908.5360000012</v>
      </c>
      <c r="J66" s="135">
        <f t="shared" si="32"/>
        <v>6379341.0890000015</v>
      </c>
      <c r="K66" s="135">
        <f t="shared" si="32"/>
        <v>8366589.0950000016</v>
      </c>
      <c r="L66" s="135">
        <f t="shared" si="32"/>
        <v>7467160.3505000025</v>
      </c>
      <c r="M66" s="135">
        <f t="shared" si="32"/>
        <v>6477139.1465000026</v>
      </c>
      <c r="N66" s="135">
        <f t="shared" si="32"/>
        <v>6477139.1465000026</v>
      </c>
      <c r="O66" s="135">
        <f t="shared" si="32"/>
        <v>6477139.1464999989</v>
      </c>
    </row>
    <row r="67" spans="1:15" x14ac:dyDescent="0.25">
      <c r="A67" s="115" t="s">
        <v>539</v>
      </c>
      <c r="C67" s="104">
        <f t="shared" ref="C67:O67" si="33">+C10+C20+C28+C35+C41+C47+C55-C66</f>
        <v>0</v>
      </c>
      <c r="D67" s="104">
        <f t="shared" si="33"/>
        <v>0</v>
      </c>
      <c r="E67" s="104">
        <f t="shared" si="33"/>
        <v>0</v>
      </c>
      <c r="F67" s="104">
        <f t="shared" si="33"/>
        <v>0</v>
      </c>
      <c r="G67" s="104">
        <f t="shared" si="33"/>
        <v>0</v>
      </c>
      <c r="H67" s="104">
        <f t="shared" si="33"/>
        <v>0</v>
      </c>
      <c r="I67" s="104">
        <f t="shared" si="33"/>
        <v>0</v>
      </c>
      <c r="J67" s="104">
        <f t="shared" si="33"/>
        <v>0</v>
      </c>
      <c r="K67" s="104">
        <f t="shared" si="33"/>
        <v>0</v>
      </c>
      <c r="L67" s="104">
        <f t="shared" si="33"/>
        <v>0</v>
      </c>
      <c r="M67" s="104">
        <f t="shared" si="33"/>
        <v>0</v>
      </c>
      <c r="N67" s="104">
        <f t="shared" si="33"/>
        <v>0</v>
      </c>
      <c r="O67" s="104">
        <f t="shared" si="33"/>
        <v>0</v>
      </c>
    </row>
    <row r="68" spans="1:15" x14ac:dyDescent="0.25">
      <c r="A68" t="s">
        <v>536</v>
      </c>
    </row>
    <row r="69" spans="1:15" x14ac:dyDescent="0.25">
      <c r="A69" t="s">
        <v>816</v>
      </c>
    </row>
  </sheetData>
  <phoneticPr fontId="16" type="noConversion"/>
  <pageMargins left="0.2" right="0.2" top="0.5" bottom="0.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74C2-D802-4A27-B407-38B29CC21E6F}">
  <dimension ref="A1:F235"/>
  <sheetViews>
    <sheetView workbookViewId="0"/>
  </sheetViews>
  <sheetFormatPr defaultColWidth="9.140625" defaultRowHeight="15" x14ac:dyDescent="0.25"/>
  <cols>
    <col min="1" max="1" width="9" style="139" bestFit="1" customWidth="1"/>
    <col min="2" max="2" width="44.7109375" style="139" bestFit="1" customWidth="1"/>
    <col min="3" max="3" width="49.85546875" style="139" customWidth="1"/>
    <col min="4" max="4" width="13.28515625" style="140" bestFit="1" customWidth="1"/>
    <col min="5" max="5" width="37.28515625" style="139" bestFit="1" customWidth="1"/>
    <col min="6" max="6" width="9.5703125" style="139" bestFit="1" customWidth="1"/>
    <col min="7" max="16384" width="9.140625" style="139"/>
  </cols>
  <sheetData>
    <row r="1" spans="1:6" x14ac:dyDescent="0.25">
      <c r="A1" s="139">
        <v>6012700</v>
      </c>
      <c r="B1" s="139" t="s">
        <v>552</v>
      </c>
    </row>
    <row r="2" spans="1:6" x14ac:dyDescent="0.25">
      <c r="A2" s="141" t="s">
        <v>553</v>
      </c>
      <c r="B2" s="141" t="s">
        <v>554</v>
      </c>
      <c r="C2" s="141" t="s">
        <v>364</v>
      </c>
      <c r="D2" s="142" t="s">
        <v>555</v>
      </c>
      <c r="E2" s="141" t="s">
        <v>556</v>
      </c>
    </row>
    <row r="3" spans="1:6" x14ac:dyDescent="0.25">
      <c r="A3" s="139" t="s">
        <v>557</v>
      </c>
      <c r="B3" s="139" t="s">
        <v>558</v>
      </c>
      <c r="C3" s="139" t="s">
        <v>559</v>
      </c>
      <c r="D3" s="140">
        <v>3088.5</v>
      </c>
      <c r="E3" s="139" t="s">
        <v>560</v>
      </c>
    </row>
    <row r="4" spans="1:6" x14ac:dyDescent="0.25">
      <c r="A4" s="139" t="s">
        <v>561</v>
      </c>
      <c r="B4" s="139" t="s">
        <v>562</v>
      </c>
      <c r="C4" s="139" t="s">
        <v>563</v>
      </c>
      <c r="D4" s="140">
        <v>12500</v>
      </c>
      <c r="E4" s="139" t="s">
        <v>560</v>
      </c>
    </row>
    <row r="5" spans="1:6" x14ac:dyDescent="0.25">
      <c r="A5" s="139" t="s">
        <v>564</v>
      </c>
      <c r="B5" s="139" t="s">
        <v>565</v>
      </c>
      <c r="C5" s="139" t="s">
        <v>566</v>
      </c>
      <c r="D5" s="140">
        <v>2391</v>
      </c>
      <c r="E5" s="139" t="s">
        <v>560</v>
      </c>
    </row>
    <row r="6" spans="1:6" x14ac:dyDescent="0.25">
      <c r="A6" s="139" t="s">
        <v>567</v>
      </c>
      <c r="B6" s="139" t="s">
        <v>568</v>
      </c>
      <c r="C6" s="139" t="s">
        <v>569</v>
      </c>
      <c r="D6" s="140">
        <v>5425</v>
      </c>
      <c r="E6" s="139" t="s">
        <v>19</v>
      </c>
    </row>
    <row r="7" spans="1:6" x14ac:dyDescent="0.25">
      <c r="A7" s="139" t="s">
        <v>570</v>
      </c>
      <c r="B7" s="139" t="s">
        <v>571</v>
      </c>
      <c r="C7" s="139" t="s">
        <v>572</v>
      </c>
      <c r="D7" s="140">
        <v>900</v>
      </c>
      <c r="E7" s="143"/>
    </row>
    <row r="8" spans="1:6" x14ac:dyDescent="0.25">
      <c r="A8" s="139" t="s">
        <v>823</v>
      </c>
      <c r="B8" s="139" t="s">
        <v>562</v>
      </c>
      <c r="C8" s="139" t="s">
        <v>563</v>
      </c>
      <c r="D8" s="140">
        <v>32710</v>
      </c>
      <c r="E8" s="139" t="s">
        <v>824</v>
      </c>
    </row>
    <row r="9" spans="1:6" x14ac:dyDescent="0.25">
      <c r="A9" s="139" t="s">
        <v>840</v>
      </c>
      <c r="B9" s="139" t="s">
        <v>562</v>
      </c>
      <c r="C9" s="139" t="s">
        <v>856</v>
      </c>
      <c r="D9" s="140">
        <v>522.5</v>
      </c>
      <c r="E9" s="143"/>
    </row>
    <row r="10" spans="1:6" x14ac:dyDescent="0.25">
      <c r="A10" s="139" t="s">
        <v>849</v>
      </c>
      <c r="B10" s="139" t="s">
        <v>857</v>
      </c>
      <c r="C10" s="139" t="s">
        <v>858</v>
      </c>
      <c r="D10" s="140">
        <v>16500</v>
      </c>
      <c r="E10" s="139" t="s">
        <v>19</v>
      </c>
    </row>
    <row r="11" spans="1:6" x14ac:dyDescent="0.25">
      <c r="A11" s="139" t="s">
        <v>842</v>
      </c>
      <c r="B11" s="139" t="s">
        <v>593</v>
      </c>
      <c r="C11" s="139" t="s">
        <v>859</v>
      </c>
      <c r="D11" s="140">
        <v>143.77000000000001</v>
      </c>
      <c r="E11" s="143"/>
    </row>
    <row r="13" spans="1:6" x14ac:dyDescent="0.25">
      <c r="D13" s="140">
        <f>SUM(D3:D12)</f>
        <v>74180.77</v>
      </c>
      <c r="F13" s="155">
        <f>81581.4-D13</f>
        <v>7400.6299999999901</v>
      </c>
    </row>
    <row r="15" spans="1:6" x14ac:dyDescent="0.25">
      <c r="A15" s="139">
        <v>6012725</v>
      </c>
      <c r="B15" s="139" t="s">
        <v>398</v>
      </c>
    </row>
    <row r="16" spans="1:6" x14ac:dyDescent="0.25">
      <c r="A16" s="141" t="s">
        <v>553</v>
      </c>
      <c r="B16" s="141" t="s">
        <v>554</v>
      </c>
      <c r="C16" s="141" t="s">
        <v>364</v>
      </c>
      <c r="D16" s="142" t="s">
        <v>555</v>
      </c>
      <c r="E16" s="141" t="s">
        <v>556</v>
      </c>
    </row>
    <row r="17" spans="1:5" x14ac:dyDescent="0.25">
      <c r="A17" s="139" t="s">
        <v>573</v>
      </c>
      <c r="B17" s="139" t="s">
        <v>574</v>
      </c>
      <c r="C17" s="139" t="s">
        <v>575</v>
      </c>
      <c r="D17" s="140">
        <v>836.33</v>
      </c>
      <c r="E17" s="139" t="s">
        <v>576</v>
      </c>
    </row>
    <row r="18" spans="1:5" x14ac:dyDescent="0.25">
      <c r="A18" s="139" t="s">
        <v>577</v>
      </c>
      <c r="B18" s="139" t="s">
        <v>574</v>
      </c>
      <c r="C18" s="139" t="s">
        <v>575</v>
      </c>
      <c r="D18" s="140">
        <v>836.33</v>
      </c>
      <c r="E18" s="139" t="s">
        <v>576</v>
      </c>
    </row>
    <row r="19" spans="1:5" x14ac:dyDescent="0.25">
      <c r="A19" s="139" t="s">
        <v>578</v>
      </c>
      <c r="B19" s="139" t="s">
        <v>574</v>
      </c>
      <c r="C19" s="139" t="s">
        <v>575</v>
      </c>
      <c r="D19" s="140">
        <v>836.33</v>
      </c>
      <c r="E19" s="139" t="s">
        <v>576</v>
      </c>
    </row>
    <row r="20" spans="1:5" x14ac:dyDescent="0.25">
      <c r="A20" s="139" t="s">
        <v>579</v>
      </c>
      <c r="B20" s="139" t="s">
        <v>574</v>
      </c>
      <c r="C20" s="139" t="s">
        <v>575</v>
      </c>
      <c r="D20" s="140">
        <v>836.33</v>
      </c>
      <c r="E20" s="139" t="s">
        <v>576</v>
      </c>
    </row>
    <row r="21" spans="1:5" x14ac:dyDescent="0.25">
      <c r="A21" s="139" t="s">
        <v>580</v>
      </c>
      <c r="B21" s="139" t="s">
        <v>574</v>
      </c>
      <c r="C21" s="139" t="s">
        <v>575</v>
      </c>
      <c r="D21" s="140">
        <v>836.33</v>
      </c>
      <c r="E21" s="139" t="s">
        <v>576</v>
      </c>
    </row>
    <row r="22" spans="1:5" x14ac:dyDescent="0.25">
      <c r="A22" s="139" t="s">
        <v>581</v>
      </c>
      <c r="B22" s="139" t="s">
        <v>574</v>
      </c>
      <c r="C22" s="139" t="s">
        <v>575</v>
      </c>
      <c r="D22" s="140">
        <v>836.33</v>
      </c>
      <c r="E22" s="139" t="s">
        <v>576</v>
      </c>
    </row>
    <row r="23" spans="1:5" x14ac:dyDescent="0.25">
      <c r="A23" s="139" t="s">
        <v>582</v>
      </c>
      <c r="B23" s="139" t="s">
        <v>574</v>
      </c>
      <c r="C23" s="139" t="s">
        <v>575</v>
      </c>
      <c r="D23" s="140">
        <v>836.33</v>
      </c>
      <c r="E23" s="139" t="s">
        <v>576</v>
      </c>
    </row>
    <row r="24" spans="1:5" x14ac:dyDescent="0.25">
      <c r="A24" s="139" t="s">
        <v>825</v>
      </c>
      <c r="B24" s="139" t="s">
        <v>574</v>
      </c>
      <c r="C24" s="139" t="s">
        <v>575</v>
      </c>
      <c r="D24" s="140">
        <v>836.33</v>
      </c>
      <c r="E24" s="139" t="s">
        <v>576</v>
      </c>
    </row>
    <row r="25" spans="1:5" x14ac:dyDescent="0.25">
      <c r="A25" s="139" t="s">
        <v>854</v>
      </c>
      <c r="B25" s="139" t="s">
        <v>574</v>
      </c>
      <c r="C25" s="139" t="s">
        <v>575</v>
      </c>
      <c r="D25" s="140">
        <v>836.33</v>
      </c>
      <c r="E25" s="139" t="s">
        <v>576</v>
      </c>
    </row>
    <row r="26" spans="1:5" x14ac:dyDescent="0.25">
      <c r="A26" s="139" t="s">
        <v>855</v>
      </c>
      <c r="B26" s="139" t="s">
        <v>574</v>
      </c>
      <c r="C26" s="139" t="s">
        <v>575</v>
      </c>
      <c r="D26" s="140">
        <v>836.33</v>
      </c>
      <c r="E26" s="139" t="s">
        <v>576</v>
      </c>
    </row>
    <row r="28" spans="1:5" x14ac:dyDescent="0.25">
      <c r="D28" s="140">
        <f>SUM(D17:D27)</f>
        <v>8363.3000000000011</v>
      </c>
    </row>
    <row r="30" spans="1:5" x14ac:dyDescent="0.25">
      <c r="A30" s="139">
        <v>6012750</v>
      </c>
      <c r="B30" s="139" t="s">
        <v>373</v>
      </c>
    </row>
    <row r="31" spans="1:5" x14ac:dyDescent="0.25">
      <c r="A31" s="141" t="s">
        <v>553</v>
      </c>
      <c r="B31" s="141" t="s">
        <v>554</v>
      </c>
      <c r="C31" s="141" t="s">
        <v>364</v>
      </c>
      <c r="D31" s="142" t="s">
        <v>555</v>
      </c>
      <c r="E31" s="141" t="s">
        <v>556</v>
      </c>
    </row>
    <row r="32" spans="1:5" x14ac:dyDescent="0.25">
      <c r="A32" s="139" t="s">
        <v>583</v>
      </c>
      <c r="B32" s="139" t="s">
        <v>584</v>
      </c>
      <c r="C32" s="139" t="s">
        <v>585</v>
      </c>
      <c r="D32" s="140">
        <f>2571.44-775.16</f>
        <v>1796.2800000000002</v>
      </c>
      <c r="E32" s="139" t="s">
        <v>560</v>
      </c>
    </row>
    <row r="33" spans="1:5" x14ac:dyDescent="0.25">
      <c r="A33" s="139" t="s">
        <v>586</v>
      </c>
      <c r="B33" s="139" t="s">
        <v>558</v>
      </c>
      <c r="C33" s="139" t="s">
        <v>587</v>
      </c>
      <c r="D33" s="140">
        <v>1595</v>
      </c>
      <c r="E33" s="139" t="s">
        <v>560</v>
      </c>
    </row>
    <row r="34" spans="1:5" x14ac:dyDescent="0.25">
      <c r="A34" s="139" t="s">
        <v>588</v>
      </c>
      <c r="B34" s="139" t="s">
        <v>558</v>
      </c>
      <c r="C34" s="139" t="s">
        <v>587</v>
      </c>
      <c r="D34" s="140">
        <v>17374.77</v>
      </c>
      <c r="E34" s="139" t="s">
        <v>560</v>
      </c>
    </row>
    <row r="35" spans="1:5" x14ac:dyDescent="0.25">
      <c r="A35" s="139" t="s">
        <v>589</v>
      </c>
      <c r="B35" s="139" t="s">
        <v>590</v>
      </c>
      <c r="C35" s="139" t="s">
        <v>587</v>
      </c>
      <c r="D35" s="140">
        <v>100133.75</v>
      </c>
      <c r="E35" s="139" t="s">
        <v>560</v>
      </c>
    </row>
    <row r="36" spans="1:5" x14ac:dyDescent="0.25">
      <c r="A36" s="139" t="s">
        <v>591</v>
      </c>
      <c r="B36" s="139" t="s">
        <v>558</v>
      </c>
      <c r="C36" s="139" t="s">
        <v>585</v>
      </c>
      <c r="D36" s="140">
        <v>570</v>
      </c>
      <c r="E36" s="139" t="s">
        <v>560</v>
      </c>
    </row>
    <row r="37" spans="1:5" x14ac:dyDescent="0.25">
      <c r="A37" s="139" t="s">
        <v>582</v>
      </c>
      <c r="B37" s="139" t="s">
        <v>558</v>
      </c>
      <c r="C37" s="139" t="s">
        <v>585</v>
      </c>
      <c r="D37" s="140">
        <v>2343.75</v>
      </c>
      <c r="E37" s="139" t="s">
        <v>560</v>
      </c>
    </row>
    <row r="38" spans="1:5" x14ac:dyDescent="0.25">
      <c r="A38" s="139" t="s">
        <v>592</v>
      </c>
      <c r="B38" s="139" t="s">
        <v>593</v>
      </c>
      <c r="C38" s="139" t="s">
        <v>594</v>
      </c>
      <c r="D38" s="140">
        <f>854.7-20.7</f>
        <v>834</v>
      </c>
      <c r="E38" s="139" t="s">
        <v>560</v>
      </c>
    </row>
    <row r="39" spans="1:5" x14ac:dyDescent="0.25">
      <c r="A39" s="139" t="s">
        <v>595</v>
      </c>
      <c r="B39" s="139" t="s">
        <v>593</v>
      </c>
      <c r="C39" s="139" t="s">
        <v>594</v>
      </c>
      <c r="D39" s="140">
        <v>195.16</v>
      </c>
      <c r="E39" s="139" t="s">
        <v>560</v>
      </c>
    </row>
    <row r="40" spans="1:5" x14ac:dyDescent="0.25">
      <c r="A40" s="139" t="s">
        <v>596</v>
      </c>
      <c r="B40" s="139" t="s">
        <v>597</v>
      </c>
      <c r="C40" s="139" t="s">
        <v>594</v>
      </c>
      <c r="D40" s="140">
        <v>98.19</v>
      </c>
      <c r="E40" s="139" t="s">
        <v>560</v>
      </c>
    </row>
    <row r="41" spans="1:5" x14ac:dyDescent="0.25">
      <c r="A41" s="139" t="s">
        <v>823</v>
      </c>
      <c r="B41" s="139" t="s">
        <v>607</v>
      </c>
      <c r="C41" s="139" t="s">
        <v>594</v>
      </c>
      <c r="D41" s="140">
        <v>34.94</v>
      </c>
      <c r="E41" s="139" t="s">
        <v>560</v>
      </c>
    </row>
    <row r="42" spans="1:5" x14ac:dyDescent="0.25">
      <c r="A42" s="139" t="s">
        <v>823</v>
      </c>
      <c r="B42" s="139" t="s">
        <v>607</v>
      </c>
      <c r="C42" s="139" t="s">
        <v>594</v>
      </c>
      <c r="D42" s="140">
        <v>14.96</v>
      </c>
      <c r="E42" s="139" t="s">
        <v>560</v>
      </c>
    </row>
    <row r="43" spans="1:5" x14ac:dyDescent="0.25">
      <c r="A43" s="139" t="s">
        <v>823</v>
      </c>
      <c r="B43" s="139" t="s">
        <v>607</v>
      </c>
      <c r="C43" s="139" t="s">
        <v>594</v>
      </c>
      <c r="D43" s="140">
        <v>57.92</v>
      </c>
      <c r="E43" s="139" t="s">
        <v>560</v>
      </c>
    </row>
    <row r="44" spans="1:5" x14ac:dyDescent="0.25">
      <c r="A44" s="139" t="s">
        <v>826</v>
      </c>
      <c r="B44" s="139" t="s">
        <v>558</v>
      </c>
      <c r="C44" s="139" t="s">
        <v>585</v>
      </c>
      <c r="D44" s="140">
        <v>1521.35</v>
      </c>
      <c r="E44" s="139" t="s">
        <v>560</v>
      </c>
    </row>
    <row r="45" spans="1:5" x14ac:dyDescent="0.25">
      <c r="A45" s="139" t="s">
        <v>827</v>
      </c>
      <c r="B45" s="139" t="s">
        <v>593</v>
      </c>
      <c r="C45" s="139" t="s">
        <v>594</v>
      </c>
      <c r="D45" s="140">
        <v>858.2</v>
      </c>
      <c r="E45" s="139" t="s">
        <v>560</v>
      </c>
    </row>
    <row r="46" spans="1:5" x14ac:dyDescent="0.25">
      <c r="A46" s="139" t="s">
        <v>828</v>
      </c>
      <c r="B46" s="139" t="s">
        <v>593</v>
      </c>
      <c r="C46" s="139" t="s">
        <v>594</v>
      </c>
      <c r="D46" s="140">
        <v>964.69</v>
      </c>
      <c r="E46" s="139" t="s">
        <v>560</v>
      </c>
    </row>
    <row r="47" spans="1:5" x14ac:dyDescent="0.25">
      <c r="A47" s="139" t="s">
        <v>849</v>
      </c>
      <c r="B47" s="139" t="s">
        <v>558</v>
      </c>
      <c r="C47" s="139" t="s">
        <v>852</v>
      </c>
      <c r="D47" s="140">
        <v>1103.75</v>
      </c>
      <c r="E47" s="139" t="s">
        <v>560</v>
      </c>
    </row>
    <row r="48" spans="1:5" x14ac:dyDescent="0.25">
      <c r="A48" s="139" t="s">
        <v>850</v>
      </c>
      <c r="B48" s="139" t="s">
        <v>593</v>
      </c>
      <c r="C48" s="139" t="s">
        <v>594</v>
      </c>
      <c r="D48" s="140">
        <v>814</v>
      </c>
      <c r="E48" s="139" t="s">
        <v>560</v>
      </c>
    </row>
    <row r="49" spans="1:5" x14ac:dyDescent="0.25">
      <c r="A49" s="139" t="s">
        <v>842</v>
      </c>
      <c r="B49" s="139" t="s">
        <v>851</v>
      </c>
      <c r="C49" s="139" t="s">
        <v>853</v>
      </c>
      <c r="D49" s="140">
        <v>73600</v>
      </c>
      <c r="E49" s="139" t="s">
        <v>560</v>
      </c>
    </row>
    <row r="52" spans="1:5" x14ac:dyDescent="0.25">
      <c r="D52" s="140">
        <f>SUM(D32:D51)</f>
        <v>203910.71000000002</v>
      </c>
    </row>
    <row r="54" spans="1:5" x14ac:dyDescent="0.25">
      <c r="A54" s="139">
        <v>6012800</v>
      </c>
      <c r="B54" s="139" t="s">
        <v>65</v>
      </c>
    </row>
    <row r="55" spans="1:5" x14ac:dyDescent="0.25">
      <c r="A55" s="141" t="s">
        <v>553</v>
      </c>
      <c r="B55" s="141" t="s">
        <v>554</v>
      </c>
      <c r="C55" s="141" t="s">
        <v>364</v>
      </c>
      <c r="D55" s="142" t="s">
        <v>555</v>
      </c>
      <c r="E55" s="141" t="s">
        <v>556</v>
      </c>
    </row>
    <row r="56" spans="1:5" x14ac:dyDescent="0.25">
      <c r="A56" s="139" t="s">
        <v>567</v>
      </c>
      <c r="B56" s="139" t="s">
        <v>598</v>
      </c>
      <c r="C56" s="139" t="s">
        <v>599</v>
      </c>
      <c r="D56" s="140">
        <v>742.3</v>
      </c>
      <c r="E56" s="139" t="s">
        <v>600</v>
      </c>
    </row>
    <row r="57" spans="1:5" x14ac:dyDescent="0.25">
      <c r="A57" s="139" t="s">
        <v>601</v>
      </c>
      <c r="B57" s="139" t="s">
        <v>602</v>
      </c>
      <c r="C57" s="139" t="s">
        <v>603</v>
      </c>
      <c r="D57" s="140">
        <v>51.18</v>
      </c>
      <c r="E57" s="139" t="s">
        <v>560</v>
      </c>
    </row>
    <row r="58" spans="1:5" x14ac:dyDescent="0.25">
      <c r="A58" s="139" t="s">
        <v>578</v>
      </c>
      <c r="B58" s="139" t="s">
        <v>593</v>
      </c>
      <c r="C58" s="139" t="s">
        <v>604</v>
      </c>
      <c r="D58" s="140">
        <f>24.55-18.07</f>
        <v>6.48</v>
      </c>
      <c r="E58" s="143"/>
    </row>
    <row r="59" spans="1:5" x14ac:dyDescent="0.25">
      <c r="A59" s="139" t="s">
        <v>828</v>
      </c>
      <c r="B59" s="139" t="s">
        <v>634</v>
      </c>
      <c r="C59" s="139" t="s">
        <v>603</v>
      </c>
      <c r="D59" s="140">
        <v>325.95</v>
      </c>
      <c r="E59" s="139" t="s">
        <v>560</v>
      </c>
    </row>
    <row r="60" spans="1:5" x14ac:dyDescent="0.25">
      <c r="A60" s="139" t="s">
        <v>828</v>
      </c>
      <c r="B60" s="139" t="s">
        <v>847</v>
      </c>
      <c r="C60" s="139" t="s">
        <v>603</v>
      </c>
      <c r="D60" s="140">
        <v>135.29</v>
      </c>
      <c r="E60" s="139" t="s">
        <v>560</v>
      </c>
    </row>
    <row r="61" spans="1:5" x14ac:dyDescent="0.25">
      <c r="A61" s="139" t="s">
        <v>845</v>
      </c>
      <c r="B61" s="139" t="s">
        <v>847</v>
      </c>
      <c r="C61" s="139" t="s">
        <v>603</v>
      </c>
      <c r="D61" s="140">
        <v>51.68</v>
      </c>
      <c r="E61" s="139" t="s">
        <v>560</v>
      </c>
    </row>
    <row r="62" spans="1:5" x14ac:dyDescent="0.25">
      <c r="A62" s="139" t="s">
        <v>846</v>
      </c>
      <c r="B62" s="139" t="s">
        <v>848</v>
      </c>
      <c r="C62" s="139" t="s">
        <v>603</v>
      </c>
      <c r="D62" s="140">
        <v>28.66</v>
      </c>
      <c r="E62" s="139" t="s">
        <v>560</v>
      </c>
    </row>
    <row r="67" spans="1:5" x14ac:dyDescent="0.25">
      <c r="D67" s="140">
        <f>SUM(D56:D66)</f>
        <v>1341.54</v>
      </c>
    </row>
    <row r="71" spans="1:5" x14ac:dyDescent="0.25">
      <c r="A71" s="139">
        <v>6020530</v>
      </c>
      <c r="B71" s="139" t="s">
        <v>605</v>
      </c>
    </row>
    <row r="72" spans="1:5" x14ac:dyDescent="0.25">
      <c r="A72" s="141" t="s">
        <v>553</v>
      </c>
      <c r="B72" s="141" t="s">
        <v>554</v>
      </c>
      <c r="C72" s="141" t="s">
        <v>364</v>
      </c>
      <c r="D72" s="142" t="s">
        <v>555</v>
      </c>
      <c r="E72" s="141" t="s">
        <v>556</v>
      </c>
    </row>
    <row r="73" spans="1:5" x14ac:dyDescent="0.25">
      <c r="A73" s="139" t="s">
        <v>606</v>
      </c>
      <c r="B73" s="139" t="s">
        <v>607</v>
      </c>
      <c r="C73" s="139" t="s">
        <v>608</v>
      </c>
      <c r="D73" s="140">
        <v>20.78</v>
      </c>
      <c r="E73" s="139" t="s">
        <v>419</v>
      </c>
    </row>
    <row r="74" spans="1:5" x14ac:dyDescent="0.25">
      <c r="A74" s="139" t="s">
        <v>609</v>
      </c>
      <c r="B74" s="139" t="s">
        <v>610</v>
      </c>
      <c r="C74" s="139" t="s">
        <v>611</v>
      </c>
      <c r="D74" s="140">
        <v>13.69</v>
      </c>
      <c r="E74" s="139" t="s">
        <v>419</v>
      </c>
    </row>
    <row r="75" spans="1:5" x14ac:dyDescent="0.25">
      <c r="A75" s="139" t="s">
        <v>612</v>
      </c>
      <c r="B75" s="139" t="s">
        <v>610</v>
      </c>
      <c r="C75" s="139" t="s">
        <v>613</v>
      </c>
      <c r="D75" s="140">
        <v>54.37</v>
      </c>
      <c r="E75" s="139" t="s">
        <v>419</v>
      </c>
    </row>
    <row r="76" spans="1:5" x14ac:dyDescent="0.25">
      <c r="A76" s="139" t="s">
        <v>612</v>
      </c>
      <c r="B76" s="139" t="s">
        <v>610</v>
      </c>
      <c r="C76" s="139" t="s">
        <v>614</v>
      </c>
      <c r="D76" s="140">
        <v>53.37</v>
      </c>
      <c r="E76" s="139" t="s">
        <v>419</v>
      </c>
    </row>
    <row r="77" spans="1:5" x14ac:dyDescent="0.25">
      <c r="A77" s="139" t="s">
        <v>615</v>
      </c>
      <c r="B77" s="139" t="s">
        <v>607</v>
      </c>
      <c r="C77" s="139" t="s">
        <v>616</v>
      </c>
      <c r="D77" s="140">
        <v>13.98</v>
      </c>
      <c r="E77" s="139" t="s">
        <v>419</v>
      </c>
    </row>
    <row r="78" spans="1:5" x14ac:dyDescent="0.25">
      <c r="A78" s="139" t="s">
        <v>578</v>
      </c>
      <c r="B78" s="139" t="s">
        <v>617</v>
      </c>
      <c r="C78" s="139" t="s">
        <v>618</v>
      </c>
      <c r="D78" s="140">
        <v>214</v>
      </c>
      <c r="E78" s="139" t="s">
        <v>419</v>
      </c>
    </row>
    <row r="79" spans="1:5" x14ac:dyDescent="0.25">
      <c r="A79" s="139" t="s">
        <v>619</v>
      </c>
      <c r="B79" s="139" t="s">
        <v>610</v>
      </c>
      <c r="C79" s="139" t="s">
        <v>620</v>
      </c>
      <c r="D79" s="140">
        <v>-49.48</v>
      </c>
      <c r="E79" s="139" t="s">
        <v>419</v>
      </c>
    </row>
    <row r="80" spans="1:5" x14ac:dyDescent="0.25">
      <c r="A80" s="139" t="s">
        <v>601</v>
      </c>
      <c r="B80" s="139" t="s">
        <v>610</v>
      </c>
      <c r="C80" s="139" t="s">
        <v>621</v>
      </c>
      <c r="D80" s="140">
        <v>88.19</v>
      </c>
      <c r="E80" s="139" t="s">
        <v>419</v>
      </c>
    </row>
    <row r="81" spans="1:5" x14ac:dyDescent="0.25">
      <c r="A81" s="139" t="s">
        <v>601</v>
      </c>
      <c r="B81" s="139" t="s">
        <v>607</v>
      </c>
      <c r="C81" s="139" t="s">
        <v>622</v>
      </c>
      <c r="D81" s="140">
        <v>53.66</v>
      </c>
      <c r="E81" s="139" t="s">
        <v>419</v>
      </c>
    </row>
    <row r="82" spans="1:5" x14ac:dyDescent="0.25">
      <c r="A82" s="139" t="s">
        <v>623</v>
      </c>
      <c r="B82" s="139" t="s">
        <v>607</v>
      </c>
      <c r="C82" s="139" t="s">
        <v>616</v>
      </c>
      <c r="D82" s="140">
        <v>45.96</v>
      </c>
      <c r="E82" s="139" t="s">
        <v>419</v>
      </c>
    </row>
    <row r="83" spans="1:5" x14ac:dyDescent="0.25">
      <c r="A83" s="139" t="s">
        <v>624</v>
      </c>
      <c r="B83" s="139" t="s">
        <v>625</v>
      </c>
      <c r="C83" s="139" t="s">
        <v>626</v>
      </c>
      <c r="D83" s="140">
        <v>891.8</v>
      </c>
      <c r="E83" s="139" t="s">
        <v>419</v>
      </c>
    </row>
    <row r="84" spans="1:5" x14ac:dyDescent="0.25">
      <c r="A84" s="139" t="s">
        <v>591</v>
      </c>
      <c r="B84" s="139" t="s">
        <v>610</v>
      </c>
      <c r="C84" s="139" t="s">
        <v>627</v>
      </c>
      <c r="D84" s="140">
        <v>19.55</v>
      </c>
      <c r="E84" s="139" t="s">
        <v>419</v>
      </c>
    </row>
    <row r="85" spans="1:5" x14ac:dyDescent="0.25">
      <c r="A85" s="139" t="s">
        <v>628</v>
      </c>
      <c r="B85" s="139" t="s">
        <v>607</v>
      </c>
      <c r="C85" s="139" t="s">
        <v>629</v>
      </c>
      <c r="D85" s="140">
        <v>36.08</v>
      </c>
      <c r="E85" s="139" t="s">
        <v>419</v>
      </c>
    </row>
    <row r="86" spans="1:5" x14ac:dyDescent="0.25">
      <c r="A86" s="139" t="s">
        <v>630</v>
      </c>
      <c r="B86" s="139" t="s">
        <v>631</v>
      </c>
      <c r="C86" s="139" t="s">
        <v>616</v>
      </c>
      <c r="D86" s="140">
        <v>14.84</v>
      </c>
      <c r="E86" s="139" t="s">
        <v>419</v>
      </c>
    </row>
    <row r="87" spans="1:5" x14ac:dyDescent="0.25">
      <c r="A87" s="139" t="s">
        <v>632</v>
      </c>
      <c r="B87" s="139" t="s">
        <v>607</v>
      </c>
      <c r="C87" s="139" t="s">
        <v>616</v>
      </c>
      <c r="D87" s="140">
        <v>68.94</v>
      </c>
      <c r="E87" s="139" t="s">
        <v>419</v>
      </c>
    </row>
    <row r="88" spans="1:5" x14ac:dyDescent="0.25">
      <c r="A88" s="139" t="s">
        <v>633</v>
      </c>
      <c r="B88" s="139" t="s">
        <v>634</v>
      </c>
      <c r="C88" s="139" t="s">
        <v>635</v>
      </c>
      <c r="D88" s="140">
        <v>14.99</v>
      </c>
      <c r="E88" s="139" t="s">
        <v>419</v>
      </c>
    </row>
    <row r="89" spans="1:5" x14ac:dyDescent="0.25">
      <c r="A89" s="139" t="s">
        <v>636</v>
      </c>
      <c r="B89" s="139" t="s">
        <v>607</v>
      </c>
      <c r="C89" s="139" t="s">
        <v>637</v>
      </c>
      <c r="D89" s="140">
        <v>7.21</v>
      </c>
      <c r="E89" s="139" t="s">
        <v>419</v>
      </c>
    </row>
    <row r="90" spans="1:5" x14ac:dyDescent="0.25">
      <c r="A90" s="139" t="s">
        <v>582</v>
      </c>
      <c r="B90" s="139" t="s">
        <v>597</v>
      </c>
      <c r="C90" s="139" t="s">
        <v>638</v>
      </c>
      <c r="D90" s="140">
        <v>117.59</v>
      </c>
      <c r="E90" s="139" t="s">
        <v>419</v>
      </c>
    </row>
    <row r="91" spans="1:5" x14ac:dyDescent="0.25">
      <c r="A91" s="139" t="s">
        <v>612</v>
      </c>
      <c r="B91" s="139" t="s">
        <v>639</v>
      </c>
      <c r="C91" s="139" t="s">
        <v>640</v>
      </c>
      <c r="D91" s="140">
        <v>1819.98</v>
      </c>
      <c r="E91" s="139" t="s">
        <v>641</v>
      </c>
    </row>
    <row r="92" spans="1:5" x14ac:dyDescent="0.25">
      <c r="A92" s="139" t="s">
        <v>642</v>
      </c>
      <c r="B92" s="139" t="s">
        <v>643</v>
      </c>
      <c r="C92" s="139" t="s">
        <v>644</v>
      </c>
      <c r="D92" s="140">
        <v>700</v>
      </c>
      <c r="E92" s="139" t="s">
        <v>641</v>
      </c>
    </row>
    <row r="93" spans="1:5" x14ac:dyDescent="0.25">
      <c r="A93" s="139" t="s">
        <v>645</v>
      </c>
      <c r="B93" s="139" t="s">
        <v>646</v>
      </c>
      <c r="C93" s="139" t="s">
        <v>647</v>
      </c>
      <c r="D93" s="140">
        <v>4074</v>
      </c>
      <c r="E93" s="139" t="s">
        <v>641</v>
      </c>
    </row>
    <row r="94" spans="1:5" x14ac:dyDescent="0.25">
      <c r="A94" s="139" t="s">
        <v>630</v>
      </c>
      <c r="B94" s="139" t="s">
        <v>648</v>
      </c>
      <c r="C94" s="139" t="s">
        <v>649</v>
      </c>
      <c r="D94" s="140">
        <v>1932</v>
      </c>
      <c r="E94" s="139" t="s">
        <v>641</v>
      </c>
    </row>
    <row r="95" spans="1:5" x14ac:dyDescent="0.25">
      <c r="A95" s="139" t="s">
        <v>636</v>
      </c>
      <c r="B95" s="139" t="s">
        <v>568</v>
      </c>
      <c r="C95" s="139" t="s">
        <v>650</v>
      </c>
      <c r="D95" s="140">
        <v>513.5</v>
      </c>
      <c r="E95" s="139" t="s">
        <v>641</v>
      </c>
    </row>
    <row r="96" spans="1:5" x14ac:dyDescent="0.25">
      <c r="A96" s="139" t="s">
        <v>651</v>
      </c>
      <c r="B96" s="139" t="s">
        <v>652</v>
      </c>
      <c r="C96" s="139" t="s">
        <v>653</v>
      </c>
      <c r="D96" s="140">
        <v>2474.2399999999998</v>
      </c>
      <c r="E96" s="139" t="s">
        <v>641</v>
      </c>
    </row>
    <row r="97" spans="1:5" x14ac:dyDescent="0.25">
      <c r="A97" s="139" t="s">
        <v>826</v>
      </c>
      <c r="B97" s="139" t="s">
        <v>607</v>
      </c>
      <c r="C97" s="139" t="s">
        <v>832</v>
      </c>
      <c r="D97" s="140">
        <v>66.91</v>
      </c>
      <c r="E97" s="139" t="s">
        <v>419</v>
      </c>
    </row>
    <row r="98" spans="1:5" x14ac:dyDescent="0.25">
      <c r="A98" s="139" t="s">
        <v>826</v>
      </c>
      <c r="B98" s="139" t="s">
        <v>607</v>
      </c>
      <c r="C98" s="139" t="s">
        <v>833</v>
      </c>
      <c r="D98" s="140">
        <v>548</v>
      </c>
      <c r="E98" s="139" t="s">
        <v>419</v>
      </c>
    </row>
    <row r="99" spans="1:5" x14ac:dyDescent="0.25">
      <c r="A99" s="139" t="s">
        <v>829</v>
      </c>
      <c r="B99" s="139" t="s">
        <v>830</v>
      </c>
      <c r="C99" s="139" t="s">
        <v>831</v>
      </c>
      <c r="D99" s="140">
        <v>525</v>
      </c>
      <c r="E99" s="139" t="s">
        <v>419</v>
      </c>
    </row>
    <row r="100" spans="1:5" x14ac:dyDescent="0.25">
      <c r="A100" s="139" t="s">
        <v>844</v>
      </c>
      <c r="B100" s="139" t="s">
        <v>830</v>
      </c>
      <c r="C100" s="139" t="s">
        <v>831</v>
      </c>
      <c r="D100" s="140">
        <v>525</v>
      </c>
      <c r="E100" s="139" t="s">
        <v>419</v>
      </c>
    </row>
    <row r="102" spans="1:5" x14ac:dyDescent="0.25">
      <c r="D102" s="140">
        <f>SUM(D73:D101)</f>
        <v>14858.15</v>
      </c>
    </row>
    <row r="105" spans="1:5" x14ac:dyDescent="0.25">
      <c r="A105" s="139">
        <v>6022050</v>
      </c>
      <c r="B105" s="139" t="s">
        <v>654</v>
      </c>
    </row>
    <row r="106" spans="1:5" x14ac:dyDescent="0.25">
      <c r="A106" s="141" t="s">
        <v>553</v>
      </c>
      <c r="B106" s="141" t="s">
        <v>554</v>
      </c>
      <c r="C106" s="141" t="s">
        <v>364</v>
      </c>
      <c r="D106" s="142" t="s">
        <v>555</v>
      </c>
      <c r="E106" s="141" t="s">
        <v>556</v>
      </c>
    </row>
    <row r="107" spans="1:5" x14ac:dyDescent="0.25">
      <c r="A107" s="144" t="s">
        <v>655</v>
      </c>
      <c r="B107" s="145" t="s">
        <v>656</v>
      </c>
      <c r="C107" s="145" t="s">
        <v>657</v>
      </c>
      <c r="D107" s="146">
        <v>6202.5</v>
      </c>
      <c r="E107" s="139" t="s">
        <v>576</v>
      </c>
    </row>
    <row r="108" spans="1:5" x14ac:dyDescent="0.25">
      <c r="A108" s="144" t="s">
        <v>658</v>
      </c>
      <c r="B108" s="145" t="s">
        <v>656</v>
      </c>
      <c r="C108" s="145" t="s">
        <v>657</v>
      </c>
      <c r="D108" s="146">
        <v>1043.75</v>
      </c>
      <c r="E108" s="139" t="s">
        <v>576</v>
      </c>
    </row>
    <row r="109" spans="1:5" x14ac:dyDescent="0.25">
      <c r="A109" s="144" t="s">
        <v>659</v>
      </c>
      <c r="B109" s="145" t="s">
        <v>660</v>
      </c>
      <c r="C109" s="145" t="s">
        <v>661</v>
      </c>
      <c r="D109" s="146">
        <v>8872.59</v>
      </c>
      <c r="E109" s="139" t="s">
        <v>576</v>
      </c>
    </row>
    <row r="110" spans="1:5" x14ac:dyDescent="0.25">
      <c r="A110" s="144" t="s">
        <v>570</v>
      </c>
      <c r="B110" s="145" t="s">
        <v>656</v>
      </c>
      <c r="C110" s="145" t="s">
        <v>657</v>
      </c>
      <c r="D110" s="146">
        <v>9457.5499999999993</v>
      </c>
      <c r="E110" s="139" t="s">
        <v>576</v>
      </c>
    </row>
    <row r="111" spans="1:5" x14ac:dyDescent="0.25">
      <c r="A111" s="144" t="s">
        <v>612</v>
      </c>
      <c r="B111" s="145" t="s">
        <v>662</v>
      </c>
      <c r="C111" s="145" t="s">
        <v>663</v>
      </c>
      <c r="D111" s="146">
        <v>67620</v>
      </c>
      <c r="E111" s="139" t="s">
        <v>576</v>
      </c>
    </row>
    <row r="112" spans="1:5" x14ac:dyDescent="0.25">
      <c r="A112" s="144" t="s">
        <v>612</v>
      </c>
      <c r="B112" s="145" t="s">
        <v>656</v>
      </c>
      <c r="C112" s="145" t="s">
        <v>657</v>
      </c>
      <c r="D112" s="146">
        <v>1150</v>
      </c>
      <c r="E112" s="139" t="s">
        <v>576</v>
      </c>
    </row>
    <row r="113" spans="1:5" x14ac:dyDescent="0.25">
      <c r="A113" s="144" t="s">
        <v>664</v>
      </c>
      <c r="B113" s="145" t="s">
        <v>665</v>
      </c>
      <c r="C113" s="145" t="s">
        <v>666</v>
      </c>
      <c r="D113" s="146">
        <v>390</v>
      </c>
      <c r="E113" s="139" t="s">
        <v>576</v>
      </c>
    </row>
    <row r="114" spans="1:5" x14ac:dyDescent="0.25">
      <c r="A114" s="144" t="s">
        <v>667</v>
      </c>
      <c r="B114" s="145" t="s">
        <v>668</v>
      </c>
      <c r="C114" s="145" t="s">
        <v>669</v>
      </c>
      <c r="D114" s="146">
        <v>21931.96</v>
      </c>
      <c r="E114" s="139" t="s">
        <v>576</v>
      </c>
    </row>
    <row r="115" spans="1:5" x14ac:dyDescent="0.25">
      <c r="A115" s="144" t="s">
        <v>670</v>
      </c>
      <c r="B115" s="145" t="s">
        <v>668</v>
      </c>
      <c r="C115" s="145" t="s">
        <v>669</v>
      </c>
      <c r="D115" s="146">
        <v>105082.59</v>
      </c>
      <c r="E115" s="139" t="s">
        <v>576</v>
      </c>
    </row>
    <row r="116" spans="1:5" x14ac:dyDescent="0.25">
      <c r="A116" s="144" t="s">
        <v>671</v>
      </c>
      <c r="B116" s="145" t="s">
        <v>665</v>
      </c>
      <c r="C116" s="145" t="s">
        <v>666</v>
      </c>
      <c r="D116" s="146">
        <v>463.13</v>
      </c>
      <c r="E116" s="139" t="s">
        <v>576</v>
      </c>
    </row>
    <row r="117" spans="1:5" x14ac:dyDescent="0.25">
      <c r="A117" s="144" t="s">
        <v>561</v>
      </c>
      <c r="B117" s="145" t="s">
        <v>672</v>
      </c>
      <c r="C117" s="145" t="s">
        <v>673</v>
      </c>
      <c r="D117" s="146">
        <v>565434</v>
      </c>
      <c r="E117" s="139" t="s">
        <v>576</v>
      </c>
    </row>
    <row r="118" spans="1:5" x14ac:dyDescent="0.25">
      <c r="A118" s="144" t="s">
        <v>674</v>
      </c>
      <c r="B118" s="145" t="s">
        <v>665</v>
      </c>
      <c r="C118" s="145" t="s">
        <v>666</v>
      </c>
      <c r="D118" s="146">
        <v>292.5</v>
      </c>
      <c r="E118" s="139" t="s">
        <v>576</v>
      </c>
    </row>
    <row r="119" spans="1:5" x14ac:dyDescent="0.25">
      <c r="A119" s="144" t="s">
        <v>675</v>
      </c>
      <c r="B119" s="145" t="s">
        <v>656</v>
      </c>
      <c r="C119" s="145" t="s">
        <v>657</v>
      </c>
      <c r="D119" s="146">
        <v>355</v>
      </c>
      <c r="E119" s="139" t="s">
        <v>576</v>
      </c>
    </row>
    <row r="120" spans="1:5" x14ac:dyDescent="0.25">
      <c r="A120" s="144" t="s">
        <v>676</v>
      </c>
      <c r="B120" s="145" t="s">
        <v>677</v>
      </c>
      <c r="C120" s="145" t="s">
        <v>678</v>
      </c>
      <c r="D120" s="146">
        <v>20136</v>
      </c>
      <c r="E120" s="139" t="s">
        <v>576</v>
      </c>
    </row>
    <row r="121" spans="1:5" x14ac:dyDescent="0.25">
      <c r="A121" s="144" t="s">
        <v>679</v>
      </c>
      <c r="B121" s="145" t="s">
        <v>665</v>
      </c>
      <c r="C121" s="145" t="s">
        <v>666</v>
      </c>
      <c r="D121" s="146">
        <v>316.88</v>
      </c>
      <c r="E121" s="139" t="s">
        <v>576</v>
      </c>
    </row>
    <row r="122" spans="1:5" x14ac:dyDescent="0.25">
      <c r="A122" s="144" t="s">
        <v>619</v>
      </c>
      <c r="B122" s="145" t="s">
        <v>656</v>
      </c>
      <c r="C122" s="145" t="s">
        <v>680</v>
      </c>
      <c r="D122" s="146">
        <v>4863.75</v>
      </c>
      <c r="E122" s="139" t="s">
        <v>576</v>
      </c>
    </row>
    <row r="123" spans="1:5" x14ac:dyDescent="0.25">
      <c r="A123" s="144" t="s">
        <v>681</v>
      </c>
      <c r="B123" s="145" t="s">
        <v>672</v>
      </c>
      <c r="C123" s="145" t="s">
        <v>666</v>
      </c>
      <c r="D123" s="146">
        <v>138924</v>
      </c>
      <c r="E123" s="139" t="s">
        <v>576</v>
      </c>
    </row>
    <row r="124" spans="1:5" x14ac:dyDescent="0.25">
      <c r="A124" s="144" t="s">
        <v>681</v>
      </c>
      <c r="B124" s="145" t="s">
        <v>665</v>
      </c>
      <c r="C124" s="145" t="s">
        <v>666</v>
      </c>
      <c r="D124" s="146">
        <v>341.25</v>
      </c>
      <c r="E124" s="139" t="s">
        <v>576</v>
      </c>
    </row>
    <row r="125" spans="1:5" x14ac:dyDescent="0.25">
      <c r="A125" s="144" t="s">
        <v>681</v>
      </c>
      <c r="B125" s="145" t="s">
        <v>656</v>
      </c>
      <c r="C125" s="145" t="s">
        <v>657</v>
      </c>
      <c r="D125" s="146">
        <v>20347.5</v>
      </c>
      <c r="E125" s="139" t="s">
        <v>576</v>
      </c>
    </row>
    <row r="126" spans="1:5" x14ac:dyDescent="0.25">
      <c r="A126" s="144" t="s">
        <v>682</v>
      </c>
      <c r="B126" s="145" t="s">
        <v>656</v>
      </c>
      <c r="C126" s="145" t="s">
        <v>657</v>
      </c>
      <c r="D126" s="146">
        <v>92.5</v>
      </c>
      <c r="E126" s="139" t="s">
        <v>576</v>
      </c>
    </row>
    <row r="127" spans="1:5" x14ac:dyDescent="0.25">
      <c r="A127" s="144" t="s">
        <v>683</v>
      </c>
      <c r="B127" s="145" t="s">
        <v>665</v>
      </c>
      <c r="C127" s="145" t="s">
        <v>666</v>
      </c>
      <c r="D127" s="146">
        <v>390</v>
      </c>
      <c r="E127" s="139" t="s">
        <v>576</v>
      </c>
    </row>
    <row r="128" spans="1:5" x14ac:dyDescent="0.25">
      <c r="A128" s="144" t="s">
        <v>684</v>
      </c>
      <c r="B128" s="145" t="s">
        <v>665</v>
      </c>
      <c r="C128" s="145" t="s">
        <v>666</v>
      </c>
      <c r="D128" s="146">
        <v>438.76</v>
      </c>
      <c r="E128" s="139" t="s">
        <v>576</v>
      </c>
    </row>
    <row r="129" spans="1:5" x14ac:dyDescent="0.25">
      <c r="A129" s="144" t="s">
        <v>685</v>
      </c>
      <c r="B129" s="145" t="s">
        <v>686</v>
      </c>
      <c r="C129" s="145" t="s">
        <v>687</v>
      </c>
      <c r="D129" s="146">
        <v>54130</v>
      </c>
      <c r="E129" s="139" t="s">
        <v>576</v>
      </c>
    </row>
    <row r="130" spans="1:5" x14ac:dyDescent="0.25">
      <c r="A130" s="144" t="s">
        <v>601</v>
      </c>
      <c r="B130" s="145" t="s">
        <v>672</v>
      </c>
      <c r="C130" s="145" t="s">
        <v>666</v>
      </c>
      <c r="D130" s="146">
        <v>432627.12</v>
      </c>
      <c r="E130" s="139" t="s">
        <v>576</v>
      </c>
    </row>
    <row r="131" spans="1:5" x14ac:dyDescent="0.25">
      <c r="A131" s="144" t="s">
        <v>688</v>
      </c>
      <c r="B131" s="145" t="s">
        <v>656</v>
      </c>
      <c r="C131" s="145" t="s">
        <v>657</v>
      </c>
      <c r="D131" s="146">
        <v>12213.75</v>
      </c>
      <c r="E131" s="139" t="s">
        <v>576</v>
      </c>
    </row>
    <row r="132" spans="1:5" x14ac:dyDescent="0.25">
      <c r="A132" s="144" t="s">
        <v>689</v>
      </c>
      <c r="B132" s="145" t="s">
        <v>665</v>
      </c>
      <c r="C132" s="145" t="s">
        <v>666</v>
      </c>
      <c r="D132" s="146">
        <v>341.25</v>
      </c>
      <c r="E132" s="139" t="s">
        <v>576</v>
      </c>
    </row>
    <row r="133" spans="1:5" x14ac:dyDescent="0.25">
      <c r="A133" s="144" t="s">
        <v>689</v>
      </c>
      <c r="B133" s="145" t="s">
        <v>656</v>
      </c>
      <c r="C133" s="145" t="s">
        <v>657</v>
      </c>
      <c r="D133" s="146">
        <v>465</v>
      </c>
      <c r="E133" s="139" t="s">
        <v>576</v>
      </c>
    </row>
    <row r="134" spans="1:5" x14ac:dyDescent="0.25">
      <c r="A134" s="144" t="s">
        <v>690</v>
      </c>
      <c r="B134" s="145" t="s">
        <v>665</v>
      </c>
      <c r="C134" s="145" t="s">
        <v>666</v>
      </c>
      <c r="D134" s="146">
        <v>585</v>
      </c>
      <c r="E134" s="139" t="s">
        <v>576</v>
      </c>
    </row>
    <row r="135" spans="1:5" x14ac:dyDescent="0.25">
      <c r="A135" s="144" t="s">
        <v>691</v>
      </c>
      <c r="B135" s="145" t="s">
        <v>672</v>
      </c>
      <c r="C135" s="145" t="s">
        <v>666</v>
      </c>
      <c r="D135" s="146">
        <v>286154.55</v>
      </c>
      <c r="E135" s="139" t="s">
        <v>576</v>
      </c>
    </row>
    <row r="136" spans="1:5" x14ac:dyDescent="0.25">
      <c r="A136" s="144" t="s">
        <v>692</v>
      </c>
      <c r="B136" s="145" t="s">
        <v>665</v>
      </c>
      <c r="C136" s="145" t="s">
        <v>666</v>
      </c>
      <c r="D136" s="146">
        <v>292.5</v>
      </c>
      <c r="E136" s="139" t="s">
        <v>576</v>
      </c>
    </row>
    <row r="137" spans="1:5" x14ac:dyDescent="0.25">
      <c r="A137" s="144" t="s">
        <v>591</v>
      </c>
      <c r="B137" s="145" t="s">
        <v>656</v>
      </c>
      <c r="C137" s="145" t="s">
        <v>657</v>
      </c>
      <c r="D137" s="146">
        <v>4526.25</v>
      </c>
      <c r="E137" s="139" t="s">
        <v>576</v>
      </c>
    </row>
    <row r="138" spans="1:5" x14ac:dyDescent="0.25">
      <c r="A138" s="144" t="s">
        <v>693</v>
      </c>
      <c r="B138" s="145" t="s">
        <v>665</v>
      </c>
      <c r="C138" s="145" t="s">
        <v>666</v>
      </c>
      <c r="D138" s="146">
        <v>414.38</v>
      </c>
      <c r="E138" s="139" t="s">
        <v>576</v>
      </c>
    </row>
    <row r="139" spans="1:5" x14ac:dyDescent="0.25">
      <c r="A139" s="144" t="s">
        <v>694</v>
      </c>
      <c r="B139" s="145" t="s">
        <v>665</v>
      </c>
      <c r="C139" s="145" t="s">
        <v>666</v>
      </c>
      <c r="D139" s="146">
        <v>414.38</v>
      </c>
      <c r="E139" s="139" t="s">
        <v>576</v>
      </c>
    </row>
    <row r="140" spans="1:5" x14ac:dyDescent="0.25">
      <c r="A140" s="144" t="s">
        <v>695</v>
      </c>
      <c r="B140" s="145" t="s">
        <v>672</v>
      </c>
      <c r="C140" s="145" t="s">
        <v>666</v>
      </c>
      <c r="D140" s="146">
        <v>567612</v>
      </c>
      <c r="E140" s="139" t="s">
        <v>576</v>
      </c>
    </row>
    <row r="141" spans="1:5" x14ac:dyDescent="0.25">
      <c r="A141" s="144" t="s">
        <v>696</v>
      </c>
      <c r="B141" s="145" t="s">
        <v>665</v>
      </c>
      <c r="C141" s="145" t="s">
        <v>666</v>
      </c>
      <c r="D141" s="146">
        <v>243.75</v>
      </c>
      <c r="E141" s="139" t="s">
        <v>576</v>
      </c>
    </row>
    <row r="142" spans="1:5" x14ac:dyDescent="0.25">
      <c r="A142" s="144" t="s">
        <v>696</v>
      </c>
      <c r="B142" s="145" t="s">
        <v>656</v>
      </c>
      <c r="C142" s="145" t="s">
        <v>657</v>
      </c>
      <c r="D142" s="146">
        <v>4331.25</v>
      </c>
      <c r="E142" s="139" t="s">
        <v>576</v>
      </c>
    </row>
    <row r="143" spans="1:5" x14ac:dyDescent="0.25">
      <c r="A143" s="144" t="s">
        <v>697</v>
      </c>
      <c r="B143" s="145" t="s">
        <v>665</v>
      </c>
      <c r="C143" s="145" t="s">
        <v>666</v>
      </c>
      <c r="D143" s="146">
        <v>560.63</v>
      </c>
      <c r="E143" s="139" t="s">
        <v>576</v>
      </c>
    </row>
    <row r="144" spans="1:5" x14ac:dyDescent="0.25">
      <c r="A144" s="144" t="s">
        <v>698</v>
      </c>
      <c r="B144" s="145" t="s">
        <v>568</v>
      </c>
      <c r="C144" s="145" t="s">
        <v>699</v>
      </c>
      <c r="D144" s="146">
        <v>6500</v>
      </c>
      <c r="E144" s="139" t="s">
        <v>576</v>
      </c>
    </row>
    <row r="145" spans="1:5" x14ac:dyDescent="0.25">
      <c r="A145" s="144" t="s">
        <v>700</v>
      </c>
      <c r="B145" s="145" t="s">
        <v>665</v>
      </c>
      <c r="C145" s="145" t="s">
        <v>666</v>
      </c>
      <c r="D145" s="146">
        <v>1048.1400000000001</v>
      </c>
      <c r="E145" s="139" t="s">
        <v>576</v>
      </c>
    </row>
    <row r="146" spans="1:5" x14ac:dyDescent="0.25">
      <c r="A146" s="144" t="s">
        <v>596</v>
      </c>
      <c r="B146" s="145" t="s">
        <v>665</v>
      </c>
      <c r="C146" s="145" t="s">
        <v>666</v>
      </c>
      <c r="D146" s="146">
        <v>316.88</v>
      </c>
      <c r="E146" s="139" t="s">
        <v>576</v>
      </c>
    </row>
    <row r="147" spans="1:5" x14ac:dyDescent="0.25">
      <c r="A147" s="144" t="s">
        <v>828</v>
      </c>
      <c r="B147" s="145" t="s">
        <v>656</v>
      </c>
      <c r="C147" s="145" t="s">
        <v>657</v>
      </c>
      <c r="D147" s="146">
        <v>7865.55</v>
      </c>
      <c r="E147" s="139" t="s">
        <v>576</v>
      </c>
    </row>
    <row r="148" spans="1:5" x14ac:dyDescent="0.25">
      <c r="A148" s="144" t="s">
        <v>834</v>
      </c>
      <c r="B148" s="145" t="s">
        <v>672</v>
      </c>
      <c r="C148" s="145" t="s">
        <v>666</v>
      </c>
      <c r="D148" s="146">
        <v>730413.63</v>
      </c>
      <c r="E148" s="139" t="s">
        <v>576</v>
      </c>
    </row>
    <row r="149" spans="1:5" x14ac:dyDescent="0.25">
      <c r="A149" s="144" t="s">
        <v>835</v>
      </c>
      <c r="B149" s="145" t="s">
        <v>665</v>
      </c>
      <c r="C149" s="145" t="s">
        <v>666</v>
      </c>
      <c r="D149" s="146">
        <v>901.88</v>
      </c>
      <c r="E149" s="139" t="s">
        <v>576</v>
      </c>
    </row>
    <row r="150" spans="1:5" x14ac:dyDescent="0.25">
      <c r="A150" s="144" t="s">
        <v>836</v>
      </c>
      <c r="B150" s="145" t="s">
        <v>665</v>
      </c>
      <c r="C150" s="145" t="s">
        <v>666</v>
      </c>
      <c r="D150" s="146">
        <v>1908.13</v>
      </c>
      <c r="E150" s="139" t="s">
        <v>576</v>
      </c>
    </row>
    <row r="151" spans="1:5" x14ac:dyDescent="0.25">
      <c r="A151" s="144" t="s">
        <v>840</v>
      </c>
      <c r="B151" s="145" t="s">
        <v>672</v>
      </c>
      <c r="C151" s="145" t="s">
        <v>666</v>
      </c>
      <c r="D151" s="146">
        <v>705891.15</v>
      </c>
      <c r="E151" s="139" t="s">
        <v>576</v>
      </c>
    </row>
    <row r="152" spans="1:5" x14ac:dyDescent="0.25">
      <c r="A152" s="144" t="s">
        <v>841</v>
      </c>
      <c r="B152" s="145" t="s">
        <v>656</v>
      </c>
      <c r="C152" s="145" t="s">
        <v>666</v>
      </c>
      <c r="D152" s="146">
        <v>7613.75</v>
      </c>
      <c r="E152" s="139" t="s">
        <v>576</v>
      </c>
    </row>
    <row r="153" spans="1:5" x14ac:dyDescent="0.25">
      <c r="A153" s="144" t="s">
        <v>839</v>
      </c>
      <c r="B153" s="145" t="s">
        <v>665</v>
      </c>
      <c r="C153" s="145" t="s">
        <v>666</v>
      </c>
      <c r="D153" s="146">
        <v>2284.38</v>
      </c>
      <c r="E153" s="139" t="s">
        <v>576</v>
      </c>
    </row>
    <row r="154" spans="1:5" x14ac:dyDescent="0.25">
      <c r="A154" s="144" t="s">
        <v>842</v>
      </c>
      <c r="B154" s="145" t="s">
        <v>665</v>
      </c>
      <c r="C154" s="145" t="s">
        <v>843</v>
      </c>
      <c r="D154" s="146">
        <v>-2212.5100000000002</v>
      </c>
      <c r="E154" s="139" t="s">
        <v>576</v>
      </c>
    </row>
    <row r="155" spans="1:5" x14ac:dyDescent="0.25">
      <c r="A155" s="144"/>
      <c r="B155" s="145"/>
      <c r="C155" s="145"/>
      <c r="D155" s="146"/>
    </row>
    <row r="156" spans="1:5" x14ac:dyDescent="0.25">
      <c r="A156" s="144"/>
      <c r="B156" s="145"/>
      <c r="C156" s="145"/>
      <c r="D156" s="146"/>
    </row>
    <row r="158" spans="1:5" x14ac:dyDescent="0.25">
      <c r="D158" s="140">
        <f>SUM(D107:D157)</f>
        <v>3801588.9999999991</v>
      </c>
    </row>
    <row r="161" spans="1:5" x14ac:dyDescent="0.25">
      <c r="A161" s="139">
        <v>6032000</v>
      </c>
      <c r="B161" s="139" t="s">
        <v>701</v>
      </c>
    </row>
    <row r="162" spans="1:5" x14ac:dyDescent="0.25">
      <c r="A162" s="141" t="s">
        <v>553</v>
      </c>
      <c r="B162" s="141" t="s">
        <v>554</v>
      </c>
      <c r="C162" s="141" t="s">
        <v>364</v>
      </c>
      <c r="D162" s="142" t="s">
        <v>555</v>
      </c>
      <c r="E162" s="141" t="s">
        <v>556</v>
      </c>
    </row>
    <row r="163" spans="1:5" x14ac:dyDescent="0.25">
      <c r="A163" s="144" t="s">
        <v>702</v>
      </c>
      <c r="B163" s="145" t="s">
        <v>703</v>
      </c>
      <c r="C163" s="145" t="s">
        <v>704</v>
      </c>
      <c r="D163" s="147">
        <v>89.98</v>
      </c>
      <c r="E163" s="139" t="s">
        <v>419</v>
      </c>
    </row>
    <row r="164" spans="1:5" x14ac:dyDescent="0.25">
      <c r="A164" s="144" t="s">
        <v>586</v>
      </c>
      <c r="B164" s="145" t="s">
        <v>610</v>
      </c>
      <c r="C164" s="145" t="s">
        <v>705</v>
      </c>
      <c r="D164" s="147">
        <v>30.29</v>
      </c>
      <c r="E164" s="139" t="s">
        <v>419</v>
      </c>
    </row>
    <row r="165" spans="1:5" x14ac:dyDescent="0.25">
      <c r="A165" s="144" t="s">
        <v>658</v>
      </c>
      <c r="B165" s="145" t="s">
        <v>610</v>
      </c>
      <c r="C165" s="145" t="s">
        <v>706</v>
      </c>
      <c r="D165" s="147">
        <v>139.59</v>
      </c>
      <c r="E165" s="139" t="s">
        <v>419</v>
      </c>
    </row>
    <row r="166" spans="1:5" x14ac:dyDescent="0.25">
      <c r="A166" s="144" t="s">
        <v>707</v>
      </c>
      <c r="B166" s="145" t="s">
        <v>708</v>
      </c>
      <c r="C166" s="145" t="s">
        <v>709</v>
      </c>
      <c r="D166" s="147">
        <v>351.27</v>
      </c>
      <c r="E166" s="139" t="s">
        <v>419</v>
      </c>
    </row>
    <row r="167" spans="1:5" x14ac:dyDescent="0.25">
      <c r="A167" s="144" t="s">
        <v>710</v>
      </c>
      <c r="B167" s="145" t="s">
        <v>607</v>
      </c>
      <c r="C167" s="145" t="s">
        <v>711</v>
      </c>
      <c r="D167" s="147">
        <v>11.1</v>
      </c>
      <c r="E167" s="139" t="s">
        <v>419</v>
      </c>
    </row>
    <row r="168" spans="1:5" x14ac:dyDescent="0.25">
      <c r="A168" s="144" t="s">
        <v>712</v>
      </c>
      <c r="B168" s="145" t="s">
        <v>703</v>
      </c>
      <c r="C168" s="145" t="s">
        <v>713</v>
      </c>
      <c r="D168" s="147">
        <v>648.76</v>
      </c>
      <c r="E168" s="139" t="s">
        <v>419</v>
      </c>
    </row>
    <row r="169" spans="1:5" x14ac:dyDescent="0.25">
      <c r="A169" s="144" t="s">
        <v>714</v>
      </c>
      <c r="B169" s="145" t="s">
        <v>715</v>
      </c>
      <c r="C169" s="145" t="s">
        <v>716</v>
      </c>
      <c r="D169" s="147">
        <v>293</v>
      </c>
      <c r="E169" s="139" t="s">
        <v>419</v>
      </c>
    </row>
    <row r="170" spans="1:5" x14ac:dyDescent="0.25">
      <c r="A170" s="144" t="s">
        <v>717</v>
      </c>
      <c r="B170" s="145" t="s">
        <v>610</v>
      </c>
      <c r="C170" s="145" t="s">
        <v>718</v>
      </c>
      <c r="D170" s="147">
        <v>23.55</v>
      </c>
      <c r="E170" s="139" t="s">
        <v>419</v>
      </c>
    </row>
    <row r="171" spans="1:5" x14ac:dyDescent="0.25">
      <c r="A171" s="144" t="s">
        <v>719</v>
      </c>
      <c r="B171" s="145" t="s">
        <v>610</v>
      </c>
      <c r="C171" s="145" t="s">
        <v>720</v>
      </c>
      <c r="D171" s="147">
        <v>730.29</v>
      </c>
      <c r="E171" s="139" t="s">
        <v>419</v>
      </c>
    </row>
    <row r="172" spans="1:5" x14ac:dyDescent="0.25">
      <c r="A172" s="144" t="s">
        <v>719</v>
      </c>
      <c r="B172" s="145" t="s">
        <v>610</v>
      </c>
      <c r="C172" s="145" t="s">
        <v>718</v>
      </c>
      <c r="D172" s="147">
        <v>33.86</v>
      </c>
      <c r="E172" s="139" t="s">
        <v>419</v>
      </c>
    </row>
    <row r="173" spans="1:5" x14ac:dyDescent="0.25">
      <c r="A173" s="144" t="s">
        <v>721</v>
      </c>
      <c r="B173" s="145" t="s">
        <v>722</v>
      </c>
      <c r="C173" s="145" t="s">
        <v>723</v>
      </c>
      <c r="D173" s="147">
        <v>518.03</v>
      </c>
      <c r="E173" s="139" t="s">
        <v>419</v>
      </c>
    </row>
    <row r="174" spans="1:5" x14ac:dyDescent="0.25">
      <c r="A174" s="144" t="s">
        <v>724</v>
      </c>
      <c r="B174" s="145" t="s">
        <v>610</v>
      </c>
      <c r="C174" s="145" t="s">
        <v>725</v>
      </c>
      <c r="D174" s="147">
        <v>15.29</v>
      </c>
      <c r="E174" s="139" t="s">
        <v>419</v>
      </c>
    </row>
    <row r="175" spans="1:5" x14ac:dyDescent="0.25">
      <c r="A175" s="144" t="s">
        <v>726</v>
      </c>
      <c r="B175" s="145" t="s">
        <v>610</v>
      </c>
      <c r="C175" s="145" t="s">
        <v>727</v>
      </c>
      <c r="D175" s="147">
        <v>99.72</v>
      </c>
      <c r="E175" s="139" t="s">
        <v>419</v>
      </c>
    </row>
    <row r="176" spans="1:5" x14ac:dyDescent="0.25">
      <c r="A176" s="144" t="s">
        <v>609</v>
      </c>
      <c r="B176" s="145" t="s">
        <v>610</v>
      </c>
      <c r="C176" s="145" t="s">
        <v>728</v>
      </c>
      <c r="D176" s="147">
        <v>14.1</v>
      </c>
      <c r="E176" s="139" t="s">
        <v>419</v>
      </c>
    </row>
    <row r="177" spans="1:5" x14ac:dyDescent="0.25">
      <c r="A177" s="144" t="s">
        <v>729</v>
      </c>
      <c r="B177" s="145" t="s">
        <v>610</v>
      </c>
      <c r="C177" s="145" t="s">
        <v>730</v>
      </c>
      <c r="D177" s="147">
        <v>318</v>
      </c>
      <c r="E177" s="139" t="s">
        <v>419</v>
      </c>
    </row>
    <row r="178" spans="1:5" x14ac:dyDescent="0.25">
      <c r="A178" s="144" t="s">
        <v>664</v>
      </c>
      <c r="B178" s="145" t="s">
        <v>610</v>
      </c>
      <c r="C178" s="145" t="s">
        <v>731</v>
      </c>
      <c r="D178" s="147">
        <v>20.38</v>
      </c>
      <c r="E178" s="139" t="s">
        <v>419</v>
      </c>
    </row>
    <row r="179" spans="1:5" x14ac:dyDescent="0.25">
      <c r="A179" s="144" t="s">
        <v>642</v>
      </c>
      <c r="B179" s="145" t="s">
        <v>732</v>
      </c>
      <c r="C179" s="145" t="s">
        <v>733</v>
      </c>
      <c r="D179" s="147">
        <v>1060</v>
      </c>
      <c r="E179" s="139" t="s">
        <v>419</v>
      </c>
    </row>
    <row r="180" spans="1:5" x14ac:dyDescent="0.25">
      <c r="A180" s="144" t="s">
        <v>642</v>
      </c>
      <c r="B180" s="145" t="s">
        <v>703</v>
      </c>
      <c r="C180" s="145" t="s">
        <v>734</v>
      </c>
      <c r="D180" s="147">
        <v>19.989999999999998</v>
      </c>
      <c r="E180" s="139" t="s">
        <v>419</v>
      </c>
    </row>
    <row r="181" spans="1:5" x14ac:dyDescent="0.25">
      <c r="A181" s="144" t="s">
        <v>642</v>
      </c>
      <c r="B181" s="145" t="s">
        <v>703</v>
      </c>
      <c r="C181" s="145" t="s">
        <v>735</v>
      </c>
      <c r="D181" s="147">
        <v>199.99</v>
      </c>
      <c r="E181" s="139" t="s">
        <v>419</v>
      </c>
    </row>
    <row r="182" spans="1:5" x14ac:dyDescent="0.25">
      <c r="A182" s="144" t="s">
        <v>642</v>
      </c>
      <c r="B182" s="145" t="s">
        <v>736</v>
      </c>
      <c r="C182" s="145" t="s">
        <v>737</v>
      </c>
      <c r="D182" s="147">
        <v>55.96</v>
      </c>
      <c r="E182" s="139" t="s">
        <v>419</v>
      </c>
    </row>
    <row r="183" spans="1:5" x14ac:dyDescent="0.25">
      <c r="A183" s="144" t="s">
        <v>601</v>
      </c>
      <c r="B183" s="145" t="s">
        <v>732</v>
      </c>
      <c r="C183" s="145" t="s">
        <v>733</v>
      </c>
      <c r="D183" s="147">
        <v>345</v>
      </c>
      <c r="E183" s="139" t="s">
        <v>419</v>
      </c>
    </row>
    <row r="184" spans="1:5" x14ac:dyDescent="0.25">
      <c r="A184" s="144" t="s">
        <v>601</v>
      </c>
      <c r="B184" s="145" t="s">
        <v>568</v>
      </c>
      <c r="C184" s="145" t="s">
        <v>738</v>
      </c>
      <c r="D184" s="147">
        <v>419.1</v>
      </c>
      <c r="E184" s="139" t="s">
        <v>419</v>
      </c>
    </row>
    <row r="185" spans="1:5" x14ac:dyDescent="0.25">
      <c r="A185" s="144" t="s">
        <v>601</v>
      </c>
      <c r="B185" s="145" t="s">
        <v>668</v>
      </c>
      <c r="C185" s="145" t="s">
        <v>739</v>
      </c>
      <c r="D185" s="147">
        <v>142.97</v>
      </c>
      <c r="E185" s="139" t="s">
        <v>419</v>
      </c>
    </row>
    <row r="186" spans="1:5" x14ac:dyDescent="0.25">
      <c r="A186" s="144" t="s">
        <v>632</v>
      </c>
      <c r="B186" s="145" t="s">
        <v>708</v>
      </c>
      <c r="C186" s="145" t="s">
        <v>740</v>
      </c>
      <c r="D186" s="147">
        <v>68.64</v>
      </c>
      <c r="E186" s="139" t="s">
        <v>419</v>
      </c>
    </row>
    <row r="187" spans="1:5" x14ac:dyDescent="0.25">
      <c r="A187" s="144" t="s">
        <v>695</v>
      </c>
      <c r="B187" s="145" t="s">
        <v>610</v>
      </c>
      <c r="C187" s="145" t="s">
        <v>730</v>
      </c>
      <c r="D187" s="147">
        <v>100.89</v>
      </c>
      <c r="E187" s="139" t="s">
        <v>419</v>
      </c>
    </row>
    <row r="188" spans="1:5" x14ac:dyDescent="0.25">
      <c r="A188" s="144" t="s">
        <v>583</v>
      </c>
      <c r="B188" s="145" t="s">
        <v>610</v>
      </c>
      <c r="C188" s="145" t="s">
        <v>741</v>
      </c>
      <c r="D188" s="147">
        <v>4172.3999999999996</v>
      </c>
      <c r="E188" s="139" t="s">
        <v>742</v>
      </c>
    </row>
    <row r="189" spans="1:5" x14ac:dyDescent="0.25">
      <c r="A189" s="144" t="s">
        <v>743</v>
      </c>
      <c r="B189" s="145" t="s">
        <v>668</v>
      </c>
      <c r="C189" s="145" t="s">
        <v>744</v>
      </c>
      <c r="D189" s="147">
        <v>3669.25</v>
      </c>
      <c r="E189" s="139" t="s">
        <v>745</v>
      </c>
    </row>
    <row r="190" spans="1:5" x14ac:dyDescent="0.25">
      <c r="A190" s="144" t="s">
        <v>746</v>
      </c>
      <c r="B190" s="145" t="s">
        <v>747</v>
      </c>
      <c r="C190" s="145" t="s">
        <v>748</v>
      </c>
      <c r="D190" s="147">
        <v>4415.45</v>
      </c>
      <c r="E190" s="139" t="s">
        <v>749</v>
      </c>
    </row>
    <row r="191" spans="1:5" x14ac:dyDescent="0.25">
      <c r="A191" s="144" t="s">
        <v>750</v>
      </c>
      <c r="B191" s="145" t="s">
        <v>751</v>
      </c>
      <c r="C191" s="145" t="s">
        <v>752</v>
      </c>
      <c r="D191" s="147">
        <v>5114</v>
      </c>
      <c r="E191" s="139" t="s">
        <v>753</v>
      </c>
    </row>
    <row r="192" spans="1:5" x14ac:dyDescent="0.25">
      <c r="A192" s="144" t="s">
        <v>826</v>
      </c>
      <c r="B192" s="145" t="s">
        <v>607</v>
      </c>
      <c r="C192" s="145" t="s">
        <v>837</v>
      </c>
      <c r="D192" s="147">
        <v>129</v>
      </c>
      <c r="E192" s="139" t="s">
        <v>419</v>
      </c>
    </row>
    <row r="193" spans="1:6" x14ac:dyDescent="0.25">
      <c r="A193" s="139" t="s">
        <v>839</v>
      </c>
      <c r="B193" s="139" t="s">
        <v>668</v>
      </c>
      <c r="D193" s="140">
        <v>1708.65</v>
      </c>
      <c r="E193" s="139" t="s">
        <v>292</v>
      </c>
    </row>
    <row r="195" spans="1:6" x14ac:dyDescent="0.25">
      <c r="D195" s="140">
        <f>SUM(D163:D194)</f>
        <v>24958.500000000004</v>
      </c>
    </row>
    <row r="197" spans="1:6" x14ac:dyDescent="0.25">
      <c r="A197" s="139">
        <v>60322050</v>
      </c>
      <c r="B197" s="139" t="s">
        <v>754</v>
      </c>
    </row>
    <row r="198" spans="1:6" x14ac:dyDescent="0.25">
      <c r="A198" s="141" t="s">
        <v>553</v>
      </c>
      <c r="B198" s="141" t="s">
        <v>554</v>
      </c>
      <c r="C198" s="141" t="s">
        <v>364</v>
      </c>
      <c r="D198" s="142" t="s">
        <v>555</v>
      </c>
      <c r="E198" s="141" t="s">
        <v>556</v>
      </c>
    </row>
    <row r="199" spans="1:6" x14ac:dyDescent="0.25">
      <c r="A199" s="144" t="s">
        <v>758</v>
      </c>
      <c r="B199" s="145" t="s">
        <v>759</v>
      </c>
      <c r="C199" s="145" t="s">
        <v>760</v>
      </c>
      <c r="D199" s="148">
        <v>48902</v>
      </c>
      <c r="E199" s="139" t="s">
        <v>761</v>
      </c>
      <c r="F199" s="139" t="s">
        <v>868</v>
      </c>
    </row>
    <row r="200" spans="1:6" x14ac:dyDescent="0.25">
      <c r="A200" s="144" t="s">
        <v>758</v>
      </c>
      <c r="B200" s="145" t="s">
        <v>759</v>
      </c>
      <c r="C200" s="145" t="s">
        <v>762</v>
      </c>
      <c r="D200" s="148">
        <v>50250</v>
      </c>
      <c r="E200" s="139" t="s">
        <v>761</v>
      </c>
      <c r="F200" s="139" t="s">
        <v>868</v>
      </c>
    </row>
    <row r="201" spans="1:6" x14ac:dyDescent="0.25">
      <c r="A201" s="144" t="s">
        <v>758</v>
      </c>
      <c r="B201" s="145" t="s">
        <v>759</v>
      </c>
      <c r="C201" s="145" t="s">
        <v>779</v>
      </c>
      <c r="D201" s="147">
        <v>49550</v>
      </c>
      <c r="E201" s="139" t="s">
        <v>780</v>
      </c>
      <c r="F201" s="139" t="s">
        <v>869</v>
      </c>
    </row>
    <row r="202" spans="1:6" x14ac:dyDescent="0.25">
      <c r="A202" s="144" t="s">
        <v>786</v>
      </c>
      <c r="B202" s="145" t="s">
        <v>755</v>
      </c>
      <c r="C202" s="145" t="s">
        <v>787</v>
      </c>
      <c r="D202" s="147">
        <v>6299.17</v>
      </c>
      <c r="E202" s="139" t="s">
        <v>788</v>
      </c>
      <c r="F202" s="139" t="s">
        <v>865</v>
      </c>
    </row>
    <row r="203" spans="1:6" x14ac:dyDescent="0.25">
      <c r="A203" s="144" t="s">
        <v>763</v>
      </c>
      <c r="B203" s="145" t="s">
        <v>715</v>
      </c>
      <c r="C203" s="145" t="s">
        <v>764</v>
      </c>
      <c r="D203" s="148">
        <v>11572</v>
      </c>
      <c r="E203" s="139" t="s">
        <v>761</v>
      </c>
      <c r="F203" s="139" t="s">
        <v>868</v>
      </c>
    </row>
    <row r="204" spans="1:6" x14ac:dyDescent="0.25">
      <c r="A204" s="144" t="s">
        <v>765</v>
      </c>
      <c r="B204" s="145" t="s">
        <v>766</v>
      </c>
      <c r="C204" s="145" t="s">
        <v>767</v>
      </c>
      <c r="D204" s="148">
        <v>14560.88</v>
      </c>
      <c r="E204" s="139" t="s">
        <v>761</v>
      </c>
      <c r="F204" s="139" t="s">
        <v>868</v>
      </c>
    </row>
    <row r="205" spans="1:6" x14ac:dyDescent="0.25">
      <c r="A205" s="144" t="s">
        <v>612</v>
      </c>
      <c r="B205" s="145" t="s">
        <v>766</v>
      </c>
      <c r="C205" s="145" t="s">
        <v>768</v>
      </c>
      <c r="D205" s="148">
        <v>15777.45</v>
      </c>
      <c r="E205" s="139" t="s">
        <v>761</v>
      </c>
      <c r="F205" s="139" t="s">
        <v>869</v>
      </c>
    </row>
    <row r="206" spans="1:6" x14ac:dyDescent="0.25">
      <c r="A206" s="144" t="s">
        <v>769</v>
      </c>
      <c r="B206" s="145" t="s">
        <v>770</v>
      </c>
      <c r="C206" s="145" t="s">
        <v>771</v>
      </c>
      <c r="D206" s="148">
        <v>50000</v>
      </c>
      <c r="E206" s="139" t="s">
        <v>772</v>
      </c>
      <c r="F206" s="139" t="s">
        <v>870</v>
      </c>
    </row>
    <row r="207" spans="1:6" x14ac:dyDescent="0.25">
      <c r="A207" s="144" t="s">
        <v>619</v>
      </c>
      <c r="B207" s="145" t="s">
        <v>568</v>
      </c>
      <c r="C207" s="145" t="s">
        <v>776</v>
      </c>
      <c r="D207" s="147">
        <v>17675</v>
      </c>
      <c r="E207" s="139" t="s">
        <v>777</v>
      </c>
      <c r="F207" s="139" t="s">
        <v>867</v>
      </c>
    </row>
    <row r="208" spans="1:6" x14ac:dyDescent="0.25">
      <c r="A208" s="144" t="s">
        <v>685</v>
      </c>
      <c r="B208" s="145" t="s">
        <v>774</v>
      </c>
      <c r="C208" s="145" t="s">
        <v>781</v>
      </c>
      <c r="D208" s="147">
        <v>18490</v>
      </c>
      <c r="E208" s="139" t="s">
        <v>780</v>
      </c>
    </row>
    <row r="209" spans="1:6" x14ac:dyDescent="0.25">
      <c r="A209" s="144" t="s">
        <v>773</v>
      </c>
      <c r="B209" s="145" t="s">
        <v>774</v>
      </c>
      <c r="C209" s="145" t="s">
        <v>775</v>
      </c>
      <c r="D209" s="148">
        <v>18698.009999999998</v>
      </c>
      <c r="E209" s="139" t="s">
        <v>772</v>
      </c>
      <c r="F209" s="139" t="s">
        <v>870</v>
      </c>
    </row>
    <row r="210" spans="1:6" x14ac:dyDescent="0.25">
      <c r="A210" s="144" t="s">
        <v>773</v>
      </c>
      <c r="B210" s="145" t="s">
        <v>789</v>
      </c>
      <c r="C210" s="145" t="s">
        <v>790</v>
      </c>
      <c r="D210" s="147">
        <v>26741</v>
      </c>
      <c r="E210" s="139" t="s">
        <v>866</v>
      </c>
      <c r="F210" s="139" t="s">
        <v>874</v>
      </c>
    </row>
    <row r="211" spans="1:6" x14ac:dyDescent="0.25">
      <c r="A211" s="144" t="s">
        <v>636</v>
      </c>
      <c r="B211" s="145" t="s">
        <v>755</v>
      </c>
      <c r="C211" s="145" t="s">
        <v>756</v>
      </c>
      <c r="D211" s="147">
        <v>17486.25</v>
      </c>
      <c r="E211" s="139" t="s">
        <v>757</v>
      </c>
      <c r="F211" s="139" t="s">
        <v>872</v>
      </c>
    </row>
    <row r="212" spans="1:6" x14ac:dyDescent="0.25">
      <c r="A212" s="144" t="s">
        <v>636</v>
      </c>
      <c r="B212" s="145" t="s">
        <v>755</v>
      </c>
      <c r="C212" s="145" t="s">
        <v>756</v>
      </c>
      <c r="D212" s="147">
        <v>17486.25</v>
      </c>
      <c r="E212" s="139" t="s">
        <v>757</v>
      </c>
      <c r="F212" s="139" t="s">
        <v>871</v>
      </c>
    </row>
    <row r="213" spans="1:6" x14ac:dyDescent="0.25">
      <c r="A213" s="144" t="s">
        <v>696</v>
      </c>
      <c r="B213" s="145" t="s">
        <v>568</v>
      </c>
      <c r="C213" s="145" t="s">
        <v>778</v>
      </c>
      <c r="D213" s="147">
        <v>16025</v>
      </c>
      <c r="E213" s="139" t="s">
        <v>777</v>
      </c>
      <c r="F213" s="139" t="s">
        <v>867</v>
      </c>
    </row>
    <row r="214" spans="1:6" x14ac:dyDescent="0.25">
      <c r="A214" s="144" t="s">
        <v>782</v>
      </c>
      <c r="B214" s="145" t="s">
        <v>783</v>
      </c>
      <c r="C214" s="145" t="s">
        <v>784</v>
      </c>
      <c r="D214" s="147">
        <v>26738</v>
      </c>
      <c r="E214" s="139" t="s">
        <v>785</v>
      </c>
      <c r="F214" s="139" t="s">
        <v>873</v>
      </c>
    </row>
    <row r="215" spans="1:6" x14ac:dyDescent="0.25">
      <c r="A215" s="139" t="s">
        <v>838</v>
      </c>
      <c r="B215" s="139" t="s">
        <v>568</v>
      </c>
      <c r="C215" s="145" t="s">
        <v>778</v>
      </c>
      <c r="D215" s="140">
        <v>48075</v>
      </c>
      <c r="E215" s="139" t="s">
        <v>777</v>
      </c>
      <c r="F215" s="139" t="s">
        <v>867</v>
      </c>
    </row>
    <row r="218" spans="1:6" x14ac:dyDescent="0.25">
      <c r="A218" s="139">
        <v>6081800</v>
      </c>
      <c r="B218" s="139" t="s">
        <v>791</v>
      </c>
    </row>
    <row r="219" spans="1:6" x14ac:dyDescent="0.25">
      <c r="A219" s="141" t="s">
        <v>553</v>
      </c>
      <c r="B219" s="141" t="s">
        <v>554</v>
      </c>
      <c r="C219" s="141" t="s">
        <v>364</v>
      </c>
      <c r="D219" s="142" t="s">
        <v>555</v>
      </c>
      <c r="E219" s="141" t="s">
        <v>556</v>
      </c>
    </row>
    <row r="220" spans="1:6" x14ac:dyDescent="0.25">
      <c r="A220" s="139" t="s">
        <v>758</v>
      </c>
      <c r="B220" s="139" t="s">
        <v>792</v>
      </c>
      <c r="C220" s="139" t="s">
        <v>793</v>
      </c>
      <c r="D220" s="140">
        <v>820</v>
      </c>
      <c r="E220" s="139" t="s">
        <v>224</v>
      </c>
    </row>
    <row r="221" spans="1:6" x14ac:dyDescent="0.25">
      <c r="A221" s="139" t="s">
        <v>561</v>
      </c>
      <c r="B221" s="139" t="s">
        <v>794</v>
      </c>
      <c r="C221" s="139" t="s">
        <v>795</v>
      </c>
      <c r="D221" s="140">
        <v>60</v>
      </c>
      <c r="E221" s="139" t="s">
        <v>224</v>
      </c>
    </row>
    <row r="222" spans="1:6" x14ac:dyDescent="0.25">
      <c r="A222" s="139" t="s">
        <v>619</v>
      </c>
      <c r="B222" s="139" t="s">
        <v>796</v>
      </c>
      <c r="C222" s="139" t="s">
        <v>797</v>
      </c>
      <c r="D222" s="140">
        <v>84.95</v>
      </c>
      <c r="E222" s="139" t="s">
        <v>224</v>
      </c>
    </row>
    <row r="223" spans="1:6" x14ac:dyDescent="0.25">
      <c r="A223" s="139" t="s">
        <v>798</v>
      </c>
      <c r="B223" s="139" t="s">
        <v>799</v>
      </c>
      <c r="C223" s="139" t="s">
        <v>800</v>
      </c>
      <c r="D223" s="140">
        <v>50</v>
      </c>
      <c r="E223" s="139" t="s">
        <v>224</v>
      </c>
    </row>
    <row r="224" spans="1:6" x14ac:dyDescent="0.25">
      <c r="A224" s="139" t="s">
        <v>798</v>
      </c>
      <c r="B224" s="139" t="s">
        <v>801</v>
      </c>
      <c r="C224" s="139" t="s">
        <v>800</v>
      </c>
      <c r="D224" s="140">
        <v>150</v>
      </c>
      <c r="E224" s="139" t="s">
        <v>224</v>
      </c>
    </row>
    <row r="225" spans="1:5" x14ac:dyDescent="0.25">
      <c r="A225" s="139" t="s">
        <v>601</v>
      </c>
      <c r="B225" s="139" t="s">
        <v>703</v>
      </c>
      <c r="C225" s="139" t="s">
        <v>802</v>
      </c>
      <c r="D225" s="140">
        <v>1232.55</v>
      </c>
      <c r="E225" s="139" t="s">
        <v>224</v>
      </c>
    </row>
    <row r="226" spans="1:5" x14ac:dyDescent="0.25">
      <c r="A226" s="139" t="s">
        <v>580</v>
      </c>
      <c r="B226" s="139" t="s">
        <v>803</v>
      </c>
      <c r="C226" s="139" t="s">
        <v>804</v>
      </c>
      <c r="D226" s="140">
        <v>800</v>
      </c>
      <c r="E226" s="139" t="s">
        <v>224</v>
      </c>
    </row>
    <row r="227" spans="1:5" x14ac:dyDescent="0.25">
      <c r="A227" s="139" t="s">
        <v>805</v>
      </c>
      <c r="B227" s="139" t="s">
        <v>806</v>
      </c>
      <c r="C227" s="139" t="s">
        <v>807</v>
      </c>
      <c r="D227" s="140">
        <v>5032</v>
      </c>
      <c r="E227" s="139" t="s">
        <v>224</v>
      </c>
    </row>
    <row r="228" spans="1:5" x14ac:dyDescent="0.25">
      <c r="A228" s="139" t="s">
        <v>689</v>
      </c>
      <c r="B228" s="139" t="s">
        <v>808</v>
      </c>
      <c r="C228" s="139" t="s">
        <v>809</v>
      </c>
      <c r="D228" s="140">
        <v>2160</v>
      </c>
      <c r="E228" s="139" t="s">
        <v>224</v>
      </c>
    </row>
    <row r="229" spans="1:5" x14ac:dyDescent="0.25">
      <c r="A229" s="139" t="s">
        <v>567</v>
      </c>
      <c r="B229" s="139" t="s">
        <v>810</v>
      </c>
      <c r="C229" s="139" t="s">
        <v>811</v>
      </c>
      <c r="D229" s="140">
        <v>98.4</v>
      </c>
      <c r="E229" s="139" t="s">
        <v>224</v>
      </c>
    </row>
    <row r="231" spans="1:5" x14ac:dyDescent="0.25">
      <c r="D231" s="140">
        <f>SUM(D220:D230)</f>
        <v>10487.9</v>
      </c>
    </row>
    <row r="233" spans="1:5" x14ac:dyDescent="0.25">
      <c r="A233" s="139">
        <v>6082050</v>
      </c>
      <c r="B233" s="139" t="s">
        <v>812</v>
      </c>
    </row>
    <row r="234" spans="1:5" x14ac:dyDescent="0.25">
      <c r="A234" s="141" t="s">
        <v>553</v>
      </c>
      <c r="B234" s="141" t="s">
        <v>554</v>
      </c>
      <c r="C234" s="141" t="s">
        <v>364</v>
      </c>
      <c r="D234" s="142" t="s">
        <v>555</v>
      </c>
      <c r="E234" s="141" t="s">
        <v>556</v>
      </c>
    </row>
    <row r="235" spans="1:5" x14ac:dyDescent="0.25">
      <c r="A235" s="139" t="s">
        <v>758</v>
      </c>
      <c r="B235" s="139" t="s">
        <v>813</v>
      </c>
      <c r="C235" s="139" t="s">
        <v>814</v>
      </c>
      <c r="D235" s="140">
        <v>12498</v>
      </c>
      <c r="E235" s="139" t="s">
        <v>815</v>
      </c>
    </row>
  </sheetData>
  <sortState xmlns:xlrd2="http://schemas.microsoft.com/office/spreadsheetml/2017/richdata2" ref="A199:E214">
    <sortCondition ref="A199:A214"/>
  </sortState>
  <pageMargins left="0.7" right="0.7" top="0.75" bottom="0.75" header="0.3" footer="0.3"/>
  <pageSetup paperSize="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F67B7-44E7-4BE7-AC4C-E8CEF34CCF81}">
  <sheetPr>
    <pageSetUpPr fitToPage="1"/>
  </sheetPr>
  <dimension ref="A1:AV40"/>
  <sheetViews>
    <sheetView workbookViewId="0">
      <pane xSplit="1" ySplit="3" topLeftCell="S4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29.42578125" customWidth="1"/>
    <col min="2" max="2" width="10.5703125" style="59" bestFit="1" customWidth="1"/>
    <col min="3" max="4" width="10.5703125" style="59" customWidth="1"/>
    <col min="5" max="5" width="2.7109375" style="59" customWidth="1"/>
    <col min="6" max="6" width="10.5703125" style="59" bestFit="1" customWidth="1"/>
    <col min="7" max="7" width="10.5703125" bestFit="1" customWidth="1"/>
    <col min="8" max="8" width="11.28515625" bestFit="1" customWidth="1"/>
    <col min="9" max="9" width="2.7109375" style="59" customWidth="1"/>
    <col min="10" max="10" width="10.5703125" style="59" bestFit="1" customWidth="1"/>
    <col min="11" max="11" width="10.5703125" bestFit="1" customWidth="1"/>
    <col min="12" max="12" width="11.28515625" bestFit="1" customWidth="1"/>
    <col min="13" max="13" width="2.7109375" style="59" customWidth="1"/>
    <col min="14" max="14" width="10.5703125" style="59" bestFit="1" customWidth="1"/>
    <col min="15" max="15" width="10.5703125" bestFit="1" customWidth="1"/>
    <col min="16" max="16" width="11.28515625" bestFit="1" customWidth="1"/>
    <col min="17" max="17" width="2.7109375" style="59" customWidth="1"/>
    <col min="18" max="18" width="10.5703125" style="59" bestFit="1" customWidth="1"/>
    <col min="19" max="19" width="10.5703125" bestFit="1" customWidth="1"/>
    <col min="20" max="20" width="11.28515625" bestFit="1" customWidth="1"/>
    <col min="21" max="21" width="2.7109375" style="59" customWidth="1"/>
    <col min="22" max="22" width="10.5703125" style="59" bestFit="1" customWidth="1"/>
    <col min="23" max="23" width="10.5703125" bestFit="1" customWidth="1"/>
    <col min="24" max="24" width="11.28515625" bestFit="1" customWidth="1"/>
    <col min="25" max="25" width="2.7109375" style="59" customWidth="1"/>
    <col min="26" max="26" width="10.5703125" style="59" bestFit="1" customWidth="1"/>
    <col min="27" max="27" width="10.5703125" bestFit="1" customWidth="1"/>
    <col min="28" max="28" width="11.28515625" bestFit="1" customWidth="1"/>
    <col min="29" max="29" width="2.7109375" style="59" customWidth="1"/>
    <col min="30" max="30" width="10.5703125" style="59" bestFit="1" customWidth="1"/>
    <col min="31" max="31" width="10.5703125" bestFit="1" customWidth="1"/>
    <col min="32" max="32" width="11.28515625" bestFit="1" customWidth="1"/>
    <col min="33" max="33" width="2.7109375" style="59" customWidth="1"/>
    <col min="34" max="34" width="10.5703125" style="59" bestFit="1" customWidth="1"/>
    <col min="35" max="35" width="10.5703125" bestFit="1" customWidth="1"/>
    <col min="36" max="36" width="11.28515625" bestFit="1" customWidth="1"/>
    <col min="37" max="37" width="2.7109375" style="59" customWidth="1"/>
    <col min="38" max="38" width="10.5703125" style="59" bestFit="1" customWidth="1"/>
    <col min="39" max="39" width="10.5703125" bestFit="1" customWidth="1"/>
    <col min="40" max="40" width="11.28515625" bestFit="1" customWidth="1"/>
    <col min="41" max="41" width="2.7109375" style="59" customWidth="1"/>
    <col min="42" max="42" width="10.5703125" style="59" bestFit="1" customWidth="1"/>
    <col min="43" max="43" width="10.5703125" bestFit="1" customWidth="1"/>
    <col min="44" max="44" width="11.28515625" bestFit="1" customWidth="1"/>
    <col min="46" max="46" width="13.85546875" bestFit="1" customWidth="1"/>
    <col min="47" max="48" width="9.5703125" bestFit="1" customWidth="1"/>
  </cols>
  <sheetData>
    <row r="1" spans="1:48" x14ac:dyDescent="0.25">
      <c r="B1" s="165" t="s">
        <v>469</v>
      </c>
      <c r="C1" s="165"/>
      <c r="D1" s="165"/>
      <c r="E1" s="165"/>
      <c r="F1" s="165"/>
      <c r="G1" s="165"/>
      <c r="H1" s="165"/>
      <c r="I1" s="165"/>
      <c r="J1" s="165"/>
      <c r="K1" s="165"/>
      <c r="L1" s="165"/>
      <c r="M1" s="165"/>
      <c r="N1" s="165"/>
      <c r="O1" s="165"/>
      <c r="P1" s="165"/>
      <c r="Q1" s="105"/>
      <c r="R1" s="105"/>
      <c r="S1" s="105"/>
      <c r="T1" s="105"/>
      <c r="U1" s="105"/>
      <c r="V1" s="105"/>
      <c r="W1" s="105"/>
      <c r="X1" s="105"/>
      <c r="Y1" s="105"/>
      <c r="Z1" s="105"/>
      <c r="AA1" s="105"/>
      <c r="AB1" s="105"/>
      <c r="AC1" s="105"/>
      <c r="AD1" s="105"/>
      <c r="AE1" s="105"/>
      <c r="AF1" s="105"/>
      <c r="AG1" s="105"/>
      <c r="AH1" s="105"/>
      <c r="AI1" s="105"/>
      <c r="AJ1" s="105"/>
      <c r="AK1" s="105"/>
      <c r="AL1" s="105"/>
      <c r="AM1" s="105"/>
      <c r="AN1" s="105"/>
      <c r="AO1" s="105"/>
      <c r="AP1" s="105"/>
      <c r="AQ1" s="105"/>
      <c r="AR1" s="105"/>
      <c r="AS1" s="106"/>
    </row>
    <row r="2" spans="1:48" x14ac:dyDescent="0.25">
      <c r="B2" s="165" t="s">
        <v>470</v>
      </c>
      <c r="C2" s="165"/>
      <c r="D2" s="165"/>
      <c r="E2" s="107"/>
      <c r="F2" s="165" t="s">
        <v>471</v>
      </c>
      <c r="G2" s="165"/>
      <c r="H2" s="165"/>
      <c r="I2" s="107"/>
      <c r="J2" s="165" t="s">
        <v>472</v>
      </c>
      <c r="K2" s="165"/>
      <c r="L2" s="165"/>
      <c r="M2" s="107"/>
      <c r="N2" s="165" t="s">
        <v>473</v>
      </c>
      <c r="O2" s="165"/>
      <c r="P2" s="165"/>
      <c r="Q2" s="107"/>
      <c r="R2" s="165" t="s">
        <v>474</v>
      </c>
      <c r="S2" s="165"/>
      <c r="T2" s="165"/>
      <c r="U2" s="107"/>
      <c r="V2" s="165" t="s">
        <v>498</v>
      </c>
      <c r="W2" s="165"/>
      <c r="X2" s="165"/>
      <c r="Y2" s="107"/>
      <c r="Z2" s="165" t="s">
        <v>504</v>
      </c>
      <c r="AA2" s="165"/>
      <c r="AB2" s="165"/>
      <c r="AC2" s="107"/>
      <c r="AD2" s="165" t="s">
        <v>822</v>
      </c>
      <c r="AE2" s="165"/>
      <c r="AF2" s="165"/>
      <c r="AG2" s="107"/>
      <c r="AH2" s="165" t="s">
        <v>860</v>
      </c>
      <c r="AI2" s="165"/>
      <c r="AJ2" s="165"/>
      <c r="AK2" s="107"/>
      <c r="AL2" s="165" t="s">
        <v>878</v>
      </c>
      <c r="AM2" s="165"/>
      <c r="AN2" s="165"/>
      <c r="AO2" s="107"/>
      <c r="AP2" s="165" t="s">
        <v>879</v>
      </c>
      <c r="AQ2" s="165"/>
      <c r="AR2" s="165"/>
      <c r="AT2" s="60" t="s">
        <v>475</v>
      </c>
    </row>
    <row r="3" spans="1:48" x14ac:dyDescent="0.25">
      <c r="A3" s="108" t="s">
        <v>476</v>
      </c>
      <c r="B3" s="109" t="s">
        <v>477</v>
      </c>
      <c r="C3" s="109" t="s">
        <v>478</v>
      </c>
      <c r="D3" s="109" t="s">
        <v>468</v>
      </c>
      <c r="E3" s="110"/>
      <c r="F3" s="109" t="s">
        <v>477</v>
      </c>
      <c r="G3" s="109" t="s">
        <v>478</v>
      </c>
      <c r="H3" s="109" t="s">
        <v>468</v>
      </c>
      <c r="I3" s="110"/>
      <c r="J3" s="109" t="s">
        <v>477</v>
      </c>
      <c r="K3" s="109" t="s">
        <v>478</v>
      </c>
      <c r="L3" s="109" t="s">
        <v>468</v>
      </c>
      <c r="M3" s="110"/>
      <c r="N3" s="109" t="s">
        <v>477</v>
      </c>
      <c r="O3" s="109" t="s">
        <v>478</v>
      </c>
      <c r="P3" s="109" t="s">
        <v>468</v>
      </c>
      <c r="Q3" s="110"/>
      <c r="R3" s="109" t="s">
        <v>477</v>
      </c>
      <c r="S3" s="109" t="s">
        <v>478</v>
      </c>
      <c r="T3" s="109" t="s">
        <v>468</v>
      </c>
      <c r="U3" s="110"/>
      <c r="V3" s="109" t="s">
        <v>477</v>
      </c>
      <c r="W3" s="109" t="s">
        <v>478</v>
      </c>
      <c r="X3" s="109" t="s">
        <v>468</v>
      </c>
      <c r="Y3" s="110"/>
      <c r="Z3" s="109" t="s">
        <v>477</v>
      </c>
      <c r="AA3" s="109" t="s">
        <v>478</v>
      </c>
      <c r="AB3" s="109" t="s">
        <v>468</v>
      </c>
      <c r="AC3" s="110"/>
      <c r="AD3" s="109" t="s">
        <v>477</v>
      </c>
      <c r="AE3" s="109" t="s">
        <v>478</v>
      </c>
      <c r="AF3" s="109" t="s">
        <v>468</v>
      </c>
      <c r="AG3" s="110"/>
      <c r="AH3" s="109" t="s">
        <v>477</v>
      </c>
      <c r="AI3" s="109" t="s">
        <v>478</v>
      </c>
      <c r="AJ3" s="109" t="s">
        <v>468</v>
      </c>
      <c r="AK3" s="110"/>
      <c r="AL3" s="109" t="s">
        <v>477</v>
      </c>
      <c r="AM3" s="109" t="s">
        <v>478</v>
      </c>
      <c r="AN3" s="109" t="s">
        <v>468</v>
      </c>
      <c r="AO3" s="110"/>
      <c r="AP3" s="109" t="s">
        <v>477</v>
      </c>
      <c r="AQ3" s="109" t="s">
        <v>478</v>
      </c>
      <c r="AR3" s="109" t="s">
        <v>468</v>
      </c>
      <c r="AT3" s="111" t="s">
        <v>479</v>
      </c>
    </row>
    <row r="4" spans="1:48" x14ac:dyDescent="0.25">
      <c r="A4" t="s">
        <v>480</v>
      </c>
      <c r="B4" s="59">
        <f>+'Full Data'!C126</f>
        <v>220.99</v>
      </c>
      <c r="C4" s="59">
        <f>+'Full Data'!D126</f>
        <v>1646</v>
      </c>
      <c r="D4" s="59">
        <f t="shared" ref="D4:D14" si="0">+B4-C4</f>
        <v>-1425.01</v>
      </c>
      <c r="E4" s="112"/>
      <c r="F4" s="59">
        <f>+'Full Data'!F126</f>
        <v>1299.5899999999999</v>
      </c>
      <c r="G4" s="59">
        <f>+'Full Data'!G126</f>
        <v>1646</v>
      </c>
      <c r="H4" s="59">
        <f t="shared" ref="H4:H14" si="1">+F4-G4</f>
        <v>-346.41000000000008</v>
      </c>
      <c r="I4" s="112"/>
      <c r="J4" s="59">
        <f>+'Full Data'!I126</f>
        <v>586.91</v>
      </c>
      <c r="K4" s="59">
        <f>+'Full Data'!J126</f>
        <v>1646</v>
      </c>
      <c r="L4" s="59">
        <f t="shared" ref="L4:L14" si="2">+J4-K4</f>
        <v>-1059.0900000000001</v>
      </c>
      <c r="M4" s="112"/>
      <c r="N4" s="59">
        <f>+'Full Data'!L126</f>
        <v>546.12</v>
      </c>
      <c r="O4" s="59">
        <f>+'Full Data'!M126</f>
        <v>1646</v>
      </c>
      <c r="P4" s="59">
        <f t="shared" ref="P4:P14" si="3">+N4-O4</f>
        <v>-1099.8800000000001</v>
      </c>
      <c r="Q4" s="112"/>
      <c r="R4" s="59">
        <f>+'Full Data'!O126</f>
        <v>604.05999999999995</v>
      </c>
      <c r="S4" s="59">
        <f>+'Full Data'!P126</f>
        <v>402</v>
      </c>
      <c r="T4" s="59">
        <f t="shared" ref="T4:T14" si="4">+R4-S4</f>
        <v>202.05999999999995</v>
      </c>
      <c r="U4" s="112"/>
      <c r="V4" s="59">
        <f>+'Full Data'!R126</f>
        <v>432.2</v>
      </c>
      <c r="W4" s="59">
        <f>+'Full Data'!S126</f>
        <v>402</v>
      </c>
      <c r="X4" s="59">
        <f t="shared" ref="X4:X14" si="5">+V4-W4</f>
        <v>30.199999999999989</v>
      </c>
      <c r="Y4" s="112"/>
      <c r="Z4" s="59">
        <f>+'Full Data'!U126</f>
        <v>289.74</v>
      </c>
      <c r="AA4" s="59">
        <f>+'Full Data'!V126</f>
        <v>402</v>
      </c>
      <c r="AB4" s="59">
        <f t="shared" ref="AB4:AB14" si="6">+Z4-AA4</f>
        <v>-112.25999999999999</v>
      </c>
      <c r="AC4" s="112"/>
      <c r="AD4" s="59">
        <f>+'Full Data'!X126</f>
        <v>869.67</v>
      </c>
      <c r="AE4" s="59">
        <f>+'Full Data'!Y126</f>
        <v>402</v>
      </c>
      <c r="AF4" s="59">
        <f t="shared" ref="AF4:AF14" si="7">+AD4-AE4</f>
        <v>467.66999999999996</v>
      </c>
      <c r="AG4" s="112"/>
      <c r="AH4" s="59">
        <f>+'Full Data'!AA126</f>
        <v>510.59</v>
      </c>
      <c r="AI4" s="59">
        <f>+'Full Data'!AB126</f>
        <v>402</v>
      </c>
      <c r="AJ4" s="59">
        <f t="shared" ref="AJ4:AJ14" si="8">+AH4-AI4</f>
        <v>108.58999999999997</v>
      </c>
      <c r="AK4" s="112"/>
      <c r="AL4" s="59">
        <f>+'Full Data'!AD126</f>
        <v>78.92</v>
      </c>
      <c r="AM4" s="59">
        <f>+'Full Data'!AE126</f>
        <v>402</v>
      </c>
      <c r="AN4" s="59">
        <f t="shared" ref="AN4:AN14" si="9">+AL4-AM4</f>
        <v>-323.08</v>
      </c>
      <c r="AO4" s="112"/>
      <c r="AP4" s="59">
        <f>+'Full Data'!AG126</f>
        <v>768.25</v>
      </c>
      <c r="AQ4" s="59">
        <f>+'Full Data'!AH126</f>
        <v>402</v>
      </c>
      <c r="AR4" s="59">
        <f t="shared" ref="AR4:AR14" si="10">+AP4-AQ4</f>
        <v>366.25</v>
      </c>
      <c r="AT4" s="104">
        <f>+B4+F4+J4+N4+R4+V4+Z4+AD4+AH4+AL4</f>
        <v>5438.79</v>
      </c>
      <c r="AU4" s="104"/>
      <c r="AV4" s="104"/>
    </row>
    <row r="5" spans="1:48" x14ac:dyDescent="0.25">
      <c r="A5" t="s">
        <v>481</v>
      </c>
      <c r="B5" s="59">
        <f>+'Full Data'!C207</f>
        <v>17792.84</v>
      </c>
      <c r="C5" s="59">
        <f>+'Full Data'!D207</f>
        <v>10158</v>
      </c>
      <c r="D5" s="59">
        <f t="shared" si="0"/>
        <v>7634.84</v>
      </c>
      <c r="E5" s="112"/>
      <c r="F5" s="59">
        <f>+'Full Data'!F207</f>
        <v>16902.48</v>
      </c>
      <c r="G5" s="59">
        <f>+'Full Data'!G207</f>
        <v>10976</v>
      </c>
      <c r="H5" s="59">
        <f t="shared" si="1"/>
        <v>5926.48</v>
      </c>
      <c r="I5" s="112"/>
      <c r="J5" s="59">
        <f>+'Full Data'!I207</f>
        <v>19450.25</v>
      </c>
      <c r="K5" s="59">
        <f>+'Full Data'!J207</f>
        <v>10976</v>
      </c>
      <c r="L5" s="59">
        <f t="shared" si="2"/>
        <v>8474.25</v>
      </c>
      <c r="M5" s="112"/>
      <c r="N5" s="59">
        <f>+'Full Data'!L207</f>
        <v>22068.98</v>
      </c>
      <c r="O5" s="59">
        <f>+'Full Data'!M207</f>
        <v>10976</v>
      </c>
      <c r="P5" s="59">
        <f t="shared" si="3"/>
        <v>11092.98</v>
      </c>
      <c r="Q5" s="112"/>
      <c r="R5" s="59">
        <f>+'Full Data'!O207</f>
        <v>7989.34</v>
      </c>
      <c r="S5" s="59">
        <f>+'Full Data'!P207</f>
        <v>10976</v>
      </c>
      <c r="T5" s="59">
        <f t="shared" si="4"/>
        <v>-2986.66</v>
      </c>
      <c r="U5" s="112"/>
      <c r="V5" s="59">
        <f>+'Full Data'!R207</f>
        <v>12720.63</v>
      </c>
      <c r="W5" s="59">
        <f>+'Full Data'!S207</f>
        <v>10976</v>
      </c>
      <c r="X5" s="59">
        <f t="shared" si="5"/>
        <v>1744.6299999999992</v>
      </c>
      <c r="Y5" s="112"/>
      <c r="Z5" s="59">
        <f>+'Full Data'!U207</f>
        <v>16411.02</v>
      </c>
      <c r="AA5" s="59">
        <f>+'Full Data'!V207</f>
        <v>10976</v>
      </c>
      <c r="AB5" s="59">
        <f t="shared" si="6"/>
        <v>5435.02</v>
      </c>
      <c r="AC5" s="112"/>
      <c r="AD5" s="59">
        <f>+'Full Data'!X207</f>
        <v>15570.26</v>
      </c>
      <c r="AE5" s="59">
        <f>+'Full Data'!Y207</f>
        <v>10159</v>
      </c>
      <c r="AF5" s="59">
        <f t="shared" si="7"/>
        <v>5411.26</v>
      </c>
      <c r="AG5" s="112"/>
      <c r="AH5" s="59">
        <f>+'Full Data'!AA207</f>
        <v>33891.71</v>
      </c>
      <c r="AI5" s="59">
        <f>+'Full Data'!AB207</f>
        <v>10159</v>
      </c>
      <c r="AJ5" s="59">
        <f t="shared" si="8"/>
        <v>23732.71</v>
      </c>
      <c r="AK5" s="112"/>
      <c r="AL5" s="59">
        <f>+'Full Data'!AD207</f>
        <v>14004.61</v>
      </c>
      <c r="AM5" s="59">
        <f>+'Full Data'!AE207</f>
        <v>10159</v>
      </c>
      <c r="AN5" s="59">
        <f t="shared" si="9"/>
        <v>3845.6100000000006</v>
      </c>
      <c r="AO5" s="112"/>
      <c r="AP5" s="59">
        <f>+'Full Data'!AG207</f>
        <v>10093.709999999999</v>
      </c>
      <c r="AQ5" s="59">
        <f>+'Full Data'!AH207</f>
        <v>10159</v>
      </c>
      <c r="AR5" s="59">
        <f t="shared" si="10"/>
        <v>-65.290000000000873</v>
      </c>
      <c r="AT5" s="104">
        <f t="shared" ref="AT5:AT14" si="11">+B5+F5+J5+N5+R5+V5+Z5+AD5+AH5+AL5</f>
        <v>176802.12</v>
      </c>
    </row>
    <row r="6" spans="1:48" x14ac:dyDescent="0.25">
      <c r="A6" t="s">
        <v>482</v>
      </c>
      <c r="B6" s="59">
        <f>+'Full Data'!C208</f>
        <v>2625</v>
      </c>
      <c r="C6" s="59">
        <f>+'Full Data'!D208</f>
        <v>0</v>
      </c>
      <c r="D6" s="59">
        <f t="shared" si="0"/>
        <v>2625</v>
      </c>
      <c r="E6" s="112"/>
      <c r="F6" s="59">
        <f>+'Full Data'!F208</f>
        <v>2212.5</v>
      </c>
      <c r="G6" s="59">
        <f>+'Full Data'!G208</f>
        <v>9900</v>
      </c>
      <c r="H6" s="59">
        <f t="shared" si="1"/>
        <v>-7687.5</v>
      </c>
      <c r="I6" s="112"/>
      <c r="J6" s="59">
        <f>+'Full Data'!I208</f>
        <v>6600</v>
      </c>
      <c r="K6" s="59">
        <f>+'Full Data'!J208</f>
        <v>9900</v>
      </c>
      <c r="L6" s="59">
        <f t="shared" si="2"/>
        <v>-3300</v>
      </c>
      <c r="M6" s="112"/>
      <c r="N6" s="59">
        <f>+'Full Data'!L208</f>
        <v>14062.5</v>
      </c>
      <c r="O6" s="59">
        <f>+'Full Data'!M208</f>
        <v>9900</v>
      </c>
      <c r="P6" s="59">
        <f t="shared" si="3"/>
        <v>4162.5</v>
      </c>
      <c r="Q6" s="112"/>
      <c r="R6" s="59">
        <f>+'Full Data'!O208</f>
        <v>15300</v>
      </c>
      <c r="S6" s="59">
        <f>+'Full Data'!P208</f>
        <v>9900</v>
      </c>
      <c r="T6" s="59">
        <f t="shared" si="4"/>
        <v>5400</v>
      </c>
      <c r="U6" s="112"/>
      <c r="V6" s="59">
        <f>+'Full Data'!R208</f>
        <v>4950</v>
      </c>
      <c r="W6" s="59">
        <f>+'Full Data'!S208</f>
        <v>9900</v>
      </c>
      <c r="X6" s="59">
        <f t="shared" si="5"/>
        <v>-4950</v>
      </c>
      <c r="Y6" s="112"/>
      <c r="Z6" s="59">
        <f>+'Full Data'!U208</f>
        <v>5775</v>
      </c>
      <c r="AA6" s="59">
        <f>+'Full Data'!V208</f>
        <v>9900</v>
      </c>
      <c r="AB6" s="59">
        <f t="shared" si="6"/>
        <v>-4125</v>
      </c>
      <c r="AC6" s="112"/>
      <c r="AD6" s="59">
        <f>+'Full Data'!X208</f>
        <v>2400</v>
      </c>
      <c r="AE6" s="59">
        <f>+'Full Data'!Y208</f>
        <v>0</v>
      </c>
      <c r="AF6" s="59">
        <f t="shared" si="7"/>
        <v>2400</v>
      </c>
      <c r="AG6" s="112"/>
      <c r="AH6" s="59">
        <f>+'Full Data'!AA208</f>
        <v>1950</v>
      </c>
      <c r="AI6" s="59">
        <f>+'Full Data'!AB208</f>
        <v>0</v>
      </c>
      <c r="AJ6" s="59">
        <f t="shared" si="8"/>
        <v>1950</v>
      </c>
      <c r="AK6" s="112"/>
      <c r="AL6" s="59">
        <f>+'Full Data'!AD208</f>
        <v>0</v>
      </c>
      <c r="AM6" s="59">
        <f>+'Full Data'!AE208</f>
        <v>0</v>
      </c>
      <c r="AN6" s="59">
        <f t="shared" si="9"/>
        <v>0</v>
      </c>
      <c r="AO6" s="112"/>
      <c r="AP6" s="59">
        <f>+'Full Data'!AG208</f>
        <v>0</v>
      </c>
      <c r="AQ6" s="59">
        <f>+'Full Data'!AH208</f>
        <v>0</v>
      </c>
      <c r="AR6" s="59">
        <f t="shared" si="10"/>
        <v>0</v>
      </c>
      <c r="AT6" s="104">
        <f t="shared" si="11"/>
        <v>55875</v>
      </c>
    </row>
    <row r="7" spans="1:48" x14ac:dyDescent="0.25">
      <c r="A7" t="s">
        <v>483</v>
      </c>
      <c r="B7" s="59">
        <f>+'Full Data'!C209</f>
        <v>0</v>
      </c>
      <c r="C7" s="59">
        <f>+'Full Data'!D209</f>
        <v>0</v>
      </c>
      <c r="D7" s="59">
        <f t="shared" si="0"/>
        <v>0</v>
      </c>
      <c r="E7" s="112"/>
      <c r="F7" s="59">
        <f>+'Full Data'!F209</f>
        <v>2360.44</v>
      </c>
      <c r="G7" s="59">
        <f>+'Full Data'!G209</f>
        <v>16250</v>
      </c>
      <c r="H7" s="59">
        <f t="shared" si="1"/>
        <v>-13889.56</v>
      </c>
      <c r="I7" s="112"/>
      <c r="J7" s="59">
        <f>+'Full Data'!I209</f>
        <v>12545</v>
      </c>
      <c r="K7" s="59">
        <f>+'Full Data'!J209</f>
        <v>16250</v>
      </c>
      <c r="L7" s="59">
        <f t="shared" si="2"/>
        <v>-3705</v>
      </c>
      <c r="M7" s="112"/>
      <c r="N7" s="59">
        <f>+'Full Data'!L209</f>
        <v>20637.5</v>
      </c>
      <c r="O7" s="59">
        <f>+'Full Data'!M209</f>
        <v>16250</v>
      </c>
      <c r="P7" s="59">
        <f t="shared" si="3"/>
        <v>4387.5</v>
      </c>
      <c r="Q7" s="112"/>
      <c r="R7" s="59">
        <f>+'Full Data'!O209</f>
        <v>5980</v>
      </c>
      <c r="S7" s="59">
        <f>+'Full Data'!P209</f>
        <v>16250</v>
      </c>
      <c r="T7" s="59">
        <f t="shared" si="4"/>
        <v>-10270</v>
      </c>
      <c r="U7" s="112"/>
      <c r="V7" s="59">
        <f>+'Full Data'!R209</f>
        <v>10596.8</v>
      </c>
      <c r="W7" s="59">
        <f>+'Full Data'!S209</f>
        <v>16250</v>
      </c>
      <c r="X7" s="59">
        <f t="shared" si="5"/>
        <v>-5653.2000000000007</v>
      </c>
      <c r="Y7" s="112"/>
      <c r="Z7" s="59">
        <f>+'Full Data'!U209</f>
        <v>1424.4</v>
      </c>
      <c r="AA7" s="59">
        <f>+'Full Data'!V209</f>
        <v>16250</v>
      </c>
      <c r="AB7" s="59">
        <f t="shared" si="6"/>
        <v>-14825.6</v>
      </c>
      <c r="AC7" s="112"/>
      <c r="AD7" s="59">
        <f>+'Full Data'!X209</f>
        <v>130</v>
      </c>
      <c r="AE7" s="59">
        <f>+'Full Data'!Y209</f>
        <v>0</v>
      </c>
      <c r="AF7" s="59">
        <f t="shared" si="7"/>
        <v>130</v>
      </c>
      <c r="AG7" s="112"/>
      <c r="AH7" s="59">
        <f>+'Full Data'!AA209</f>
        <v>2275</v>
      </c>
      <c r="AI7" s="59">
        <f>+'Full Data'!AB209</f>
        <v>0</v>
      </c>
      <c r="AJ7" s="59">
        <f t="shared" si="8"/>
        <v>2275</v>
      </c>
      <c r="AK7" s="112"/>
      <c r="AL7" s="59">
        <f>+'Full Data'!AD209</f>
        <v>3120</v>
      </c>
      <c r="AM7" s="59">
        <f>+'Full Data'!AE209</f>
        <v>0</v>
      </c>
      <c r="AN7" s="59">
        <f t="shared" si="9"/>
        <v>3120</v>
      </c>
      <c r="AO7" s="112"/>
      <c r="AP7" s="59">
        <f>+'Full Data'!AG209</f>
        <v>0</v>
      </c>
      <c r="AQ7" s="59">
        <f>+'Full Data'!AH209</f>
        <v>0</v>
      </c>
      <c r="AR7" s="59">
        <f t="shared" si="10"/>
        <v>0</v>
      </c>
      <c r="AT7" s="104">
        <f t="shared" si="11"/>
        <v>59069.140000000007</v>
      </c>
    </row>
    <row r="8" spans="1:48" x14ac:dyDescent="0.25">
      <c r="A8" t="s">
        <v>484</v>
      </c>
      <c r="B8" s="59">
        <f>+'Full Data'!C210</f>
        <v>221.6</v>
      </c>
      <c r="C8" s="59">
        <f>+'Full Data'!D210</f>
        <v>0</v>
      </c>
      <c r="D8" s="59">
        <f t="shared" si="0"/>
        <v>221.6</v>
      </c>
      <c r="E8" s="112"/>
      <c r="F8" s="59">
        <f>+'Full Data'!F210</f>
        <v>1083.32</v>
      </c>
      <c r="G8" s="59">
        <f>+'Full Data'!G210</f>
        <v>0</v>
      </c>
      <c r="H8" s="59">
        <f t="shared" si="1"/>
        <v>1083.32</v>
      </c>
      <c r="I8" s="112"/>
      <c r="J8" s="59">
        <f>+'Full Data'!I210</f>
        <v>1192.8</v>
      </c>
      <c r="K8" s="59">
        <f>+'Full Data'!J210</f>
        <v>0</v>
      </c>
      <c r="L8" s="59">
        <f t="shared" si="2"/>
        <v>1192.8</v>
      </c>
      <c r="M8" s="112"/>
      <c r="N8" s="59">
        <f>+'Full Data'!L210</f>
        <v>3224.2</v>
      </c>
      <c r="O8" s="59">
        <f>+'Full Data'!M210</f>
        <v>0</v>
      </c>
      <c r="P8" s="59">
        <f t="shared" si="3"/>
        <v>3224.2</v>
      </c>
      <c r="Q8" s="112"/>
      <c r="R8" s="59">
        <f>+'Full Data'!O210</f>
        <v>1073.96</v>
      </c>
      <c r="S8" s="59">
        <f>+'Full Data'!P210</f>
        <v>0</v>
      </c>
      <c r="T8" s="59">
        <f t="shared" si="4"/>
        <v>1073.96</v>
      </c>
      <c r="U8" s="112"/>
      <c r="V8" s="59">
        <f>+'Full Data'!R210</f>
        <v>1837.75</v>
      </c>
      <c r="W8" s="59">
        <f>+'Full Data'!S210</f>
        <v>0</v>
      </c>
      <c r="X8" s="59">
        <f t="shared" si="5"/>
        <v>1837.75</v>
      </c>
      <c r="Y8" s="112"/>
      <c r="Z8" s="59">
        <f>+'Full Data'!U210</f>
        <v>1135</v>
      </c>
      <c r="AA8" s="59">
        <f>+'Full Data'!V210</f>
        <v>0</v>
      </c>
      <c r="AB8" s="59">
        <f t="shared" si="6"/>
        <v>1135</v>
      </c>
      <c r="AC8" s="112"/>
      <c r="AD8" s="59">
        <f>+'Full Data'!X210</f>
        <v>682.8</v>
      </c>
      <c r="AE8" s="59">
        <f>+'Full Data'!Y210</f>
        <v>0</v>
      </c>
      <c r="AF8" s="59">
        <f t="shared" si="7"/>
        <v>682.8</v>
      </c>
      <c r="AG8" s="112"/>
      <c r="AH8" s="59">
        <f>+'Full Data'!AA210</f>
        <v>1154.83</v>
      </c>
      <c r="AI8" s="59">
        <f>+'Full Data'!AB210</f>
        <v>0</v>
      </c>
      <c r="AJ8" s="59">
        <f t="shared" si="8"/>
        <v>1154.83</v>
      </c>
      <c r="AK8" s="112"/>
      <c r="AL8" s="59">
        <f>+'Full Data'!AD210</f>
        <v>1158.06</v>
      </c>
      <c r="AM8" s="59">
        <f>+'Full Data'!AE210</f>
        <v>0</v>
      </c>
      <c r="AN8" s="59">
        <f t="shared" si="9"/>
        <v>1158.06</v>
      </c>
      <c r="AO8" s="112"/>
      <c r="AP8" s="59">
        <f>+'Full Data'!AG210</f>
        <v>2327.2199999999998</v>
      </c>
      <c r="AQ8" s="59">
        <f>+'Full Data'!AH210</f>
        <v>0</v>
      </c>
      <c r="AR8" s="59">
        <f t="shared" si="10"/>
        <v>2327.2199999999998</v>
      </c>
      <c r="AT8" s="104">
        <f t="shared" si="11"/>
        <v>12764.32</v>
      </c>
    </row>
    <row r="9" spans="1:48" x14ac:dyDescent="0.25">
      <c r="A9" t="s">
        <v>485</v>
      </c>
      <c r="B9" s="59">
        <f>+'Full Data'!C218</f>
        <v>2304.35</v>
      </c>
      <c r="C9" s="59">
        <f>+'Full Data'!D218</f>
        <v>3970</v>
      </c>
      <c r="D9" s="59">
        <f t="shared" si="0"/>
        <v>-1665.65</v>
      </c>
      <c r="E9" s="112"/>
      <c r="F9" s="59">
        <f>+'Full Data'!F218</f>
        <v>4097.32</v>
      </c>
      <c r="G9" s="59">
        <f>+'Full Data'!G218</f>
        <v>7248</v>
      </c>
      <c r="H9" s="59">
        <f t="shared" si="1"/>
        <v>-3150.6800000000003</v>
      </c>
      <c r="I9" s="112"/>
      <c r="J9" s="59">
        <f>+'Full Data'!I218</f>
        <v>4730.6099999999997</v>
      </c>
      <c r="K9" s="59">
        <f>+'Full Data'!J218</f>
        <v>7249</v>
      </c>
      <c r="L9" s="59">
        <f t="shared" si="2"/>
        <v>-2518.3900000000003</v>
      </c>
      <c r="M9" s="112"/>
      <c r="N9" s="59">
        <f>+'Full Data'!L218</f>
        <v>5031.7700000000004</v>
      </c>
      <c r="O9" s="59">
        <f>+'Full Data'!M218</f>
        <v>7248</v>
      </c>
      <c r="P9" s="59">
        <f t="shared" si="3"/>
        <v>-2216.2299999999996</v>
      </c>
      <c r="Q9" s="112"/>
      <c r="R9" s="59">
        <f>+'Full Data'!O218</f>
        <v>3607.68</v>
      </c>
      <c r="S9" s="59">
        <f>+'Full Data'!P218</f>
        <v>7249</v>
      </c>
      <c r="T9" s="59">
        <f t="shared" si="4"/>
        <v>-3641.32</v>
      </c>
      <c r="U9" s="112"/>
      <c r="V9" s="59">
        <f>+'Full Data'!R218</f>
        <v>3320.6</v>
      </c>
      <c r="W9" s="59">
        <f>+'Full Data'!S218</f>
        <v>7249</v>
      </c>
      <c r="X9" s="59">
        <f t="shared" si="5"/>
        <v>-3928.4</v>
      </c>
      <c r="Y9" s="112"/>
      <c r="Z9" s="59">
        <f>+'Full Data'!U218</f>
        <v>1921.42</v>
      </c>
      <c r="AA9" s="59">
        <f>+'Full Data'!V218</f>
        <v>3955</v>
      </c>
      <c r="AB9" s="59">
        <f t="shared" si="6"/>
        <v>-2033.58</v>
      </c>
      <c r="AC9" s="112"/>
      <c r="AD9" s="59">
        <f>+'Full Data'!X218</f>
        <v>4022.98</v>
      </c>
      <c r="AE9" s="59">
        <f>+'Full Data'!Y218</f>
        <v>2508</v>
      </c>
      <c r="AF9" s="59">
        <f t="shared" si="7"/>
        <v>1514.98</v>
      </c>
      <c r="AG9" s="112"/>
      <c r="AH9" s="59">
        <f>+'Full Data'!AA218</f>
        <v>4205.3</v>
      </c>
      <c r="AI9" s="59">
        <f>+'Full Data'!AB218</f>
        <v>2508</v>
      </c>
      <c r="AJ9" s="59">
        <f t="shared" si="8"/>
        <v>1697.3000000000002</v>
      </c>
      <c r="AK9" s="112"/>
      <c r="AL9" s="59">
        <f>+'Full Data'!AD218</f>
        <v>2477.5500000000002</v>
      </c>
      <c r="AM9" s="59">
        <f>+'Full Data'!AE218</f>
        <v>2508</v>
      </c>
      <c r="AN9" s="59">
        <f t="shared" si="9"/>
        <v>-30.449999999999818</v>
      </c>
      <c r="AO9" s="112"/>
      <c r="AP9" s="59">
        <f>+'Full Data'!AG218</f>
        <v>1510.72</v>
      </c>
      <c r="AQ9" s="59">
        <f>+'Full Data'!AH218</f>
        <v>2508</v>
      </c>
      <c r="AR9" s="59">
        <f t="shared" si="10"/>
        <v>-997.28</v>
      </c>
      <c r="AT9" s="104">
        <f t="shared" si="11"/>
        <v>35719.58</v>
      </c>
    </row>
    <row r="10" spans="1:48" x14ac:dyDescent="0.25">
      <c r="A10" t="s">
        <v>486</v>
      </c>
      <c r="B10" s="59">
        <f>+'Full Data'!C225</f>
        <v>0</v>
      </c>
      <c r="C10" s="59">
        <f>+'Full Data'!D225</f>
        <v>0</v>
      </c>
      <c r="D10" s="59">
        <f t="shared" si="0"/>
        <v>0</v>
      </c>
      <c r="E10" s="112"/>
      <c r="F10" s="59">
        <f>+'Full Data'!F225</f>
        <v>574.55999999999995</v>
      </c>
      <c r="G10" s="59">
        <f>+'Full Data'!G225</f>
        <v>0</v>
      </c>
      <c r="H10" s="59">
        <f t="shared" si="1"/>
        <v>574.55999999999995</v>
      </c>
      <c r="I10" s="112"/>
      <c r="J10" s="59">
        <f>+'Full Data'!I225</f>
        <v>1944.85</v>
      </c>
      <c r="K10" s="59">
        <f>+'Full Data'!J225</f>
        <v>0</v>
      </c>
      <c r="L10" s="59">
        <f t="shared" si="2"/>
        <v>1944.85</v>
      </c>
      <c r="M10" s="112"/>
      <c r="N10" s="59">
        <f>+'Full Data'!L225</f>
        <v>2553.08</v>
      </c>
      <c r="O10" s="59">
        <f>+'Full Data'!M225</f>
        <v>0</v>
      </c>
      <c r="P10" s="59">
        <f t="shared" si="3"/>
        <v>2553.08</v>
      </c>
      <c r="Q10" s="112"/>
      <c r="R10" s="59">
        <f>+'Full Data'!O225</f>
        <v>1369.34</v>
      </c>
      <c r="S10" s="59">
        <f>+'Full Data'!P225</f>
        <v>0</v>
      </c>
      <c r="T10" s="59">
        <f t="shared" si="4"/>
        <v>1369.34</v>
      </c>
      <c r="U10" s="112"/>
      <c r="V10" s="59">
        <f>+'Full Data'!R225</f>
        <v>42.75</v>
      </c>
      <c r="W10" s="59">
        <f>+'Full Data'!S225</f>
        <v>0</v>
      </c>
      <c r="X10" s="59">
        <f t="shared" si="5"/>
        <v>42.75</v>
      </c>
      <c r="Y10" s="112"/>
      <c r="Z10" s="59">
        <f>+'Full Data'!U225</f>
        <v>256.5</v>
      </c>
      <c r="AA10" s="59">
        <f>+'Full Data'!V225</f>
        <v>0</v>
      </c>
      <c r="AB10" s="59">
        <f t="shared" si="6"/>
        <v>256.5</v>
      </c>
      <c r="AC10" s="112"/>
      <c r="AD10" s="59">
        <f>+'Full Data'!X225</f>
        <v>57</v>
      </c>
      <c r="AE10" s="59">
        <f>+'Full Data'!Y225</f>
        <v>0</v>
      </c>
      <c r="AF10" s="59">
        <f t="shared" si="7"/>
        <v>57</v>
      </c>
      <c r="AG10" s="112"/>
      <c r="AH10" s="59">
        <f>+'Full Data'!AA225</f>
        <v>0</v>
      </c>
      <c r="AI10" s="59">
        <f>+'Full Data'!AB225</f>
        <v>0</v>
      </c>
      <c r="AJ10" s="59">
        <f t="shared" si="8"/>
        <v>0</v>
      </c>
      <c r="AK10" s="112"/>
      <c r="AL10" s="59">
        <f>+'Full Data'!AD225</f>
        <v>0</v>
      </c>
      <c r="AM10" s="59">
        <f>+'Full Data'!AE225</f>
        <v>0</v>
      </c>
      <c r="AN10" s="59">
        <f t="shared" si="9"/>
        <v>0</v>
      </c>
      <c r="AO10" s="112"/>
      <c r="AP10" s="59">
        <f>+'Full Data'!AG225</f>
        <v>0</v>
      </c>
      <c r="AQ10" s="59">
        <f>+'Full Data'!AH225</f>
        <v>0</v>
      </c>
      <c r="AR10" s="59">
        <f t="shared" si="10"/>
        <v>0</v>
      </c>
      <c r="AT10" s="104">
        <f t="shared" si="11"/>
        <v>6798.08</v>
      </c>
    </row>
    <row r="11" spans="1:48" x14ac:dyDescent="0.25">
      <c r="A11" t="s">
        <v>487</v>
      </c>
      <c r="B11" s="59">
        <f>+'Full Data'!C266</f>
        <v>29.61</v>
      </c>
      <c r="C11" s="59">
        <f>+'Full Data'!D266</f>
        <v>0</v>
      </c>
      <c r="D11" s="59">
        <f t="shared" si="0"/>
        <v>29.61</v>
      </c>
      <c r="E11" s="112"/>
      <c r="F11" s="59">
        <f>+'Full Data'!F266</f>
        <v>253.41</v>
      </c>
      <c r="G11" s="59">
        <f>+'Full Data'!G266</f>
        <v>587</v>
      </c>
      <c r="H11" s="59">
        <f t="shared" si="1"/>
        <v>-333.59000000000003</v>
      </c>
      <c r="I11" s="112"/>
      <c r="J11" s="59">
        <f>+'Full Data'!I266</f>
        <v>198.09</v>
      </c>
      <c r="K11" s="59">
        <f>+'Full Data'!J266</f>
        <v>587</v>
      </c>
      <c r="L11" s="59">
        <f t="shared" si="2"/>
        <v>-388.90999999999997</v>
      </c>
      <c r="M11" s="112"/>
      <c r="N11" s="59">
        <f>+'Full Data'!L266</f>
        <v>185.55</v>
      </c>
      <c r="O11" s="59">
        <f>+'Full Data'!M266</f>
        <v>587</v>
      </c>
      <c r="P11" s="59">
        <f t="shared" si="3"/>
        <v>-401.45</v>
      </c>
      <c r="Q11" s="112"/>
      <c r="R11" s="59">
        <f>+'Full Data'!O266</f>
        <v>105.73</v>
      </c>
      <c r="S11" s="59">
        <f>+'Full Data'!P266</f>
        <v>587</v>
      </c>
      <c r="T11" s="59">
        <f t="shared" si="4"/>
        <v>-481.27</v>
      </c>
      <c r="U11" s="112"/>
      <c r="V11" s="59">
        <f>+'Full Data'!R266</f>
        <v>216.24</v>
      </c>
      <c r="W11" s="59">
        <f>+'Full Data'!S266</f>
        <v>587</v>
      </c>
      <c r="X11" s="59">
        <f t="shared" si="5"/>
        <v>-370.76</v>
      </c>
      <c r="Y11" s="112"/>
      <c r="Z11" s="59">
        <f>+'Full Data'!U266</f>
        <v>610.25</v>
      </c>
      <c r="AA11" s="59">
        <f>+'Full Data'!V266</f>
        <v>0</v>
      </c>
      <c r="AB11" s="59">
        <f t="shared" si="6"/>
        <v>610.25</v>
      </c>
      <c r="AC11" s="112"/>
      <c r="AD11" s="59">
        <f>+'Full Data'!X266</f>
        <v>212.53</v>
      </c>
      <c r="AE11" s="59">
        <f>+'Full Data'!Y266</f>
        <v>0</v>
      </c>
      <c r="AF11" s="59">
        <f t="shared" si="7"/>
        <v>212.53</v>
      </c>
      <c r="AG11" s="112"/>
      <c r="AH11" s="59">
        <f>+'Full Data'!AA266</f>
        <v>209.57</v>
      </c>
      <c r="AI11" s="59">
        <f>+'Full Data'!AB266</f>
        <v>0</v>
      </c>
      <c r="AJ11" s="59">
        <f t="shared" si="8"/>
        <v>209.57</v>
      </c>
      <c r="AK11" s="112"/>
      <c r="AL11" s="59">
        <f>+'Full Data'!AD266</f>
        <v>755.86</v>
      </c>
      <c r="AM11" s="59">
        <f>+'Full Data'!AE266</f>
        <v>0</v>
      </c>
      <c r="AN11" s="59">
        <f t="shared" si="9"/>
        <v>755.86</v>
      </c>
      <c r="AO11" s="112"/>
      <c r="AP11" s="59">
        <f>+'Full Data'!AG266</f>
        <v>890.7</v>
      </c>
      <c r="AQ11" s="59">
        <f>+'Full Data'!AH266</f>
        <v>0</v>
      </c>
      <c r="AR11" s="59">
        <f t="shared" si="10"/>
        <v>890.7</v>
      </c>
      <c r="AT11" s="104">
        <f t="shared" si="11"/>
        <v>2776.84</v>
      </c>
      <c r="AU11" s="104"/>
    </row>
    <row r="12" spans="1:48" x14ac:dyDescent="0.25">
      <c r="A12" t="s">
        <v>488</v>
      </c>
      <c r="B12" s="59">
        <f>+'Full Data'!C153</f>
        <v>35.06</v>
      </c>
      <c r="C12" s="59">
        <f>+'Full Data'!D153</f>
        <v>0</v>
      </c>
      <c r="D12" s="59">
        <f t="shared" si="0"/>
        <v>35.06</v>
      </c>
      <c r="E12" s="112"/>
      <c r="F12" s="59">
        <f>+'Full Data'!F153</f>
        <v>792.36</v>
      </c>
      <c r="G12" s="59">
        <f>+'Full Data'!G153</f>
        <v>1168</v>
      </c>
      <c r="H12" s="59">
        <f t="shared" si="1"/>
        <v>-375.64</v>
      </c>
      <c r="I12" s="112"/>
      <c r="J12" s="59">
        <f>+'Full Data'!I153</f>
        <v>845.65</v>
      </c>
      <c r="K12" s="59">
        <f>+'Full Data'!J153</f>
        <v>1168</v>
      </c>
      <c r="L12" s="59">
        <f t="shared" si="2"/>
        <v>-322.35000000000002</v>
      </c>
      <c r="M12" s="112"/>
      <c r="N12" s="59">
        <f>+'Full Data'!L153</f>
        <v>1181.99</v>
      </c>
      <c r="O12" s="59">
        <f>+'Full Data'!M153</f>
        <v>1168</v>
      </c>
      <c r="P12" s="59">
        <f t="shared" si="3"/>
        <v>13.990000000000009</v>
      </c>
      <c r="Q12" s="112"/>
      <c r="R12" s="59">
        <f>+'Full Data'!O153</f>
        <v>620.55999999999995</v>
      </c>
      <c r="S12" s="59">
        <f>+'Full Data'!P153</f>
        <v>1168</v>
      </c>
      <c r="T12" s="59">
        <f t="shared" si="4"/>
        <v>-547.44000000000005</v>
      </c>
      <c r="U12" s="112"/>
      <c r="V12" s="59">
        <f>+'Full Data'!R153</f>
        <v>1447.98</v>
      </c>
      <c r="W12" s="59">
        <f>+'Full Data'!S153</f>
        <v>1168</v>
      </c>
      <c r="X12" s="59">
        <f t="shared" si="5"/>
        <v>279.98</v>
      </c>
      <c r="Y12" s="112"/>
      <c r="Z12" s="59">
        <f>+'Full Data'!U153</f>
        <v>1419.93</v>
      </c>
      <c r="AA12" s="59">
        <f>+'Full Data'!V153</f>
        <v>1169</v>
      </c>
      <c r="AB12" s="59">
        <f t="shared" si="6"/>
        <v>250.93000000000006</v>
      </c>
      <c r="AC12" s="112"/>
      <c r="AD12" s="59">
        <f>+'Full Data'!X153</f>
        <v>636.34</v>
      </c>
      <c r="AE12" s="59">
        <f>+'Full Data'!Y153</f>
        <v>0</v>
      </c>
      <c r="AF12" s="59">
        <f t="shared" si="7"/>
        <v>636.34</v>
      </c>
      <c r="AG12" s="112"/>
      <c r="AH12" s="59">
        <f>+'Full Data'!AA153</f>
        <v>876.5</v>
      </c>
      <c r="AI12" s="59">
        <f>+'Full Data'!AB153</f>
        <v>0</v>
      </c>
      <c r="AJ12" s="59">
        <f t="shared" si="8"/>
        <v>876.5</v>
      </c>
      <c r="AK12" s="112"/>
      <c r="AL12" s="59">
        <f>+'Full Data'!AD153</f>
        <v>52.58</v>
      </c>
      <c r="AM12" s="59">
        <f>+'Full Data'!AE153</f>
        <v>0</v>
      </c>
      <c r="AN12" s="59">
        <f t="shared" si="9"/>
        <v>52.58</v>
      </c>
      <c r="AO12" s="112"/>
      <c r="AP12" s="59">
        <f>+'Full Data'!AG153</f>
        <v>158.80000000000001</v>
      </c>
      <c r="AQ12" s="59">
        <f>+'Full Data'!AH153</f>
        <v>0</v>
      </c>
      <c r="AR12" s="59">
        <f t="shared" si="10"/>
        <v>158.80000000000001</v>
      </c>
      <c r="AT12" s="104">
        <f t="shared" si="11"/>
        <v>7908.9500000000007</v>
      </c>
    </row>
    <row r="13" spans="1:48" x14ac:dyDescent="0.25">
      <c r="A13" t="s">
        <v>489</v>
      </c>
      <c r="B13" s="59">
        <f>+'Full Data'!C159</f>
        <v>0</v>
      </c>
      <c r="C13" s="59">
        <f>+'Full Data'!D159</f>
        <v>0</v>
      </c>
      <c r="D13" s="59">
        <f t="shared" si="0"/>
        <v>0</v>
      </c>
      <c r="E13" s="112"/>
      <c r="F13" s="59">
        <f>+'Full Data'!F159</f>
        <v>0</v>
      </c>
      <c r="G13" s="59">
        <f>+'Full Data'!G159</f>
        <v>0</v>
      </c>
      <c r="H13" s="59">
        <f t="shared" si="1"/>
        <v>0</v>
      </c>
      <c r="I13" s="112"/>
      <c r="J13" s="59">
        <f>+'Full Data'!I159</f>
        <v>103.72</v>
      </c>
      <c r="K13" s="59">
        <f>+'Full Data'!J159</f>
        <v>0</v>
      </c>
      <c r="L13" s="59">
        <f t="shared" si="2"/>
        <v>103.72</v>
      </c>
      <c r="M13" s="112"/>
      <c r="N13" s="59">
        <f>+'Full Data'!L159</f>
        <v>248.63</v>
      </c>
      <c r="O13" s="59">
        <f>+'Full Data'!M159</f>
        <v>0</v>
      </c>
      <c r="P13" s="59">
        <f t="shared" si="3"/>
        <v>248.63</v>
      </c>
      <c r="Q13" s="112"/>
      <c r="R13" s="59">
        <f>+'Full Data'!O159</f>
        <v>118.2</v>
      </c>
      <c r="S13" s="59">
        <f>+'Full Data'!P159</f>
        <v>0</v>
      </c>
      <c r="T13" s="59">
        <f t="shared" si="4"/>
        <v>118.2</v>
      </c>
      <c r="U13" s="112"/>
      <c r="V13" s="59">
        <f>+'Full Data'!R159</f>
        <v>144.03</v>
      </c>
      <c r="W13" s="59">
        <f>+'Full Data'!S159</f>
        <v>0</v>
      </c>
      <c r="X13" s="59">
        <f t="shared" si="5"/>
        <v>144.03</v>
      </c>
      <c r="Y13" s="112"/>
      <c r="Z13" s="59">
        <f>+'Full Data'!U159</f>
        <v>0</v>
      </c>
      <c r="AA13" s="59">
        <f>+'Full Data'!V159</f>
        <v>0</v>
      </c>
      <c r="AB13" s="59">
        <f t="shared" si="6"/>
        <v>0</v>
      </c>
      <c r="AC13" s="112"/>
      <c r="AD13" s="59">
        <f>+'Full Data'!X159</f>
        <v>0</v>
      </c>
      <c r="AE13" s="59">
        <f>+'Full Data'!Y159</f>
        <v>0</v>
      </c>
      <c r="AF13" s="59">
        <f t="shared" si="7"/>
        <v>0</v>
      </c>
      <c r="AG13" s="112"/>
      <c r="AH13" s="59">
        <f>+'Full Data'!AA159</f>
        <v>0</v>
      </c>
      <c r="AI13" s="59">
        <f>+'Full Data'!AB159</f>
        <v>0</v>
      </c>
      <c r="AJ13" s="59">
        <f t="shared" si="8"/>
        <v>0</v>
      </c>
      <c r="AK13" s="112"/>
      <c r="AL13" s="59">
        <f>+'Full Data'!AD159</f>
        <v>0</v>
      </c>
      <c r="AM13" s="59">
        <f>+'Full Data'!AE159</f>
        <v>0</v>
      </c>
      <c r="AN13" s="59">
        <f t="shared" si="9"/>
        <v>0</v>
      </c>
      <c r="AO13" s="112"/>
      <c r="AP13" s="59">
        <f>+'Full Data'!AG159</f>
        <v>0</v>
      </c>
      <c r="AQ13" s="59">
        <f>+'Full Data'!AH159</f>
        <v>0</v>
      </c>
      <c r="AR13" s="59">
        <f t="shared" si="10"/>
        <v>0</v>
      </c>
      <c r="AT13" s="104">
        <f t="shared" si="11"/>
        <v>614.58000000000004</v>
      </c>
    </row>
    <row r="14" spans="1:48" x14ac:dyDescent="0.25">
      <c r="A14" t="s">
        <v>490</v>
      </c>
      <c r="B14" s="59">
        <f>+'Full Data'!C295</f>
        <v>0</v>
      </c>
      <c r="C14" s="59">
        <f>+'Full Data'!D295</f>
        <v>0</v>
      </c>
      <c r="D14" s="59">
        <f t="shared" si="0"/>
        <v>0</v>
      </c>
      <c r="E14" s="112"/>
      <c r="F14" s="59">
        <f>+'Full Data'!F295</f>
        <v>0</v>
      </c>
      <c r="G14" s="59">
        <f>+'Full Data'!G295</f>
        <v>0</v>
      </c>
      <c r="H14" s="59">
        <f t="shared" si="1"/>
        <v>0</v>
      </c>
      <c r="I14" s="112"/>
      <c r="J14" s="59">
        <f>+'Full Data'!I295</f>
        <v>2131.0500000000002</v>
      </c>
      <c r="K14" s="59">
        <f>+'Full Data'!J295</f>
        <v>0</v>
      </c>
      <c r="L14" s="59">
        <f t="shared" si="2"/>
        <v>2131.0500000000002</v>
      </c>
      <c r="M14" s="112"/>
      <c r="N14" s="59">
        <f>+'Full Data'!L295</f>
        <v>5836.2</v>
      </c>
      <c r="O14" s="59">
        <f>+'Full Data'!M295</f>
        <v>0</v>
      </c>
      <c r="P14" s="59">
        <f t="shared" si="3"/>
        <v>5836.2</v>
      </c>
      <c r="Q14" s="112"/>
      <c r="R14" s="59">
        <f>+'Full Data'!O295</f>
        <v>19505.259999999998</v>
      </c>
      <c r="S14" s="59">
        <f>+'Full Data'!P295</f>
        <v>0</v>
      </c>
      <c r="T14" s="59">
        <f t="shared" si="4"/>
        <v>19505.259999999998</v>
      </c>
      <c r="U14" s="112"/>
      <c r="V14" s="59">
        <f>+'Full Data'!R295</f>
        <v>8738.48</v>
      </c>
      <c r="W14" s="59">
        <f>+'Full Data'!S295</f>
        <v>0</v>
      </c>
      <c r="X14" s="59">
        <f t="shared" si="5"/>
        <v>8738.48</v>
      </c>
      <c r="Y14" s="112"/>
      <c r="Z14" s="59">
        <f>+'Full Data'!U295</f>
        <v>0</v>
      </c>
      <c r="AA14" s="59">
        <f>+'Full Data'!V295</f>
        <v>0</v>
      </c>
      <c r="AB14" s="59">
        <f t="shared" si="6"/>
        <v>0</v>
      </c>
      <c r="AC14" s="112"/>
      <c r="AD14" s="59">
        <f>+'Full Data'!X295</f>
        <v>0</v>
      </c>
      <c r="AE14" s="59">
        <f>+'Full Data'!Y295</f>
        <v>0</v>
      </c>
      <c r="AF14" s="59">
        <f t="shared" si="7"/>
        <v>0</v>
      </c>
      <c r="AG14" s="112"/>
      <c r="AH14" s="59">
        <f>+'Full Data'!AA295</f>
        <v>0</v>
      </c>
      <c r="AI14" s="59">
        <f>+'Full Data'!AB295</f>
        <v>0</v>
      </c>
      <c r="AJ14" s="59">
        <f t="shared" si="8"/>
        <v>0</v>
      </c>
      <c r="AK14" s="112"/>
      <c r="AL14" s="59">
        <f>+'Full Data'!AD295</f>
        <v>0</v>
      </c>
      <c r="AM14" s="59">
        <f>+'Full Data'!AE295</f>
        <v>0</v>
      </c>
      <c r="AN14" s="59">
        <f t="shared" si="9"/>
        <v>0</v>
      </c>
      <c r="AO14" s="112"/>
      <c r="AP14" s="59">
        <f>+'Full Data'!AG295</f>
        <v>0</v>
      </c>
      <c r="AQ14" s="59">
        <f>+'Full Data'!AH295</f>
        <v>0</v>
      </c>
      <c r="AR14" s="59">
        <f t="shared" si="10"/>
        <v>0</v>
      </c>
      <c r="AT14" s="104">
        <f t="shared" si="11"/>
        <v>36210.99</v>
      </c>
    </row>
    <row r="15" spans="1:48" x14ac:dyDescent="0.25">
      <c r="E15" s="112"/>
      <c r="G15" s="59"/>
      <c r="H15" s="59"/>
      <c r="I15" s="112"/>
      <c r="K15" s="59"/>
      <c r="L15" s="59"/>
      <c r="M15" s="112"/>
      <c r="O15" s="59"/>
      <c r="P15" s="59"/>
      <c r="Q15" s="112"/>
      <c r="S15" s="59"/>
      <c r="T15" s="59"/>
      <c r="U15" s="112"/>
      <c r="W15" s="59"/>
      <c r="X15" s="59"/>
      <c r="Y15" s="112"/>
      <c r="AA15" s="59"/>
      <c r="AB15" s="59"/>
      <c r="AC15" s="112"/>
      <c r="AE15" s="59"/>
      <c r="AF15" s="59"/>
      <c r="AG15" s="112"/>
      <c r="AI15" s="59"/>
      <c r="AJ15" s="59"/>
      <c r="AK15" s="112"/>
      <c r="AM15" s="59"/>
      <c r="AN15" s="59"/>
      <c r="AO15" s="112"/>
      <c r="AQ15" s="59"/>
      <c r="AR15" s="59"/>
    </row>
    <row r="16" spans="1:48" x14ac:dyDescent="0.25">
      <c r="E16" s="112"/>
      <c r="G16" s="59"/>
      <c r="H16" s="59"/>
      <c r="I16" s="112"/>
      <c r="K16" s="59"/>
      <c r="L16" s="59"/>
      <c r="M16" s="112"/>
      <c r="O16" s="59"/>
      <c r="P16" s="59"/>
      <c r="Q16" s="112"/>
      <c r="S16" s="59"/>
      <c r="T16" s="59"/>
      <c r="U16" s="112"/>
      <c r="W16" s="59"/>
      <c r="X16" s="59"/>
      <c r="Y16" s="112"/>
      <c r="AA16" s="59"/>
      <c r="AB16" s="59"/>
      <c r="AC16" s="112"/>
      <c r="AE16" s="59"/>
      <c r="AF16" s="59"/>
      <c r="AG16" s="112"/>
      <c r="AI16" s="59"/>
      <c r="AJ16" s="59"/>
      <c r="AK16" s="112"/>
      <c r="AM16" s="59"/>
      <c r="AN16" s="59"/>
      <c r="AO16" s="112"/>
      <c r="AQ16" s="59"/>
      <c r="AR16" s="59"/>
    </row>
    <row r="17" spans="1:46" x14ac:dyDescent="0.25">
      <c r="E17" s="112"/>
      <c r="G17" s="59"/>
      <c r="H17" s="59"/>
      <c r="I17" s="112"/>
      <c r="K17" s="59"/>
      <c r="L17" s="59"/>
      <c r="M17" s="112"/>
      <c r="O17" s="59"/>
      <c r="P17" s="59"/>
      <c r="Q17" s="112"/>
      <c r="S17" s="59"/>
      <c r="T17" s="59"/>
      <c r="U17" s="112"/>
      <c r="W17" s="59"/>
      <c r="X17" s="59"/>
      <c r="Y17" s="112"/>
      <c r="AA17" s="59"/>
      <c r="AB17" s="59"/>
      <c r="AC17" s="112"/>
      <c r="AE17" s="59"/>
      <c r="AF17" s="59"/>
      <c r="AG17" s="112"/>
      <c r="AI17" s="59"/>
      <c r="AJ17" s="59"/>
      <c r="AK17" s="112"/>
      <c r="AM17" s="59"/>
      <c r="AN17" s="59"/>
      <c r="AO17" s="112"/>
      <c r="AQ17" s="59"/>
      <c r="AR17" s="59"/>
    </row>
    <row r="18" spans="1:46" x14ac:dyDescent="0.25">
      <c r="B18" s="59">
        <f>SUM(B4:B17)</f>
        <v>23229.45</v>
      </c>
      <c r="C18" s="59">
        <f>SUM(C4:C17)</f>
        <v>15774</v>
      </c>
      <c r="D18" s="59">
        <f>SUM(D4:D17)</f>
        <v>7455.4500000000007</v>
      </c>
      <c r="E18" s="112"/>
      <c r="F18" s="59">
        <f>SUM(F4:F17)</f>
        <v>29575.98</v>
      </c>
      <c r="G18" s="59">
        <f>SUM(G4:G17)</f>
        <v>47775</v>
      </c>
      <c r="H18" s="59">
        <f>SUM(H4:H17)</f>
        <v>-18199.019999999997</v>
      </c>
      <c r="I18" s="112"/>
      <c r="J18" s="59">
        <f>SUM(J4:J17)</f>
        <v>50328.930000000008</v>
      </c>
      <c r="K18" s="59">
        <f>SUM(K4:K17)</f>
        <v>47776</v>
      </c>
      <c r="L18" s="59">
        <f>SUM(L4:L17)</f>
        <v>2552.9299999999994</v>
      </c>
      <c r="M18" s="112"/>
      <c r="N18" s="59">
        <f>SUM(N4:N17)</f>
        <v>75576.52</v>
      </c>
      <c r="O18" s="59">
        <f>SUM(O4:O17)</f>
        <v>47775</v>
      </c>
      <c r="P18" s="59">
        <f>SUM(P4:P17)</f>
        <v>27801.520000000004</v>
      </c>
      <c r="Q18" s="112"/>
      <c r="R18" s="59">
        <f>SUM(R4:R17)</f>
        <v>56274.12999999999</v>
      </c>
      <c r="S18" s="59">
        <f>SUM(S4:S17)</f>
        <v>46532</v>
      </c>
      <c r="T18" s="59">
        <f>SUM(T4:T17)</f>
        <v>9742.1299999999974</v>
      </c>
      <c r="U18" s="112"/>
      <c r="V18" s="59">
        <f>SUM(V4:V17)</f>
        <v>44447.460000000006</v>
      </c>
      <c r="W18" s="59">
        <f>SUM(W4:W17)</f>
        <v>46532</v>
      </c>
      <c r="X18" s="59">
        <f>SUM(X4:X17)</f>
        <v>-2084.5400000000027</v>
      </c>
      <c r="Y18" s="112"/>
      <c r="Z18" s="59">
        <f>SUM(Z4:Z17)</f>
        <v>29243.260000000002</v>
      </c>
      <c r="AA18" s="59">
        <f>SUM(AA4:AA17)</f>
        <v>42652</v>
      </c>
      <c r="AB18" s="59">
        <f>SUM(AB4:AB17)</f>
        <v>-13408.74</v>
      </c>
      <c r="AC18" s="112"/>
      <c r="AD18" s="59">
        <f>SUM(AD4:AD17)</f>
        <v>24581.579999999998</v>
      </c>
      <c r="AE18" s="59">
        <f>SUM(AE4:AE17)</f>
        <v>13069</v>
      </c>
      <c r="AF18" s="59">
        <f>SUM(AF4:AF17)</f>
        <v>11512.58</v>
      </c>
      <c r="AG18" s="112"/>
      <c r="AH18" s="59">
        <f>SUM(AH4:AH17)</f>
        <v>45073.5</v>
      </c>
      <c r="AI18" s="59">
        <f>SUM(AI4:AI17)</f>
        <v>13069</v>
      </c>
      <c r="AJ18" s="59">
        <f>SUM(AJ4:AJ17)</f>
        <v>32004.499999999996</v>
      </c>
      <c r="AK18" s="112"/>
      <c r="AL18" s="59">
        <f>SUM(AL4:AL17)</f>
        <v>21647.58</v>
      </c>
      <c r="AM18" s="59">
        <f>SUM(AM4:AM17)</f>
        <v>13069</v>
      </c>
      <c r="AN18" s="59">
        <f>SUM(AN4:AN17)</f>
        <v>8578.58</v>
      </c>
      <c r="AO18" s="112"/>
      <c r="AP18" s="59">
        <f>SUM(AP4:AP17)</f>
        <v>15749.399999999998</v>
      </c>
      <c r="AQ18" s="59">
        <f>SUM(AQ4:AQ17)</f>
        <v>13069</v>
      </c>
      <c r="AR18" s="59">
        <f>SUM(AR4:AR17)</f>
        <v>2680.3999999999992</v>
      </c>
      <c r="AT18" s="104">
        <f>+D18+H18+L18+P18+T18+X18+AB18+AF18+AJ18+AN18</f>
        <v>65955.39</v>
      </c>
    </row>
    <row r="19" spans="1:46" x14ac:dyDescent="0.25">
      <c r="E19" s="112"/>
      <c r="I19" s="112"/>
      <c r="M19" s="112"/>
      <c r="Q19" s="112"/>
      <c r="U19" s="112"/>
      <c r="Y19" s="112"/>
      <c r="AC19" s="112"/>
      <c r="AG19" s="112"/>
      <c r="AK19" s="112"/>
      <c r="AO19" s="112"/>
    </row>
    <row r="20" spans="1:46" x14ac:dyDescent="0.25">
      <c r="D20" s="105" t="str">
        <f>IF(D18&gt;0,"OVER","UNDER")</f>
        <v>OVER</v>
      </c>
      <c r="E20" s="112"/>
      <c r="H20" s="105" t="str">
        <f>IF(H18&gt;0,"OVER","UNDER")</f>
        <v>UNDER</v>
      </c>
      <c r="I20" s="112"/>
      <c r="L20" s="105" t="str">
        <f>IF(L18&gt;0,"OVER","UNDER")</f>
        <v>OVER</v>
      </c>
      <c r="M20" s="112"/>
      <c r="P20" s="105" t="str">
        <f>IF(P18&gt;0,"OVER","UNDER")</f>
        <v>OVER</v>
      </c>
      <c r="Q20" s="112"/>
      <c r="T20" s="105" t="str">
        <f>IF(T18&gt;0,"OVER","UNDER")</f>
        <v>OVER</v>
      </c>
      <c r="U20" s="112"/>
      <c r="X20" s="105" t="str">
        <f>IF(X18&gt;0,"OVER","UNDER")</f>
        <v>UNDER</v>
      </c>
      <c r="Y20" s="112"/>
      <c r="AB20" s="105" t="str">
        <f>IF(AB18&gt;0,"OVER","UNDER")</f>
        <v>UNDER</v>
      </c>
      <c r="AC20" s="112"/>
      <c r="AF20" s="105" t="str">
        <f>IF(AF18&gt;0,"OVER","UNDER")</f>
        <v>OVER</v>
      </c>
      <c r="AG20" s="112"/>
      <c r="AJ20" s="105" t="str">
        <f>IF(AJ18&gt;0,"OVER","UNDER")</f>
        <v>OVER</v>
      </c>
      <c r="AK20" s="112"/>
      <c r="AN20" s="105" t="str">
        <f>IF(AN18&gt;0,"OVER","UNDER")</f>
        <v>OVER</v>
      </c>
      <c r="AO20" s="112"/>
      <c r="AR20" s="105" t="str">
        <f>IF(AR18&gt;0,"OVER","UNDER")</f>
        <v>OVER</v>
      </c>
      <c r="AT20" s="105" t="str">
        <f>IF(AT18&gt;0,"OVER","UNDER")</f>
        <v>OVER</v>
      </c>
    </row>
    <row r="24" spans="1:46" x14ac:dyDescent="0.25">
      <c r="B24" s="165" t="s">
        <v>491</v>
      </c>
      <c r="C24" s="165"/>
      <c r="D24" s="165"/>
      <c r="E24" s="165"/>
      <c r="F24" s="165"/>
      <c r="G24" s="165"/>
      <c r="H24" s="165"/>
      <c r="I24" s="165"/>
      <c r="J24" s="165"/>
      <c r="K24" s="165"/>
      <c r="L24" s="165"/>
      <c r="M24"/>
      <c r="N24"/>
      <c r="Q24"/>
      <c r="R24"/>
      <c r="U24"/>
      <c r="V24"/>
      <c r="Y24"/>
      <c r="Z24"/>
      <c r="AC24"/>
      <c r="AD24"/>
      <c r="AG24"/>
      <c r="AH24"/>
      <c r="AK24"/>
      <c r="AL24"/>
      <c r="AO24"/>
      <c r="AP24"/>
    </row>
    <row r="25" spans="1:46" x14ac:dyDescent="0.25">
      <c r="B25" s="165" t="s">
        <v>470</v>
      </c>
      <c r="C25" s="165"/>
      <c r="D25" s="165"/>
      <c r="E25" s="105"/>
      <c r="F25" s="165" t="s">
        <v>471</v>
      </c>
      <c r="G25" s="165"/>
      <c r="H25" s="165"/>
      <c r="I25" s="105"/>
      <c r="J25" s="165" t="s">
        <v>472</v>
      </c>
      <c r="K25" s="165"/>
      <c r="L25" s="165"/>
      <c r="M25" s="105"/>
      <c r="N25" s="165" t="s">
        <v>473</v>
      </c>
      <c r="O25" s="165"/>
      <c r="P25" s="165"/>
      <c r="Q25" s="105"/>
      <c r="R25" s="165" t="s">
        <v>474</v>
      </c>
      <c r="S25" s="165"/>
      <c r="T25" s="165"/>
      <c r="U25" s="105"/>
      <c r="V25" s="165" t="s">
        <v>498</v>
      </c>
      <c r="W25" s="165"/>
      <c r="X25" s="165"/>
      <c r="Y25" s="105"/>
      <c r="Z25" s="165" t="s">
        <v>504</v>
      </c>
      <c r="AA25" s="165"/>
      <c r="AB25" s="165"/>
      <c r="AC25" s="105"/>
      <c r="AD25" s="165" t="s">
        <v>822</v>
      </c>
      <c r="AE25" s="165"/>
      <c r="AF25" s="165"/>
      <c r="AG25" s="105"/>
      <c r="AH25" s="165" t="str">
        <f>+AH2</f>
        <v>December</v>
      </c>
      <c r="AI25" s="165"/>
      <c r="AJ25" s="165"/>
      <c r="AK25" s="105"/>
      <c r="AL25" s="165" t="str">
        <f>+AL2</f>
        <v>January</v>
      </c>
      <c r="AM25" s="165"/>
      <c r="AN25" s="165"/>
      <c r="AO25" s="105"/>
      <c r="AP25" s="165" t="str">
        <f>+AP2</f>
        <v>February</v>
      </c>
      <c r="AQ25" s="165"/>
      <c r="AR25" s="165"/>
    </row>
    <row r="26" spans="1:46" x14ac:dyDescent="0.25">
      <c r="A26" s="108" t="s">
        <v>492</v>
      </c>
      <c r="B26" s="109" t="s">
        <v>477</v>
      </c>
      <c r="C26" s="109" t="s">
        <v>478</v>
      </c>
      <c r="D26" s="109" t="s">
        <v>468</v>
      </c>
      <c r="E26" s="109"/>
      <c r="F26" s="109" t="s">
        <v>477</v>
      </c>
      <c r="G26" s="109" t="s">
        <v>478</v>
      </c>
      <c r="H26" s="109" t="s">
        <v>468</v>
      </c>
      <c r="I26" s="109"/>
      <c r="J26" s="109" t="s">
        <v>477</v>
      </c>
      <c r="K26" s="109" t="s">
        <v>478</v>
      </c>
      <c r="L26" s="109" t="s">
        <v>468</v>
      </c>
      <c r="M26" s="109"/>
      <c r="N26" s="109" t="s">
        <v>477</v>
      </c>
      <c r="O26" s="109" t="s">
        <v>478</v>
      </c>
      <c r="P26" s="109" t="s">
        <v>468</v>
      </c>
      <c r="Q26" s="109"/>
      <c r="R26" s="109" t="s">
        <v>477</v>
      </c>
      <c r="S26" s="109" t="s">
        <v>478</v>
      </c>
      <c r="T26" s="109" t="s">
        <v>468</v>
      </c>
      <c r="U26" s="109"/>
      <c r="V26" s="109" t="s">
        <v>477</v>
      </c>
      <c r="W26" s="109" t="s">
        <v>478</v>
      </c>
      <c r="X26" s="109" t="s">
        <v>468</v>
      </c>
      <c r="Y26" s="109"/>
      <c r="Z26" s="109" t="s">
        <v>477</v>
      </c>
      <c r="AA26" s="109" t="s">
        <v>478</v>
      </c>
      <c r="AB26" s="109" t="s">
        <v>468</v>
      </c>
      <c r="AC26" s="109"/>
      <c r="AD26" s="109" t="s">
        <v>477</v>
      </c>
      <c r="AE26" s="109" t="s">
        <v>478</v>
      </c>
      <c r="AF26" s="109" t="s">
        <v>468</v>
      </c>
      <c r="AG26" s="109"/>
      <c r="AH26" s="109" t="s">
        <v>477</v>
      </c>
      <c r="AI26" s="109" t="s">
        <v>478</v>
      </c>
      <c r="AJ26" s="109" t="s">
        <v>468</v>
      </c>
      <c r="AK26" s="109"/>
      <c r="AL26" s="109" t="s">
        <v>477</v>
      </c>
      <c r="AM26" s="109" t="s">
        <v>478</v>
      </c>
      <c r="AN26" s="109" t="s">
        <v>468</v>
      </c>
      <c r="AO26" s="109"/>
      <c r="AP26" s="109" t="s">
        <v>477</v>
      </c>
      <c r="AQ26" s="109" t="s">
        <v>478</v>
      </c>
      <c r="AR26" s="109" t="s">
        <v>468</v>
      </c>
    </row>
    <row r="27" spans="1:46" x14ac:dyDescent="0.25">
      <c r="A27" t="s">
        <v>395</v>
      </c>
      <c r="B27" s="59">
        <f>+'Full Data'!D64</f>
        <v>0</v>
      </c>
      <c r="C27" s="59">
        <f>+'Full Data'!E64</f>
        <v>0</v>
      </c>
      <c r="D27" s="59">
        <f>+B27-C27</f>
        <v>0</v>
      </c>
      <c r="F27" s="59">
        <f>+'Full Data'!F64</f>
        <v>0</v>
      </c>
      <c r="G27" s="59">
        <f>+'Full Data'!G64</f>
        <v>5000</v>
      </c>
      <c r="H27" s="59">
        <f>+F27-G27</f>
        <v>-5000</v>
      </c>
      <c r="J27" s="59">
        <f>+'Full Data'!I64</f>
        <v>0</v>
      </c>
      <c r="K27" s="59">
        <f>+'Full Data'!J64</f>
        <v>0</v>
      </c>
      <c r="L27" s="59">
        <f>+J27-K27</f>
        <v>0</v>
      </c>
      <c r="N27" s="59">
        <f>+'Full Data'!L64</f>
        <v>14587.5</v>
      </c>
      <c r="O27" s="59">
        <f>+'Full Data'!Q64</f>
        <v>0</v>
      </c>
      <c r="P27" s="59">
        <f>+N27-O27</f>
        <v>14587.5</v>
      </c>
      <c r="R27" s="59">
        <f>+'Full Data'!O64</f>
        <v>2700</v>
      </c>
      <c r="S27" s="59">
        <f>+'Full Data'!P64</f>
        <v>0</v>
      </c>
      <c r="T27" s="59">
        <f>+R27-S27</f>
        <v>2700</v>
      </c>
      <c r="V27" s="59">
        <f>+'Full Data'!R64</f>
        <v>27375</v>
      </c>
      <c r="W27" s="59">
        <f>+'Full Data'!S64</f>
        <v>5000</v>
      </c>
      <c r="X27" s="59">
        <f>+V27-W27</f>
        <v>22375</v>
      </c>
      <c r="Z27" s="59">
        <f>+'Full Data'!U64</f>
        <v>3197.23</v>
      </c>
      <c r="AA27" s="59">
        <f>+'Full Data'!V64</f>
        <v>0</v>
      </c>
      <c r="AB27" s="59">
        <f>+Z27-AA27</f>
        <v>3197.23</v>
      </c>
      <c r="AD27" s="59">
        <f>+'Full Data'!X64</f>
        <v>9225</v>
      </c>
      <c r="AE27" s="59">
        <f>+'Full Data'!Y64</f>
        <v>0</v>
      </c>
      <c r="AF27" s="59">
        <f>+AD27-AE27</f>
        <v>9225</v>
      </c>
      <c r="AH27" s="59">
        <f>+'Full Data'!AA64</f>
        <v>675</v>
      </c>
      <c r="AI27" s="59">
        <f>+'Full Data'!AB64</f>
        <v>0</v>
      </c>
      <c r="AJ27" s="59">
        <f>+AH27-AI27</f>
        <v>675</v>
      </c>
      <c r="AL27" s="59">
        <f>+'Full Data'!AD64</f>
        <v>0</v>
      </c>
      <c r="AM27" s="59">
        <f>+'Full Data'!AE64</f>
        <v>0</v>
      </c>
      <c r="AN27" s="59">
        <f>+AL27-AM27</f>
        <v>0</v>
      </c>
      <c r="AP27" s="59">
        <f>+'Full Data'!AG64</f>
        <v>1275</v>
      </c>
      <c r="AQ27" s="59">
        <f>+'Full Data'!AH64</f>
        <v>0</v>
      </c>
      <c r="AR27" s="59">
        <f>+AP27-AQ27</f>
        <v>1275</v>
      </c>
    </row>
    <row r="28" spans="1:46" x14ac:dyDescent="0.25">
      <c r="A28" t="s">
        <v>396</v>
      </c>
      <c r="B28" s="59">
        <f>+'Full Data'!D65</f>
        <v>0</v>
      </c>
      <c r="C28" s="59">
        <f>+'Full Data'!E65</f>
        <v>0</v>
      </c>
      <c r="D28" s="59">
        <f>+B28-C28</f>
        <v>0</v>
      </c>
      <c r="F28" s="59">
        <f>+'Full Data'!F65</f>
        <v>0</v>
      </c>
      <c r="G28" s="59">
        <f>+'Full Data'!G65</f>
        <v>0</v>
      </c>
      <c r="H28" s="59">
        <f>+F28-G28</f>
        <v>0</v>
      </c>
      <c r="J28" s="59">
        <f>+'Full Data'!I65</f>
        <v>0</v>
      </c>
      <c r="K28" s="59">
        <f>+'Full Data'!J65</f>
        <v>0</v>
      </c>
      <c r="L28" s="59">
        <f>+J28-K28</f>
        <v>0</v>
      </c>
      <c r="N28" s="59">
        <f>+'Full Data'!L65</f>
        <v>945.6</v>
      </c>
      <c r="O28" s="59">
        <f>+'Full Data'!M65</f>
        <v>0</v>
      </c>
      <c r="P28" s="59">
        <f>+N28-O28</f>
        <v>945.6</v>
      </c>
      <c r="R28" s="59">
        <f>+'Full Data'!O65</f>
        <v>2578.86</v>
      </c>
      <c r="S28" s="59">
        <f>+'Full Data'!P65</f>
        <v>0</v>
      </c>
      <c r="T28" s="59">
        <f>+R28-S28</f>
        <v>2578.86</v>
      </c>
      <c r="V28" s="59">
        <f>+'Full Data'!R65</f>
        <v>720.33</v>
      </c>
      <c r="W28" s="59">
        <f>+'Full Data'!S65</f>
        <v>0</v>
      </c>
      <c r="X28" s="59">
        <f>+V28-W28</f>
        <v>720.33</v>
      </c>
      <c r="Z28" s="59">
        <f>+'Full Data'!U65</f>
        <v>2587.48</v>
      </c>
      <c r="AA28" s="59">
        <f>+'Full Data'!V65</f>
        <v>0</v>
      </c>
      <c r="AB28" s="59">
        <f>+Z28-AA28</f>
        <v>2587.48</v>
      </c>
      <c r="AD28" s="59">
        <f>+'Full Data'!X65</f>
        <v>5604.23</v>
      </c>
      <c r="AE28" s="59">
        <f>+'Full Data'!Y65</f>
        <v>0</v>
      </c>
      <c r="AF28" s="59">
        <f>+AD28-AE28</f>
        <v>5604.23</v>
      </c>
      <c r="AH28" s="59">
        <f>+'Full Data'!AA65</f>
        <v>25020.080000000002</v>
      </c>
      <c r="AI28" s="59">
        <f>+'Full Data'!AB65</f>
        <v>0</v>
      </c>
      <c r="AJ28" s="59">
        <f>+AH28-AI28</f>
        <v>25020.080000000002</v>
      </c>
      <c r="AL28" s="59">
        <f>+'Full Data'!AD65</f>
        <v>2388.02</v>
      </c>
      <c r="AM28" s="59">
        <f>+'Full Data'!AE65</f>
        <v>0</v>
      </c>
      <c r="AN28" s="59">
        <f>+AL28-AM28</f>
        <v>2388.02</v>
      </c>
      <c r="AP28" s="59">
        <f>+'Full Data'!AG65</f>
        <v>3038.6</v>
      </c>
      <c r="AQ28" s="59">
        <f>+'Full Data'!AH65</f>
        <v>0</v>
      </c>
      <c r="AR28" s="59">
        <f>+AP28-AQ28</f>
        <v>3038.6</v>
      </c>
    </row>
    <row r="29" spans="1:46" x14ac:dyDescent="0.25">
      <c r="G29" s="59"/>
      <c r="H29" s="59"/>
      <c r="K29" s="59"/>
      <c r="L29" s="59"/>
      <c r="O29" s="59"/>
      <c r="P29" s="59"/>
      <c r="S29" s="59"/>
      <c r="T29" s="59"/>
      <c r="W29" s="59"/>
      <c r="X29" s="59"/>
      <c r="AA29" s="59"/>
      <c r="AB29" s="59"/>
      <c r="AE29" s="59"/>
      <c r="AF29" s="59"/>
      <c r="AI29" s="59"/>
      <c r="AJ29" s="59"/>
      <c r="AM29" s="59"/>
      <c r="AN29" s="59"/>
      <c r="AQ29" s="59"/>
      <c r="AR29" s="59"/>
    </row>
    <row r="30" spans="1:46" x14ac:dyDescent="0.25">
      <c r="B30" s="59">
        <f>SUM(B27:B29)</f>
        <v>0</v>
      </c>
      <c r="C30" s="59">
        <f>SUM(C27:C29)</f>
        <v>0</v>
      </c>
      <c r="D30" s="59">
        <f>SUM(D27:D29)</f>
        <v>0</v>
      </c>
      <c r="F30" s="59">
        <f>SUM(F27:F29)</f>
        <v>0</v>
      </c>
      <c r="G30" s="59">
        <f>SUM(G27:G29)</f>
        <v>5000</v>
      </c>
      <c r="H30" s="59">
        <f>SUM(H27:H29)</f>
        <v>-5000</v>
      </c>
      <c r="J30" s="59">
        <f>SUM(J27:J29)</f>
        <v>0</v>
      </c>
      <c r="K30" s="59">
        <f>SUM(K27:K29)</f>
        <v>0</v>
      </c>
      <c r="L30" s="59">
        <f>SUM(L27:L29)</f>
        <v>0</v>
      </c>
      <c r="N30" s="59">
        <f>SUM(N27:N29)</f>
        <v>15533.1</v>
      </c>
      <c r="O30" s="59">
        <f>SUM(O27:O29)</f>
        <v>0</v>
      </c>
      <c r="P30" s="59">
        <f>SUM(P27:P29)</f>
        <v>15533.1</v>
      </c>
      <c r="R30" s="59">
        <f>SUM(R27:R29)</f>
        <v>5278.8600000000006</v>
      </c>
      <c r="S30" s="59">
        <f>SUM(S27:S29)</f>
        <v>0</v>
      </c>
      <c r="T30" s="59">
        <f>SUM(T27:T29)</f>
        <v>5278.8600000000006</v>
      </c>
      <c r="V30" s="59">
        <f>SUM(V27:V29)</f>
        <v>28095.33</v>
      </c>
      <c r="W30" s="59">
        <f>SUM(W27:W29)</f>
        <v>5000</v>
      </c>
      <c r="X30" s="59">
        <f>SUM(X27:X29)</f>
        <v>23095.33</v>
      </c>
      <c r="Z30" s="59">
        <f>SUM(Z27:Z29)</f>
        <v>5784.71</v>
      </c>
      <c r="AA30" s="59">
        <f>SUM(AA27:AA29)</f>
        <v>0</v>
      </c>
      <c r="AB30" s="59">
        <f>SUM(AB27:AB29)</f>
        <v>5784.71</v>
      </c>
      <c r="AD30" s="59">
        <f>SUM(AD27:AD29)</f>
        <v>14829.23</v>
      </c>
      <c r="AE30" s="59">
        <f>SUM(AE27:AE29)</f>
        <v>0</v>
      </c>
      <c r="AF30" s="59">
        <f>SUM(AF27:AF29)</f>
        <v>14829.23</v>
      </c>
      <c r="AH30" s="59">
        <f>SUM(AH27:AH29)</f>
        <v>25695.08</v>
      </c>
      <c r="AI30" s="59">
        <f>SUM(AI27:AI29)</f>
        <v>0</v>
      </c>
      <c r="AJ30" s="59">
        <f>SUM(AJ27:AJ29)</f>
        <v>25695.08</v>
      </c>
      <c r="AL30" s="59">
        <f>SUM(AL27:AL29)</f>
        <v>2388.02</v>
      </c>
      <c r="AM30" s="59">
        <f>SUM(AM27:AM29)</f>
        <v>0</v>
      </c>
      <c r="AN30" s="59">
        <f>SUM(AN27:AN29)</f>
        <v>2388.02</v>
      </c>
      <c r="AP30" s="59">
        <f>SUM(AP27:AP29)</f>
        <v>4313.6000000000004</v>
      </c>
      <c r="AQ30" s="59">
        <f>SUM(AQ27:AQ29)</f>
        <v>0</v>
      </c>
      <c r="AR30" s="59">
        <f>SUM(AR27:AR29)</f>
        <v>4313.6000000000004</v>
      </c>
      <c r="AT30" s="104"/>
    </row>
    <row r="34" spans="1:1" x14ac:dyDescent="0.25">
      <c r="A34" t="s">
        <v>493</v>
      </c>
    </row>
    <row r="35" spans="1:1" x14ac:dyDescent="0.25">
      <c r="A35" t="s">
        <v>494</v>
      </c>
    </row>
    <row r="36" spans="1:1" x14ac:dyDescent="0.25">
      <c r="A36" t="s">
        <v>495</v>
      </c>
    </row>
    <row r="37" spans="1:1" x14ac:dyDescent="0.25">
      <c r="A37" t="s">
        <v>496</v>
      </c>
    </row>
    <row r="38" spans="1:1" x14ac:dyDescent="0.25">
      <c r="A38" t="s">
        <v>497</v>
      </c>
    </row>
    <row r="39" spans="1:1" x14ac:dyDescent="0.25">
      <c r="A39" t="s">
        <v>499</v>
      </c>
    </row>
    <row r="40" spans="1:1" x14ac:dyDescent="0.25">
      <c r="A40" t="s">
        <v>505</v>
      </c>
    </row>
  </sheetData>
  <mergeCells count="24">
    <mergeCell ref="Z25:AB25"/>
    <mergeCell ref="V2:X2"/>
    <mergeCell ref="V25:X25"/>
    <mergeCell ref="B1:P1"/>
    <mergeCell ref="B2:D2"/>
    <mergeCell ref="F2:H2"/>
    <mergeCell ref="J2:L2"/>
    <mergeCell ref="N2:P2"/>
    <mergeCell ref="AP2:AR2"/>
    <mergeCell ref="AP25:AR25"/>
    <mergeCell ref="B24:L24"/>
    <mergeCell ref="B25:D25"/>
    <mergeCell ref="F25:H25"/>
    <mergeCell ref="J25:L25"/>
    <mergeCell ref="N25:P25"/>
    <mergeCell ref="AL2:AN2"/>
    <mergeCell ref="AL25:AN25"/>
    <mergeCell ref="AH2:AJ2"/>
    <mergeCell ref="AH25:AJ25"/>
    <mergeCell ref="R25:T25"/>
    <mergeCell ref="R2:T2"/>
    <mergeCell ref="AD2:AF2"/>
    <mergeCell ref="AD25:AF25"/>
    <mergeCell ref="Z2:AB2"/>
  </mergeCells>
  <conditionalFormatting sqref="B20:AZ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3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675073CF017D4087FFE163C782575B" ma:contentTypeVersion="14" ma:contentTypeDescription="Create a new document." ma:contentTypeScope="" ma:versionID="af55452e11a58482c34881b11f93ff03">
  <xsd:schema xmlns:xsd="http://www.w3.org/2001/XMLSchema" xmlns:xs="http://www.w3.org/2001/XMLSchema" xmlns:p="http://schemas.microsoft.com/office/2006/metadata/properties" xmlns:ns2="9895410c-9b0a-4dd5-9937-9f4d47175997" xmlns:ns3="52c98e2c-4a99-458d-9c76-5f6b06aed835" targetNamespace="http://schemas.microsoft.com/office/2006/metadata/properties" ma:root="true" ma:fieldsID="a9502e9f14f93655b00bd2201da13025" ns2:_="" ns3:_="">
    <xsd:import namespace="9895410c-9b0a-4dd5-9937-9f4d47175997"/>
    <xsd:import namespace="52c98e2c-4a99-458d-9c76-5f6b06aed8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95410c-9b0a-4dd5-9937-9f4d471759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ca8ef52-efac-48c8-bbe1-35083af699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c98e2c-4a99-458d-9c76-5f6b06aed83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a0306bf8-f71b-4054-902a-53d2b465257d}" ma:internalName="TaxCatchAll" ma:showField="CatchAllData" ma:web="52c98e2c-4a99-458d-9c76-5f6b06aed8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95410c-9b0a-4dd5-9937-9f4d47175997">
      <Terms xmlns="http://schemas.microsoft.com/office/infopath/2007/PartnerControls"/>
    </lcf76f155ced4ddcb4097134ff3c332f>
    <TaxCatchAll xmlns="52c98e2c-4a99-458d-9c76-5f6b06aed835" xsi:nil="true"/>
  </documentManagement>
</p:properties>
</file>

<file path=customXml/itemProps1.xml><?xml version="1.0" encoding="utf-8"?>
<ds:datastoreItem xmlns:ds="http://schemas.openxmlformats.org/officeDocument/2006/customXml" ds:itemID="{6DEA2186-9975-4850-95A8-95F3201521AA}"/>
</file>

<file path=customXml/itemProps2.xml><?xml version="1.0" encoding="utf-8"?>
<ds:datastoreItem xmlns:ds="http://schemas.openxmlformats.org/officeDocument/2006/customXml" ds:itemID="{B1171641-E727-4E66-8000-3C05C1FE42EA}"/>
</file>

<file path=customXml/itemProps3.xml><?xml version="1.0" encoding="utf-8"?>
<ds:datastoreItem xmlns:ds="http://schemas.openxmlformats.org/officeDocument/2006/customXml" ds:itemID="{E9FD0D9D-7CEB-4FF4-A669-FFDC2359DFC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4</vt:i4>
      </vt:variant>
    </vt:vector>
  </HeadingPairs>
  <TitlesOfParts>
    <vt:vector size="10" baseType="lpstr">
      <vt:lpstr>Fin Summary - Operating</vt:lpstr>
      <vt:lpstr>Full Data</vt:lpstr>
      <vt:lpstr>Monthly Pull Outs</vt:lpstr>
      <vt:lpstr>Fund Balances</vt:lpstr>
      <vt:lpstr>Capital Expenditures</vt:lpstr>
      <vt:lpstr>Overtime</vt:lpstr>
      <vt:lpstr>'Fin Summary - Operating'!Print_Area</vt:lpstr>
      <vt:lpstr>'Full Data'!Print_Area</vt:lpstr>
      <vt:lpstr>'Full Data'!Print_Titles</vt:lpstr>
      <vt:lpstr>'Fund Balances'!Print_Titles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2026-01-13T14:39:34Z</cp:lastPrinted>
  <dcterms:created xsi:type="dcterms:W3CDTF">2024-06-18T22:29:38Z</dcterms:created>
  <dcterms:modified xsi:type="dcterms:W3CDTF">2026-03-07T13:36:58Z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0x01010093675073CF017D4087FFE163C782575B</vt:lpwstr>
  </property>
</Properties>
</file>